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codeName="ThisWorkbook"/>
  <mc:AlternateContent xmlns:mc="http://schemas.openxmlformats.org/markup-compatibility/2006">
    <mc:Choice Requires="x15">
      <x15ac:absPath xmlns:x15ac="http://schemas.microsoft.com/office/spreadsheetml/2010/11/ac" url="D:\working\waccache\WA1PEPF0000A2D9\EXCELCNV\f46202c8-de1c-4b37-a7d8-0eee2d934ac8\"/>
    </mc:Choice>
  </mc:AlternateContent>
  <xr:revisionPtr revIDLastSave="0" documentId="8_{D77915FC-98AC-4557-8CC2-2405BB01AA57}" xr6:coauthVersionLast="47" xr6:coauthVersionMax="47" xr10:uidLastSave="{00000000-0000-0000-0000-000000000000}"/>
  <bookViews>
    <workbookView xWindow="-60" yWindow="-60" windowWidth="15480" windowHeight="11640" xr2:uid="{E0204045-F8ED-4798-88FD-2FB4E2A6BE8A}"/>
  </bookViews>
  <sheets>
    <sheet name="Capitalisation" sheetId="17" r:id="rId1"/>
    <sheet name="Model" sheetId="15" r:id="rId2"/>
    <sheet name="KPIS" sheetId="19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\A">#REF!</definedName>
    <definedName name="\B">#REF!</definedName>
    <definedName name="\C">#REF!</definedName>
    <definedName name="\L">#REF!</definedName>
    <definedName name="\M">#REF!</definedName>
    <definedName name="\P">#REF!</definedName>
    <definedName name="\Y">#REF!</definedName>
    <definedName name="__FDS_HYPERLINK_TOGGLE_STATE__" hidden="1">"ON"</definedName>
    <definedName name="_01_30_04" localSheetId="0">MonthlyOpStats</definedName>
    <definedName name="_01_30_04" localSheetId="1">MonthlyOpStats</definedName>
    <definedName name="_01_30_04">MonthlyOpStats</definedName>
    <definedName name="_1_30_01" localSheetId="0">MonthlyOpStats</definedName>
    <definedName name="_1_30_01" localSheetId="1">MonthlyOpStats</definedName>
    <definedName name="_1_30_01">MonthlyOpStats</definedName>
    <definedName name="_1_30_02" localSheetId="0">MonthlyOpStats</definedName>
    <definedName name="_1_30_02" localSheetId="1">MonthlyOpStats</definedName>
    <definedName name="_1_30_02">MonthlyOpStats</definedName>
    <definedName name="_1_31_01" localSheetId="0">MonthlyOpStats</definedName>
    <definedName name="_1_31_01" localSheetId="1">MonthlyOpStats</definedName>
    <definedName name="_1_31_01">MonthlyOpStats</definedName>
    <definedName name="_1_31_02" localSheetId="0">MonthlyOpStats</definedName>
    <definedName name="_1_31_02" localSheetId="1">MonthlyOpStats</definedName>
    <definedName name="_1_31_02">MonthlyOpStats</definedName>
    <definedName name="_12_31_05" localSheetId="0">MonthlyOpStats</definedName>
    <definedName name="_12_31_05" localSheetId="1">MonthlyOpStats</definedName>
    <definedName name="_12_31_05">MonthlyOpStats</definedName>
    <definedName name="_A">#REF!</definedName>
    <definedName name="_A___0">#REF!</definedName>
    <definedName name="_B">#REF!</definedName>
    <definedName name="_B___0">#REF!</definedName>
    <definedName name="_C">#REF!</definedName>
    <definedName name="_C___0">#REF!</definedName>
    <definedName name="_ent1">[1]Inputs!$J$17</definedName>
    <definedName name="_ent10">[1]Inputs!$J$476</definedName>
    <definedName name="_ent11">[1]Inputs!$J$527</definedName>
    <definedName name="_ent12">[1]Inputs!$J$578</definedName>
    <definedName name="_ent13">[1]Inputs!$J$629</definedName>
    <definedName name="_ent14">[1]Inputs!$J$680</definedName>
    <definedName name="_ent15">[1]Inputs!$J$731</definedName>
    <definedName name="_ent2">[1]Inputs!$J$68</definedName>
    <definedName name="_ent3">[1]Inputs!$J$119</definedName>
    <definedName name="_ent4">[1]Inputs!$J$170</definedName>
    <definedName name="_ent5">[1]Inputs!$J$221</definedName>
    <definedName name="_ent6">[1]Inputs!$J$272</definedName>
    <definedName name="_ent7">[1]Inputs!$J$323</definedName>
    <definedName name="_ent8">[1]Inputs!$J$374</definedName>
    <definedName name="_ent9">[1]Inputs!$J$425</definedName>
    <definedName name="_eps1">[1]Inputs!$P$42</definedName>
    <definedName name="_eps10">[1]Inputs!$P$501</definedName>
    <definedName name="_eps11">[1]Inputs!$P$552</definedName>
    <definedName name="_eps12">[1]Inputs!$P$603</definedName>
    <definedName name="_eps13">[1]Inputs!$P$654</definedName>
    <definedName name="_eps14">[1]Inputs!$P$705</definedName>
    <definedName name="_eps15">[1]Inputs!$P$756</definedName>
    <definedName name="_eps2">[1]Inputs!$P$93</definedName>
    <definedName name="_eps3">[1]Inputs!$P$144</definedName>
    <definedName name="_eps4">[1]Inputs!$P$195</definedName>
    <definedName name="_eps5">[1]Inputs!$P$246</definedName>
    <definedName name="_eps6">[1]Inputs!$P$297</definedName>
    <definedName name="_eps7">[1]Inputs!$P$348</definedName>
    <definedName name="_eps8">[1]Inputs!$P$399</definedName>
    <definedName name="_eps9">[1]Inputs!$P$450</definedName>
    <definedName name="_Fill" localSheetId="1" hidden="1">[2]FxdChg!#REF!</definedName>
    <definedName name="_Fill" hidden="1">[2]FxdChg!#REF!</definedName>
    <definedName name="_xlnm._FilterDatabase" localSheetId="1" hidden="1">Model!#REF!</definedName>
    <definedName name="_fye1">[1]Inputs!$E$12</definedName>
    <definedName name="_fye10">[1]Inputs!$E$471</definedName>
    <definedName name="_fye11">[1]Inputs!$E$522</definedName>
    <definedName name="_fye12">[1]Inputs!$E$573</definedName>
    <definedName name="_fye13">[1]Inputs!$E$624</definedName>
    <definedName name="_fye14">[1]Inputs!$E$675</definedName>
    <definedName name="_fye15">[1]Inputs!$E$726</definedName>
    <definedName name="_fye2">[1]Inputs!$E$63</definedName>
    <definedName name="_fye3">[1]Inputs!$E$114</definedName>
    <definedName name="_fye4">[1]Inputs!$E$165</definedName>
    <definedName name="_fye5">[1]Inputs!$E$216</definedName>
    <definedName name="_fye6">[1]Inputs!$E$267</definedName>
    <definedName name="_fye7">[1]Inputs!$E$318</definedName>
    <definedName name="_fye8">[1]Inputs!$E$369</definedName>
    <definedName name="_fye9">[1]Inputs!$E$420</definedName>
    <definedName name="_GEI_Returns" localSheetId="1">[3]Model!#REF!</definedName>
    <definedName name="_GEI_Returns">[3]Model!#REF!</definedName>
    <definedName name="_L">#REF!</definedName>
    <definedName name="_L___0">#REF!</definedName>
    <definedName name="_mv1">[1]Inputs!$J$16</definedName>
    <definedName name="_mv10">[1]Inputs!$J$475</definedName>
    <definedName name="_mv11">[1]Inputs!$J$526</definedName>
    <definedName name="_mv12">[1]Inputs!$J$577</definedName>
    <definedName name="_mv13">[1]Inputs!$J$628</definedName>
    <definedName name="_mv14">[1]Inputs!$J$679</definedName>
    <definedName name="_mv15">[1]Inputs!$J$730</definedName>
    <definedName name="_mv2">[1]Inputs!$J$67</definedName>
    <definedName name="_mv3">[1]Inputs!$J$118</definedName>
    <definedName name="_mv4">[1]Inputs!$J$169</definedName>
    <definedName name="_mv5">[1]Inputs!$J$220</definedName>
    <definedName name="_mv6">[1]Inputs!$J$271</definedName>
    <definedName name="_mv7">[1]Inputs!$J$322</definedName>
    <definedName name="_mv8">[1]Inputs!$J$373</definedName>
    <definedName name="_mv9">[1]Inputs!$J$424</definedName>
    <definedName name="_Order1" hidden="1">0</definedName>
    <definedName name="_Order2" hidden="1">0</definedName>
    <definedName name="_P">#REF!</definedName>
    <definedName name="_P___0">#REF!</definedName>
    <definedName name="_Table2_Out" hidden="1">#REF!</definedName>
    <definedName name="_Y">#REF!</definedName>
    <definedName name="_Y___0">#REF!</definedName>
    <definedName name="Aa_Recovery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ccrued_Comp_Sales" localSheetId="1">'[4]Tanning Assumptions'!#REF!</definedName>
    <definedName name="Accrued_Comp_Sales">'[4]Tanning Assumptions'!#REF!</definedName>
    <definedName name="acq">#REF!</definedName>
    <definedName name="acquiror">#REF!</definedName>
    <definedName name="AdSalesCash">#REF!</definedName>
    <definedName name="AdSalesTrade">#REF!</definedName>
    <definedName name="AdSalesWebsite">#REF!</definedName>
    <definedName name="AICORR" localSheetId="1">#REF!</definedName>
    <definedName name="AICORR">#REF!</definedName>
    <definedName name="AllBH">#REF!</definedName>
    <definedName name="allProjects">#REF!</definedName>
    <definedName name="amort" localSheetId="1">[5]Inputs!#REF!</definedName>
    <definedName name="amort">[5]Inputs!#REF!</definedName>
    <definedName name="AP_Sales" localSheetId="1">'[4]Tanning Assumptions'!#REF!</definedName>
    <definedName name="AP_Sales">'[4]Tanning Assumptions'!#REF!</definedName>
    <definedName name="AR_Other_Sales" localSheetId="1">'[4]Tanning Assumptions'!#REF!</definedName>
    <definedName name="AR_Other_Sales">'[4]Tanning Assumptions'!#REF!</definedName>
    <definedName name="AR_Trade_Sales" localSheetId="1">'[4]Tanning Assumptions'!#REF!</definedName>
    <definedName name="AR_Trade_Sales">'[4]Tanning Assumptions'!#REF!</definedName>
    <definedName name="As_Of_Date">[6]Selections!$C$2</definedName>
    <definedName name="asdfa">#REF!</definedName>
    <definedName name="AsOfDate">'[7]AUM YTD 2000'!$W$1</definedName>
    <definedName name="ASSUMPTIONS">#REF!</definedName>
    <definedName name="B_S" localSheetId="1">#REF!</definedName>
    <definedName name="B_S">#REF!</definedName>
    <definedName name="Baa_Recovery">#REF!</definedName>
    <definedName name="bal">#REF!</definedName>
    <definedName name="banner2">[8]CONTROL!$D$10</definedName>
    <definedName name="banner2___0">[8]CONTROL!$D$10</definedName>
    <definedName name="Base_Case">#REF!</definedName>
    <definedName name="Billable">#REF!</definedName>
    <definedName name="BillableHeadcount">#REF!</definedName>
    <definedName name="body">#REF!</definedName>
    <definedName name="BREAK_EVEN">#REF!</definedName>
    <definedName name="BREAK_EVEN___0">#REF!</definedName>
    <definedName name="Broadwing__Inc__Cincinnati_Bell">#REF!</definedName>
    <definedName name="brob">#REF!</definedName>
    <definedName name="bs" localSheetId="1">[5]Inputs!#REF!</definedName>
    <definedName name="bs">[5]Inputs!#REF!</definedName>
    <definedName name="case">#REF!</definedName>
    <definedName name="case1">[9]CONTROL!$A$12</definedName>
    <definedName name="case2">[9]CONTROL!$A$13</definedName>
    <definedName name="case3">[9]CONTROL!$A$14</definedName>
    <definedName name="CASH_FLOW" localSheetId="1">#REF!</definedName>
    <definedName name="CASH_FLOW">#REF!</definedName>
    <definedName name="Cash_Sales" localSheetId="1">'[4]Tanning Assumptions'!#REF!</definedName>
    <definedName name="Cash_Sales">'[4]Tanning Assumptions'!#REF!</definedName>
    <definedName name="CASHBUDGET" localSheetId="1">#REF!</definedName>
    <definedName name="CASHBUDGET">#REF!</definedName>
    <definedName name="CASHBUDGET___0" localSheetId="1">#REF!</definedName>
    <definedName name="CASHBUDGET___0">#REF!</definedName>
    <definedName name="CASHFLOWS_MONTH">#REF!</definedName>
    <definedName name="CASHFLOWS_MONTH___0">#REF!</definedName>
    <definedName name="CASHFLOWS_YEARS">#REF!</definedName>
    <definedName name="CASHFLOWS_YEARS___0">#REF!</definedName>
    <definedName name="cashint" localSheetId="1">#REF!</definedName>
    <definedName name="cashint">#REF!</definedName>
    <definedName name="cashint___0" localSheetId="1">#REF!</definedName>
    <definedName name="cashint___0">#REF!</definedName>
    <definedName name="CBHC">#REF!</definedName>
    <definedName name="cfl">#REF!</definedName>
    <definedName name="ChartDataRange">#REF!</definedName>
    <definedName name="CINC" localSheetId="1">#REF!</definedName>
    <definedName name="CINC">#REF!</definedName>
    <definedName name="CIQWBGuid" hidden="1">"9885176d-6a31-4f33-b8f5-6c0d7a7f744b"</definedName>
    <definedName name="CIQWBInfo" hidden="1">"{ ""CIQVersion"":""9.45.614.5792"" }"</definedName>
    <definedName name="circ" localSheetId="1">[5]Inputs!#REF!</definedName>
    <definedName name="circ">[5]Inputs!#REF!</definedName>
    <definedName name="CircRev">#REF!</definedName>
    <definedName name="Class_3_Agg_Cash" localSheetId="1">[10]Revolver!#REF!</definedName>
    <definedName name="Class_3_Agg_Cash">[10]Revolver!#REF!</definedName>
    <definedName name="Class_3_Amt_BET" localSheetId="1">[10]Revolver!#REF!</definedName>
    <definedName name="Class_3_Amt_BET">[10]Revolver!#REF!</definedName>
    <definedName name="Class_A_Interest">#REF!</definedName>
    <definedName name="Class_A_Principal">#REF!</definedName>
    <definedName name="Class_B_Interest">#REF!</definedName>
    <definedName name="Class_B_Principal">#REF!</definedName>
    <definedName name="Class_C_Payment">#REF!</definedName>
    <definedName name="ClassABC">'[6]Debt Structure'!$AN$7</definedName>
    <definedName name="ClassABCD">'[6]Debt Structure'!$AN$8</definedName>
    <definedName name="ClassABCDE">'[6]Debt Structure'!$AN$9</definedName>
    <definedName name="Clients" localSheetId="1">#REF!</definedName>
    <definedName name="Clients">#REF!</definedName>
    <definedName name="closing_date">#REF!</definedName>
    <definedName name="closingttmrevenue">#REF!</definedName>
    <definedName name="CMBSIG" localSheetId="1">#REF!</definedName>
    <definedName name="CMBSIG">#REF!</definedName>
    <definedName name="Column_Lookup">'[11]MASTER DRIVER'!$C$5:$D$29</definedName>
    <definedName name="COMBINED_J_W__3_111403_JUP_IND_PROFORMA_List">#REF!</definedName>
    <definedName name="company">[12]CONTROL!$D$7</definedName>
    <definedName name="company___0">[8]CONTROL!$D$7</definedName>
    <definedName name="cons">#REF!</definedName>
    <definedName name="consultants">#REF!</definedName>
    <definedName name="contrib2" localSheetId="0" hidden="1">{"page1",#N/A,FALSE,"Temp";"page2",#N/A,FALSE,"Temp";"page3",#N/A,FALSE,"Temp";"page4",#N/A,FALSE,"Temp";"page5",#N/A,FALSE,"Temp";"page6",#N/A,FALSE,"Temp"}</definedName>
    <definedName name="contrib2" hidden="1">{"page1",#N/A,FALSE,"Temp";"page2",#N/A,FALSE,"Temp";"page3",#N/A,FALSE,"Temp";"page4",#N/A,FALSE,"Temp";"page5",#N/A,FALSE,"Temp";"page6",#N/A,FALSE,"Temp"}</definedName>
    <definedName name="contrib3" localSheetId="0" hidden="1">{"page1",#N/A,FALSE,"Temp";"page2",#N/A,FALSE,"Temp";"page3",#N/A,FALSE,"Temp";"page4",#N/A,FALSE,"Temp";"page5",#N/A,FALSE,"Temp";"page6",#N/A,FALSE,"Temp"}</definedName>
    <definedName name="contrib3" hidden="1">{"page1",#N/A,FALSE,"Temp";"page2",#N/A,FALSE,"Temp";"page3",#N/A,FALSE,"Temp";"page4",#N/A,FALSE,"Temp";"page5",#N/A,FALSE,"Temp";"page6",#N/A,FALSE,"Temp"}</definedName>
    <definedName name="convertamt">#REF!</definedName>
    <definedName name="convertamt___0">#REF!</definedName>
    <definedName name="convertper">#REF!</definedName>
    <definedName name="convertper___0">#REF!</definedName>
    <definedName name="CorpName">'[13]MASTER DRIVERS'!$A$1</definedName>
    <definedName name="COSTREPORT">#REF!</definedName>
    <definedName name="COSTREPORT___0">#REF!</definedName>
    <definedName name="counter" localSheetId="1">'[14]Portfolio Input'!#REF!</definedName>
    <definedName name="counter">'[14]Portfolio Input'!#REF!</definedName>
    <definedName name="counter2" localSheetId="1">'[14]Portfolio Input'!#REF!</definedName>
    <definedName name="counter2">'[14]Portfolio Input'!#REF!</definedName>
    <definedName name="Coupon">[15]Inputs!$J$30</definedName>
    <definedName name="CSEnd">#REF!</definedName>
    <definedName name="CSHO" localSheetId="1">#REF!</definedName>
    <definedName name="CSHO">#REF!</definedName>
    <definedName name="CSHPRI" localSheetId="1">#REF!</definedName>
    <definedName name="CSHPRI">#REF!</definedName>
    <definedName name="current1">[1]Inputs!$E$21</definedName>
    <definedName name="current10">[1]Inputs!$E$480</definedName>
    <definedName name="current11">[1]Inputs!$E$531</definedName>
    <definedName name="current12">[1]Inputs!$E$582</definedName>
    <definedName name="current13">[1]Inputs!$E$633</definedName>
    <definedName name="current14">[1]Inputs!$E$684</definedName>
    <definedName name="current15">[1]Inputs!$E$735</definedName>
    <definedName name="current2">[1]Inputs!$E$72</definedName>
    <definedName name="current3">[1]Inputs!$E$123</definedName>
    <definedName name="current4">[1]Inputs!$E$174</definedName>
    <definedName name="current5">[1]Inputs!$E$225</definedName>
    <definedName name="current6">[1]Inputs!$E$276</definedName>
    <definedName name="current7">[1]Inputs!$E$327</definedName>
    <definedName name="current8">[1]Inputs!$E$378</definedName>
    <definedName name="current9">[1]Inputs!$E$429</definedName>
    <definedName name="CustomPubSales">#REF!</definedName>
    <definedName name="Date" localSheetId="1">[16]Comps!#REF!</definedName>
    <definedName name="Date">[16]Comps!#REF!</definedName>
    <definedName name="Date_OC1">OFFSET([6]OCTrends!$B$2,0,0,COUNTA([6]OCTrends!$B$1:$B$65536)-1)</definedName>
    <definedName name="Date_OC2">OFFSET([6]OCTrends!$G$2,0,0,COUNTA([6]OCTrends!$G$1:$G$65536)-1)</definedName>
    <definedName name="Date_OC3">OFFSET([6]OCTrends!$L$2,0,0,COUNTA([6]OCTrends!$L$1:$L$65536)-1)</definedName>
    <definedName name="debtsched" localSheetId="1">[5]Inputs!#REF!</definedName>
    <definedName name="debtsched">[5]Inputs!#REF!</definedName>
    <definedName name="decconsultants">#REF!</definedName>
    <definedName name="decemberemployees">#REF!</definedName>
    <definedName name="decemployees">#REF!</definedName>
    <definedName name="default">#REF!</definedName>
    <definedName name="Default_Scenario">#REF!</definedName>
    <definedName name="Default_Table" localSheetId="1">#REF!</definedName>
    <definedName name="Default_Table">#REF!</definedName>
    <definedName name="Default_Timing">#REF!</definedName>
    <definedName name="depsched" localSheetId="1">[5]Inputs!#REF!</definedName>
    <definedName name="depsched">[5]Inputs!#REF!</definedName>
    <definedName name="DivActual">OFFSET([6]DivTrends!$C$2,0,0,COUNTA([6]DivTrends!$C$1:$C$65536)-1)</definedName>
    <definedName name="DivCovenant">OFFSET([6]DivTrends!$D$2,0,0,COUNTA([6]DivTrends!$D$1:$D$65536)-1)</definedName>
    <definedName name="DivDate">OFFSET([6]DivTrends!$B$2,0,0,COUNTA([6]DivTrends!$B$1:$B$65536)-1)</definedName>
    <definedName name="Diversity">'[7]Actual vs Covenant'!$P$41:$Q$48</definedName>
    <definedName name="DiversityScore">#REF!</definedName>
    <definedName name="earnout">#REF!</definedName>
    <definedName name="earnout___0">#REF!</definedName>
    <definedName name="EBIT">Model!#REF!</definedName>
    <definedName name="EBITDA">#REF!</definedName>
    <definedName name="ebitda1">[1]Inputs!$P$46</definedName>
    <definedName name="ebitda10">[1]Inputs!$P$505</definedName>
    <definedName name="ebitda11">[1]Inputs!$P$556</definedName>
    <definedName name="ebitda12">[1]Inputs!$P$607</definedName>
    <definedName name="ebitda13">[1]Inputs!$P$658</definedName>
    <definedName name="ebitda14">[1]Inputs!$P$709</definedName>
    <definedName name="ebitda15">[1]Inputs!$P$760</definedName>
    <definedName name="ebitda2">[1]Inputs!$P$97</definedName>
    <definedName name="ebitda3">[1]Inputs!$P$148</definedName>
    <definedName name="ebitda4">[1]Inputs!$P$199</definedName>
    <definedName name="ebitda5">[1]Inputs!$P$250</definedName>
    <definedName name="ebitda6">[1]Inputs!$P$301</definedName>
    <definedName name="ebitda7">[1]Inputs!$P$352</definedName>
    <definedName name="ebitda8">[1]Inputs!$P$403</definedName>
    <definedName name="ebitda9">[1]Inputs!$P$454</definedName>
    <definedName name="effective_date">#REF!</definedName>
    <definedName name="ELC1_Top3">[7]TOP10!$D$3</definedName>
    <definedName name="ELC1_Top4">[7]TOP10!$D$8</definedName>
    <definedName name="ELC1FitchRatingChartData">[7]ELC1!$G$2:$H$11</definedName>
    <definedName name="ELC1FitchRatingChartSerial1">[7]ELC1!$H$2:$H$11</definedName>
    <definedName name="ELC1FitchRatingChartXScale">[7]ELC1!$G$2:$G$11</definedName>
    <definedName name="ELC1MoodyRatingChartData">[7]ELC1!$A$2:$B$14</definedName>
    <definedName name="ELC1MoodyRatingChartSerial1">[7]ELC1!$B$2:$B$14</definedName>
    <definedName name="ELC1MoodyRatingChartXScale">[7]ELC1!$A$2:$A$14</definedName>
    <definedName name="ELC1SPRatingChartData">[7]ELC1!$D$2:$E$14</definedName>
    <definedName name="ELC1SPRatingChartSerial1">[7]ELC1!$E$2:$E$14</definedName>
    <definedName name="ELC1SPRatingChartXScale">[7]ELC1!$D$2:$D$14</definedName>
    <definedName name="ELC2_Top3">[7]TOP10!$G$3</definedName>
    <definedName name="ELC2_Top4">[7]TOP10!$G$8</definedName>
    <definedName name="ELC2FitchRatingChartData">[7]ELC2!$G$2:$H$12</definedName>
    <definedName name="ELC2FitchRatingChartSerial1">[7]ELC2!$H$2:$H$12</definedName>
    <definedName name="ELC2FitchRatingChartXScale">[7]ELC2!$G$2:$G$12</definedName>
    <definedName name="ELC2MoodyRatingChartData">[7]ELC2!$A$2:$B$15</definedName>
    <definedName name="ELC2MoodyRatingChartSerial1">[7]ELC2!$B$2:$B$15</definedName>
    <definedName name="ELC2MoodyRatingChartXScale">[7]ELC2!$A$2:$A$15</definedName>
    <definedName name="ELC2SPRatingChartData">[7]ELC2!$D$2:$E$15</definedName>
    <definedName name="ELC2SPRatingChartSerial1">[7]ELC2!$E$2:$E$15</definedName>
    <definedName name="ELC2SPRatingChartXScale">[7]ELC2!$D$2:$D$15</definedName>
    <definedName name="ELC3_Top3">[7]TOP10!$J$3</definedName>
    <definedName name="ELC3_Top4">[7]TOP10!$J$8</definedName>
    <definedName name="ELC3FitchRatingChartData">[7]ELC3!$G$2:$H$14</definedName>
    <definedName name="ELC3FitchRatingChartSerial1">[7]ELC3!$H$2:$H$14</definedName>
    <definedName name="ELC3FitchRatingChartXScale">[7]ELC3!$G$2:$G$14</definedName>
    <definedName name="ELC3MoodyRatingChartData">[7]ELC3!$A$2:$B$15</definedName>
    <definedName name="ELC3MoodyRatingChartSerial1">[7]ELC3!$B$2:$B$15</definedName>
    <definedName name="ELC3MoodyRatingChartXScale">[7]ELC3!$A$2:$A$15</definedName>
    <definedName name="ELC3SPRatingChartData">[7]ELC3!$D$2:$E$16</definedName>
    <definedName name="ELC3SPRatingChartSerial1">[7]ELC3!$E$2:$E$16</definedName>
    <definedName name="ELC3SPRatingChartXScale">[7]ELC3!$D$2:$D$16</definedName>
    <definedName name="ELC4_Top3">[7]TOP10!$M$3</definedName>
    <definedName name="ELC4_Top4">[7]TOP10!$M$8</definedName>
    <definedName name="ELC4FitchRatingChartData">[7]ELC4!$G$2:$H$8</definedName>
    <definedName name="ELC4FitchRatingChartSerial1">[7]ELC4!$H$2:$H$8</definedName>
    <definedName name="ELC4FitchRatingChartXScale">[7]ELC4!$G$2:$G$8</definedName>
    <definedName name="ELC4MoodyRatingChartData">[7]ELC4!$A$2:$B$13</definedName>
    <definedName name="ELC4MoodyRatingChartSerial1">[7]ELC4!$B$2:$B$13</definedName>
    <definedName name="ELC4MoodyRatingChartXScale">[7]ELC4!$A$2:$A$13</definedName>
    <definedName name="ELC4SPRatingChartData">[7]ELC4!$D$2:$E$14</definedName>
    <definedName name="ELC4SPRatingChartSerial1">[7]ELC4!$E$2:$E$14</definedName>
    <definedName name="ELC4SPRatingChartXScale">[7]ELC4!$D$2:$D$14</definedName>
    <definedName name="ELC5_Top3">[7]TOP10!$P$3</definedName>
    <definedName name="ELC5_Top4">[7]TOP10!$P$8</definedName>
    <definedName name="ELC5FitchRatingChartData">[7]ELC5!$G$2:$H$9</definedName>
    <definedName name="ELC5FitchRatingChartSerial1">[7]ELC5!$H$2:$H$9</definedName>
    <definedName name="ELC5FitchRatingChartXScale">[7]ELC5!$G$2:$G$9</definedName>
    <definedName name="ELC5MoodyRatingChartData">[7]ELC5!$A$2:$B$14</definedName>
    <definedName name="ELC5MoodyRatingChartSerial1">[7]ELC5!$B$2:$B$14</definedName>
    <definedName name="ELC5MoodyRatingChartXScale">[7]ELC5!$A$2:$A$14</definedName>
    <definedName name="ELC5SPRatingChartData">[7]ELC5!$D$2:$E$14</definedName>
    <definedName name="ELC5SPRatingChartSerial1">[7]ELC5!$E$2:$E$14</definedName>
    <definedName name="ELC5SPRatingChartXScale">[7]ELC5!$D$2:$D$14</definedName>
    <definedName name="employees">#REF!</definedName>
    <definedName name="EndDay">[6]Selections!$R$3</definedName>
    <definedName name="EndMonth">[6]Selections!$R$2</definedName>
    <definedName name="EndYear">[6]Selections!$R$1</definedName>
    <definedName name="ePrint" localSheetId="1">[17]Consolidated!#REF!</definedName>
    <definedName name="ePrint">[17]Consolidated!#REF!</definedName>
    <definedName name="EQUITY">'[9]S&amp;U'!$E$12</definedName>
    <definedName name="equityamt">#REF!</definedName>
    <definedName name="equityamt___0">#REF!</definedName>
    <definedName name="equityper">#REF!</definedName>
    <definedName name="equityper___0">#REF!</definedName>
    <definedName name="ev.Calculation" hidden="1">-4105</definedName>
    <definedName name="ev.Initialized" hidden="1">FALSE</definedName>
    <definedName name="exe">#REF!</definedName>
    <definedName name="fianal">[18]Preliminary!$A$1:$D$65</definedName>
    <definedName name="filename">[6]Selections!$U$2</definedName>
    <definedName name="Final_Number">#REF!</definedName>
    <definedName name="FinanceRev">#REF!</definedName>
    <definedName name="FinanceRev2">#REF!</definedName>
    <definedName name="firstHourDate">#REF!</definedName>
    <definedName name="firstProject">#REF!</definedName>
    <definedName name="Flat_Swap">#REF!</definedName>
    <definedName name="FSoPacific" localSheetId="0" hidden="1">{"BS",#N/A,FALSE,"USA"}</definedName>
    <definedName name="FSoPacific" hidden="1">{"BS",#N/A,FALSE,"USA"}</definedName>
    <definedName name="Fund">[6]Selections!$A$1</definedName>
    <definedName name="Fwd_Curve">#REF!</definedName>
    <definedName name="FYEMarker">#REF!</definedName>
    <definedName name="FYEMonth">#REF!</definedName>
    <definedName name="G_A_SUMMARY">#REF!</definedName>
    <definedName name="group_quarterly">#REF!</definedName>
    <definedName name="Header1">[19]_01_05_v_Wicks_xls__01_05_v_Wic!$N$1</definedName>
    <definedName name="high1">[1]Inputs!$E$23</definedName>
    <definedName name="high10">[1]Inputs!$E$482</definedName>
    <definedName name="high11">[1]Inputs!$E$533</definedName>
    <definedName name="high12">[1]Inputs!$E$584</definedName>
    <definedName name="high13">[1]Inputs!$E$635</definedName>
    <definedName name="high14">[1]Inputs!$E$686</definedName>
    <definedName name="high15">[1]Inputs!$E$737</definedName>
    <definedName name="high2">[1]Inputs!$E$74</definedName>
    <definedName name="high3">[1]Inputs!$E$125</definedName>
    <definedName name="high4">[1]Inputs!$E$176</definedName>
    <definedName name="high5">[1]Inputs!$E$227</definedName>
    <definedName name="high6">[1]Inputs!$E$278</definedName>
    <definedName name="high7">[1]Inputs!$E$329</definedName>
    <definedName name="high8">[1]Inputs!$E$380</definedName>
    <definedName name="high9">[1]Inputs!$E$431</definedName>
    <definedName name="hl" localSheetId="1">'[20]LBO Summary'!#REF!</definedName>
    <definedName name="hl">'[20]LBO Summary'!#REF!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IC1Actual">OFFSET([6]ICTrends!$C$2,0,0,COUNTA([6]ICTrends!$C$1:$C$65536)-1)</definedName>
    <definedName name="IC1ChartTitle">[6]ICTrends!$W$1</definedName>
    <definedName name="IC1Covenant">OFFSET([6]ICTrends!$D$2,0,0,COUNTA([6]ICTrends!$D$1:$D$65536)-1)</definedName>
    <definedName name="IC1Date">OFFSET([6]ICTrends!$B$2,0,0,COUNTA([6]ICTrends!$B$1:$B$65536)-1)</definedName>
    <definedName name="IC2Actual">OFFSET([6]ICTrends!$H$2,0,0,COUNTA([6]ICTrends!$H$1:$H$65536)-1)</definedName>
    <definedName name="IC2Covenant">OFFSET([6]ICTrends!$I$2,0,0,COUNTA([6]ICTrends!$I$1:$I$65536)-1)</definedName>
    <definedName name="IC2Date">OFFSET([6]ICTrends!$G$2,0,0,COUNTA([6]ICTrends!$G$1:$G$65536)-1)</definedName>
    <definedName name="IC3Actual">OFFSET([6]ICTrends!$M$2,0,0,COUNTA([6]ICTrends!$M$1:$M$65536)-1)</definedName>
    <definedName name="IC3Covenant">OFFSET([6]ICTrends!$N$2,0,0,COUNTA([6]ICTrends!$N$1:$N$65536)-1)</definedName>
    <definedName name="IC3Date">OFFSET([6]ICTrends!$L$2,0,0,COUNTA([6]ICTrends!$L$1:$L$65536)-1)</definedName>
    <definedName name="IC4Actual">OFFSET([6]ICTrends!$R$2,0,0,COUNTA([6]ICTrends!$R$1:$R$65536)-1)</definedName>
    <definedName name="IC4Covenant">OFFSET([6]ICTrends!$S$2,0,0,COUNTA([6]ICTrends!$S$1:$S$65536)-1)</definedName>
    <definedName name="IC4Date">OFFSET([6]ICTrends!$Q$2,0,0,COUNTA([6]ICTrends!$Q$1:$Q$65536)-1)</definedName>
    <definedName name="inc">#REF!</definedName>
    <definedName name="incsyntog">#REF!</definedName>
    <definedName name="incsyntog___0">#REF!</definedName>
    <definedName name="inputs">#REF!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AVG_PRICE_TARGET" hidden="1">"c82"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CAPEX_BR" hidden="1">"c111"</definedName>
    <definedName name="IQ_CH">110000</definedName>
    <definedName name="IQ_CHANGE_AP_BR" hidden="1">"c135"</definedName>
    <definedName name="IQ_CHANGE_AR_BR" hidden="1">"c142"</definedName>
    <definedName name="IQ_CHANGE_OTHER_NET_OPER_ASSETS_BR" hidden="1">"c3595"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ONV_RATE" hidden="1">"c2192"</definedName>
    <definedName name="IQ_CQ">5000</definedName>
    <definedName name="IQ_CURRENCY_GAIN_BR" hidden="1">"c236"</definedName>
    <definedName name="IQ_CURRENT_PORT_DEBT_BR" hidden="1">"c1567"</definedName>
    <definedName name="IQ_CY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NTM" hidden="1">700000</definedName>
    <definedName name="IQ_EBIT_10K" hidden="1">"IQ_EBIT_10K"</definedName>
    <definedName name="IQ_EBIT_10Q" hidden="1">"IQ_EBIT_10Q"</definedName>
    <definedName name="IQ_EBIT_10Q1" hidden="1">"IQ_EBIT_10Q1"</definedName>
    <definedName name="IQ_EBIT_GROWTH_1" hidden="1">"IQ_EBIT_GROWTH_1"</definedName>
    <definedName name="IQ_EBIT_GROWTH_2" hidden="1">"IQ_EBIT_GROWTH_2"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GROWTH_1" hidden="1">"IQ_EBITDA_GROWTH_1"</definedName>
    <definedName name="IQ_EBITDA_GROWTH_2" hidden="1">"IQ_EBITDA_GROWTH_2"</definedName>
    <definedName name="IQ_EBT_BR" hidden="1">"c378"</definedName>
    <definedName name="IQ_EBT_EXCL_BR" hidden="1">"c381"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EST_1" hidden="1">"IQ_EPS_EST_1"</definedName>
    <definedName name="IQ_EST_EPS_SURPRISE" hidden="1">"c1635"</definedName>
    <definedName name="IQ_EV_OVER_REVENUE_EST" hidden="1">"IQ_EV_OVER_REVENUE_EST"</definedName>
    <definedName name="IQ_EV_OVER_REVENUE_EST_1" hidden="1">"IQ_EV_OVER_REVENUE_EST_1"</definedName>
    <definedName name="IQ_EXTRA_ACC_ITEMS_BR" hidden="1">"c412"</definedName>
    <definedName name="IQ_FH">100000</definedName>
    <definedName name="IQ_FQ">500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1" hidden="1">"LTM"</definedName>
    <definedName name="IQ_FY">1000</definedName>
    <definedName name="IQ_FY_DATE" hidden="1">"IQ_FY_DATE"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VEST_LOANS_CF_BR" hidden="1">"c630"</definedName>
    <definedName name="IQ_INVEST_SECURITY_CF_BR" hidden="1">"c639"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GAL_SETTLE_BR" hidden="1">"c649"</definedName>
    <definedName name="IQ_LOANS_CF_BR" hidden="1">"c661"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>2000</definedName>
    <definedName name="IQ_LTM_DATE" hidden="1">"IQ_LTM_DATE"</definedName>
    <definedName name="IQ_LTMMONTH" hidden="1">120000</definedName>
    <definedName name="IQ_MERGER_BR" hidden="1">"c715"</definedName>
    <definedName name="IQ_MERGER_RESTRUCTURE_BR" hidden="1">"c721"</definedName>
    <definedName name="IQ_MINORITY_INTEREST_BR" hidden="1">"c729"</definedName>
    <definedName name="IQ_MONTH">15000</definedName>
    <definedName name="IQ_MTD" hidden="1">800000</definedName>
    <definedName name="IQ_NAMES_REVISION_DATE_" hidden="1">43948.1663888889</definedName>
    <definedName name="IQ_NET_DEBT_ISSUED_BR" hidden="1">"c753"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GROWTH_1" hidden="1">"IQ_NET_INC_GROWTH_1"</definedName>
    <definedName name="IQ_NET_INC_GROWTH_2" hidden="1">"IQ_NET_INC_GROWTH_2"</definedName>
    <definedName name="IQ_NET_INT_INC_BR" hidden="1">"c765"</definedName>
    <definedName name="IQ_NTM">6000</definedName>
    <definedName name="IQ_OG_TOTAL_OIL_PRODUCTON" hidden="1">"c2059"</definedName>
    <definedName name="IQ_OPER_INC_BR" hidden="1">"c850"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REF_ISSUED_BR" hidden="1">"c1047"</definedName>
    <definedName name="IQ_PREF_OTHER_BR" hidden="1">"c1055"</definedName>
    <definedName name="IQ_PREF_REP_BR" hidden="1">"c1062"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EPS_EST" hidden="1">"IQ_PRICE_OVER_EPS_EST"</definedName>
    <definedName name="IQ_PRICE_OVER_EPS_EST_1" hidden="1">"IQ_PRICE_OVER_EPS_EST_1"</definedName>
    <definedName name="IQ_PRICEDATETIME" hidden="1">"IQ_PRICEDATETIME"</definedName>
    <definedName name="IQ_QTD" hidden="1">750000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PENSION_OBLIGATION" hidden="1">"c1292"</definedName>
    <definedName name="IQ_TOTAL_REV_BR" hidden="1">"c1303"</definedName>
    <definedName name="IQ_TREASURY_OTHER_EQUITY_BR" hidden="1">"c1314"</definedName>
    <definedName name="IQ_UNEARN_REV_CURRENT_BR" hidden="1">"c1324"</definedName>
    <definedName name="IQ_WEEK">50000</definedName>
    <definedName name="IQ_YTD">3000</definedName>
    <definedName name="IQ_YTDMONTH" hidden="1">130000</definedName>
    <definedName name="IsColHidden" hidden="1">FALSE</definedName>
    <definedName name="IsLTMColHidden" hidden="1">FALSE</definedName>
    <definedName name="Item">#REF!</definedName>
    <definedName name="K2_WBEVMODE" hidden="1">-1</definedName>
    <definedName name="lastCol">#REF!</definedName>
    <definedName name="latest1">[1]Inputs!$E$13</definedName>
    <definedName name="latest10">[1]Inputs!$E$472</definedName>
    <definedName name="latest11">[1]Inputs!$E$523</definedName>
    <definedName name="latest12">[1]Inputs!$E$574</definedName>
    <definedName name="latest13">[1]Inputs!$E$625</definedName>
    <definedName name="latest14">[1]Inputs!$E$676</definedName>
    <definedName name="latest15">[1]Inputs!$E$727</definedName>
    <definedName name="latest2">[1]Inputs!$E$64</definedName>
    <definedName name="latest3">[1]Inputs!$E$115</definedName>
    <definedName name="latest4">[1]Inputs!$E$166</definedName>
    <definedName name="latest5">[1]Inputs!$E$217</definedName>
    <definedName name="latest6">[1]Inputs!$E$268</definedName>
    <definedName name="latest7">[1]Inputs!$E$319</definedName>
    <definedName name="latest8">[1]Inputs!$E$370</definedName>
    <definedName name="latest9">[1]Inputs!$E$421</definedName>
    <definedName name="LBO" localSheetId="1">'[9]S&amp;U'!#REF!</definedName>
    <definedName name="LBO">'[9]S&amp;U'!#REF!</definedName>
    <definedName name="left">#REF!</definedName>
    <definedName name="lett" localSheetId="1">#REF!</definedName>
    <definedName name="lett">#REF!</definedName>
    <definedName name="LIBOR">[21]Portfolio!$E$2</definedName>
    <definedName name="Libor_Assumptions">#REF!</definedName>
    <definedName name="Libor_Curve">#REF!</definedName>
    <definedName name="Libor_Down">#REF!</definedName>
    <definedName name="Libor_Down_Up">#REF!</definedName>
    <definedName name="LIBOR_Minus_1SD" localSheetId="1">[10]Revolver!#REF!</definedName>
    <definedName name="LIBOR_Minus_1SD">[10]Revolver!#REF!</definedName>
    <definedName name="Libor_Minus_2SD" localSheetId="1">[10]Revolver!#REF!</definedName>
    <definedName name="Libor_Minus_2SD">[10]Revolver!#REF!</definedName>
    <definedName name="Libor_Plus_0SD" localSheetId="1">[10]Revolver!#REF!</definedName>
    <definedName name="Libor_Plus_0SD">[10]Revolver!#REF!</definedName>
    <definedName name="Libor_Plus_1SD" localSheetId="1">[10]Revolver!#REF!</definedName>
    <definedName name="Libor_Plus_1SD">[10]Revolver!#REF!</definedName>
    <definedName name="Libor_Plus_2SD" localSheetId="1">[10]Revolver!#REF!</definedName>
    <definedName name="Libor_Plus_2SD">[10]Revolver!#REF!</definedName>
    <definedName name="Libor_Scenario">#REF!</definedName>
    <definedName name="Libor_Up">#REF!</definedName>
    <definedName name="longterm" localSheetId="1">[5]Inputs!#REF!</definedName>
    <definedName name="longterm">[5]Inputs!#REF!</definedName>
    <definedName name="LTM_DATE">#REF!</definedName>
    <definedName name="Marketable_securities" localSheetId="1">'[22]Fly-by-night - problem 5'!#REF!</definedName>
    <definedName name="Marketable_securities">'[22]Fly-by-night - problem 5'!#REF!</definedName>
    <definedName name="MaxMarkDate">[7]SaleData!$M$3</definedName>
    <definedName name="mcs03g.ReqArray" localSheetId="0">{"Price","ICTG","TS131","D","0","0","H"}</definedName>
    <definedName name="mcs03g.ReqArray">{"Price","ICTG","TS131","D","0","0","H"}</definedName>
    <definedName name="mcs03g.ReqArray___0">#N/A</definedName>
    <definedName name="mcs03g.ReqArray___12">#N/A</definedName>
    <definedName name="mcs03g.ReqArray___2">#N/A</definedName>
    <definedName name="MKVALM" localSheetId="1">#REF!</definedName>
    <definedName name="MKVALM">#REF!</definedName>
    <definedName name="MONTHLYSALES" localSheetId="1">#REF!</definedName>
    <definedName name="MONTHLYSALES">#REF!</definedName>
    <definedName name="MONTHLYSALES___0" localSheetId="1">#REF!</definedName>
    <definedName name="MONTHLYSALES___0">#REF!</definedName>
    <definedName name="moodys">#REF!</definedName>
    <definedName name="mu">'[23]LBO Summary'!$G$130</definedName>
    <definedName name="Name">[5]Info!$C$8</definedName>
    <definedName name="name1">[1]Inputs!$E$10</definedName>
    <definedName name="name10">[1]Inputs!$E$469</definedName>
    <definedName name="name11">[1]Inputs!$E$520</definedName>
    <definedName name="name12">[1]Inputs!$E$571</definedName>
    <definedName name="name13">[1]Inputs!$E$622</definedName>
    <definedName name="name14">[1]Inputs!$E$673</definedName>
    <definedName name="name15">[1]Inputs!$E$724</definedName>
    <definedName name="name2">[1]Inputs!$E$61</definedName>
    <definedName name="name3">[1]Inputs!$E$112</definedName>
    <definedName name="name4">[1]Inputs!$E$163</definedName>
    <definedName name="name5">[1]Inputs!$E$214</definedName>
    <definedName name="name6">[1]Inputs!$E$265</definedName>
    <definedName name="name7">[1]Inputs!$E$316</definedName>
    <definedName name="name8">[1]Inputs!$E$367</definedName>
    <definedName name="name9">[1]Inputs!$E$418</definedName>
    <definedName name="NDY" localSheetId="1">#REF!</definedName>
    <definedName name="NDY">#REF!</definedName>
    <definedName name="NDYWGT" localSheetId="1">#REF!</definedName>
    <definedName name="NDYWGT">#REF!</definedName>
    <definedName name="OC1Actual">OFFSET([6]OCTrends!$C$2,0,0,COUNTA([6]OCTrends!$C$1:$C$65536)-1)</definedName>
    <definedName name="OC1ChartTitle">[6]OCTrends!$W$1</definedName>
    <definedName name="OC1Covenant">OFFSET([6]OCTrends!$D$2,0,0,COUNTA([6]OCTrends!$D$1:$D$65536)-1)</definedName>
    <definedName name="OC1Date">OFFSET([6]OCTrends!$B$2,0,0,COUNTA([6]OCTrends!$B$1:$B$65536)-1)</definedName>
    <definedName name="OC2Actual">OFFSET([6]OCTrends!$H$2,0,0,COUNTA([6]OCTrends!$H$1:$H$65536)-1)</definedName>
    <definedName name="OC2Covenant">OFFSET([6]OCTrends!$I$2,0,0,COUNTA([6]OCTrends!$I$1:$I$65536)-1)</definedName>
    <definedName name="OC2Date">OFFSET([6]OCTrends!$G$2,0,0,COUNTA([6]OCTrends!$G$1:$G$65536)-1)</definedName>
    <definedName name="OC3Actual">OFFSET([6]OCTrends!$M$2,0,0,COUNTA([6]OCTrends!$M$1:$M$65536)-1)</definedName>
    <definedName name="OC3Covenant">OFFSET([6]OCTrends!$N$2,0,0,COUNTA([6]OCTrends!$N$1:$N$65536)-1)</definedName>
    <definedName name="OC3Date">OFFSET([6]OCTrends!$L$2,0,0,COUNTA([6]OCTrends!$L$1:$L$65536)-1)</definedName>
    <definedName name="OC4Actual">OFFSET([6]OCTrends!$R$2,0,0,COUNTA([6]OCTrends!$R$1:$R$65536)-1)</definedName>
    <definedName name="OC4Covenant">OFFSET([6]OCTrends!$S$2,0,0,COUNTA([6]OCTrends!$S$1:$S$65536)-1)</definedName>
    <definedName name="OC4Date">OFFSET([6]OCTrends!$Q$2,0,0,COUNTA([6]OCTrends!$Q$1:$Q$65536)-1)</definedName>
    <definedName name="Order">#REF!</definedName>
    <definedName name="Other_assets" localSheetId="1">'[22]Fly-by-night - problem 5'!#REF!</definedName>
    <definedName name="Other_assets">'[22]Fly-by-night - problem 5'!#REF!</definedName>
    <definedName name="Other_current_liabilities_Sales" localSheetId="1">'[4]Tanning Assumptions'!#REF!</definedName>
    <definedName name="Other_current_liabilities_Sales">'[4]Tanning Assumptions'!#REF!</definedName>
    <definedName name="Other_long_term_liabilities" localSheetId="1">'[4]Tanning Assumptions'!#REF!</definedName>
    <definedName name="Other_long_term_liabilities">'[4]Tanning Assumptions'!#REF!</definedName>
    <definedName name="OtherRev">#REF!</definedName>
    <definedName name="P_L" localSheetId="1">#REF!</definedName>
    <definedName name="P_L">#REF!</definedName>
    <definedName name="PCV">[6]Calcs!$B$1</definedName>
    <definedName name="Percentage">#REF!</definedName>
    <definedName name="Period">#REF!</definedName>
    <definedName name="Period1">#REF!</definedName>
    <definedName name="Period2">#REF!</definedName>
    <definedName name="Period3">#REF!</definedName>
    <definedName name="Period4">#REF!</definedName>
    <definedName name="Period5">#REF!</definedName>
    <definedName name="Period6">#REF!</definedName>
    <definedName name="Period7">#REF!</definedName>
    <definedName name="Period8">#REF!</definedName>
    <definedName name="PERSONAL_FINANCIAL" localSheetId="1">#REF!</definedName>
    <definedName name="PERSONAL_FINANCIAL">#REF!</definedName>
    <definedName name="PERSONAL_FINANCIAL___0" localSheetId="1">#REF!</definedName>
    <definedName name="PERSONAL_FINANCIAL___0">#REF!</definedName>
    <definedName name="PFLTM" localSheetId="1">'[24]VeCTOR Import'!#REF!</definedName>
    <definedName name="PFLTM">'[24]VeCTOR Import'!#REF!</definedName>
    <definedName name="pik" localSheetId="1">'[9]S&amp;U'!#REF!</definedName>
    <definedName name="pik">'[9]S&amp;U'!#REF!</definedName>
    <definedName name="portion1">[1]Inputs!$E$14</definedName>
    <definedName name="portion10">[1]Inputs!$E$473</definedName>
    <definedName name="portion11">[1]Inputs!$E$524</definedName>
    <definedName name="portion12">[1]Inputs!$E$575</definedName>
    <definedName name="portion13">[1]Inputs!$E$626</definedName>
    <definedName name="portion14">[1]Inputs!$E$677</definedName>
    <definedName name="portion15">[1]Inputs!$E$728</definedName>
    <definedName name="portion2">[1]Inputs!$E$65</definedName>
    <definedName name="portion3">[1]Inputs!$E$116</definedName>
    <definedName name="portion4">[1]Inputs!$E$167</definedName>
    <definedName name="portion5">[1]Inputs!$E$218</definedName>
    <definedName name="portion6">[1]Inputs!$E$269</definedName>
    <definedName name="portion7">[1]Inputs!$E$320</definedName>
    <definedName name="portion8">[1]Inputs!$E$371</definedName>
    <definedName name="portion9">[1]Inputs!$E$422</definedName>
    <definedName name="PP_E_Sales" localSheetId="1">'[4]Tanning Assumptions'!#REF!</definedName>
    <definedName name="PP_E_Sales">'[4]Tanning Assumptions'!#REF!</definedName>
    <definedName name="prefbamt">#REF!</definedName>
    <definedName name="prefbamt___0">#REF!</definedName>
    <definedName name="prefbper">#REF!</definedName>
    <definedName name="prefbper___0">#REF!</definedName>
    <definedName name="Preliminary">#REF!</definedName>
    <definedName name="Prepaids_Sales" localSheetId="1">'[4]Tanning Assumptions'!#REF!</definedName>
    <definedName name="Prepaids_Sales">'[4]Tanning Assumptions'!#REF!</definedName>
    <definedName name="PRICES">#REF!</definedName>
    <definedName name="PRICES___0">#REF!</definedName>
    <definedName name="_xlnm.Print_Area" localSheetId="1">Model!$B$388:$D$450</definedName>
    <definedName name="_xlnm.Print_Area">#REF!</definedName>
    <definedName name="_xlnm.Print_Titles" localSheetId="1">Model!$2:$5</definedName>
    <definedName name="_xlnm.Print_Titles">#REF!</definedName>
    <definedName name="project">[12]CONTROL!$D$8</definedName>
    <definedName name="project___0">[8]CONTROL!$D$8</definedName>
    <definedName name="ProjList">#REF!</definedName>
    <definedName name="PublicCompany" localSheetId="1">#REF!</definedName>
    <definedName name="PublicCompany">#REF!</definedName>
    <definedName name="purchase">[25]TRANSACTION!$Q$2</definedName>
    <definedName name="PURCHASE_PRICE">[26]Sheet5:D!$A$1:$H$23</definedName>
    <definedName name="qryWSO_Positions_ByFunds_CrossTab">#REF!</definedName>
    <definedName name="quarterly">#REF!</definedName>
    <definedName name="rate">#REF!</definedName>
    <definedName name="RateTable" localSheetId="1">[27]MASTER!#REF!</definedName>
    <definedName name="RateTable">[27]MASTER!#REF!</definedName>
    <definedName name="Rating">'[7]Actual vs Covenant'!$P$11:$Q$18</definedName>
    <definedName name="RatingFactors">#REF!</definedName>
    <definedName name="RATIOS">#REF!</definedName>
    <definedName name="RATIOS___0">#REF!</definedName>
    <definedName name="recovery">#REF!</definedName>
    <definedName name="refi">'[28]OBS - REFI'!$AP$5</definedName>
    <definedName name="REPORT">#REF!</definedName>
    <definedName name="REPORT___0">#REF!</definedName>
    <definedName name="ReprintRev">#REF!</definedName>
    <definedName name="ret">#REF!</definedName>
    <definedName name="rhl" localSheetId="1">'[20]LBO Summary'!#REF!</definedName>
    <definedName name="rhl">'[20]LBO Summary'!#REF!</definedName>
    <definedName name="RoyaltyRev">#REF!</definedName>
    <definedName name="rptData">#REF!</definedName>
    <definedName name="rr" localSheetId="1">'[20]LBO Summary'!#REF!</definedName>
    <definedName name="rr">'[20]LBO Summary'!#REF!</definedName>
    <definedName name="s" localSheetId="1">#REF!</definedName>
    <definedName name="s">#REF!</definedName>
    <definedName name="s.outstand" localSheetId="1">[5]Inputs!#REF!</definedName>
    <definedName name="s.outstand">[5]Inputs!#REF!</definedName>
    <definedName name="SALES" localSheetId="1">#REF!</definedName>
    <definedName name="SALES">#REF!</definedName>
    <definedName name="SALES___0" localSheetId="1">#REF!</definedName>
    <definedName name="SALES___0">#REF!</definedName>
    <definedName name="sales1">[1]Inputs!$P$29</definedName>
    <definedName name="sales10">[1]Inputs!$P$488</definedName>
    <definedName name="sales11">[1]Inputs!$P$539</definedName>
    <definedName name="sales12">[1]Inputs!$P$590</definedName>
    <definedName name="sales13">[1]Inputs!$P$641</definedName>
    <definedName name="sales14">[1]Inputs!$P$692</definedName>
    <definedName name="sales15">[1]Inputs!$P$743</definedName>
    <definedName name="sales2">[1]Inputs!$P$80</definedName>
    <definedName name="sales3">[1]Inputs!$P$131</definedName>
    <definedName name="sales4">[1]Inputs!$P$182</definedName>
    <definedName name="sales5">[1]Inputs!$P$233</definedName>
    <definedName name="sales6">[1]Inputs!$P$284</definedName>
    <definedName name="sales7">[1]Inputs!$P$335</definedName>
    <definedName name="sales8">[1]Inputs!$P$386</definedName>
    <definedName name="sales9">[1]Inputs!$P$437</definedName>
    <definedName name="scen">#REF!</definedName>
    <definedName name="Scenario_11">#REF!</definedName>
    <definedName name="Scenario_12">#REF!</definedName>
    <definedName name="Scenario_13">#REF!</definedName>
    <definedName name="Scenario_14">#REF!</definedName>
    <definedName name="Scenario_15">#REF!</definedName>
    <definedName name="Scenario_16">#REF!</definedName>
    <definedName name="Scenario_17">#REF!</definedName>
    <definedName name="Scenario_18">#REF!</definedName>
    <definedName name="Scenario_19">#REF!</definedName>
    <definedName name="Scenario_20">#REF!</definedName>
    <definedName name="Scenario_21">#REF!</definedName>
    <definedName name="Scenario_22">#REF!</definedName>
    <definedName name="Scenario_23">#REF!</definedName>
    <definedName name="Scenario_24">#REF!</definedName>
    <definedName name="Scenario_25">#REF!</definedName>
    <definedName name="Scenario_26">#REF!</definedName>
    <definedName name="Scenario_27">#REF!</definedName>
    <definedName name="Scenario_28">#REF!</definedName>
    <definedName name="Scenario_31">#REF!</definedName>
    <definedName name="Scenario_32">#REF!</definedName>
    <definedName name="Scenario_33">#REF!</definedName>
    <definedName name="Scenario_34">#REF!</definedName>
    <definedName name="Scenario_35">#REF!</definedName>
    <definedName name="Scenario_36">#REF!</definedName>
    <definedName name="Scenario_37">#REF!</definedName>
    <definedName name="Scenario_38">#REF!</definedName>
    <definedName name="Scenario_39" localSheetId="1">#REF!</definedName>
    <definedName name="Scenario_39">#REF!</definedName>
    <definedName name="Scenario_41" localSheetId="1">#REF!</definedName>
    <definedName name="Scenario_41">#REF!</definedName>
    <definedName name="Scenario_42" localSheetId="1">#REF!</definedName>
    <definedName name="Scenario_42">#REF!</definedName>
    <definedName name="Scenario_43" localSheetId="1">#REF!</definedName>
    <definedName name="Scenario_43">#REF!</definedName>
    <definedName name="Scenario_44" localSheetId="1">#REF!</definedName>
    <definedName name="Scenario_44">#REF!</definedName>
    <definedName name="Scenario_51">#REF!</definedName>
    <definedName name="Scenario_52">#REF!</definedName>
    <definedName name="Scenario_53">#REF!</definedName>
    <definedName name="Section">#REF!</definedName>
    <definedName name="SENSITIVITY">#REF!</definedName>
    <definedName name="SENSITIVITY___0">#REF!</definedName>
    <definedName name="sh.equity" localSheetId="1">[5]Inputs!#REF!</definedName>
    <definedName name="sh.equity">[5]Inputs!#REF!</definedName>
    <definedName name="sl" localSheetId="1">'[20]LBO Summary'!#REF!</definedName>
    <definedName name="sl">'[20]LBO Summary'!#REF!</definedName>
    <definedName name="snapshotdate">#REF!</definedName>
    <definedName name="sort_range">#REF!</definedName>
    <definedName name="sponsor">'[9]S&amp;U'!$J$21</definedName>
    <definedName name="Start">#REF!</definedName>
    <definedName name="Start_Date">[6]Selections!$C$1</definedName>
    <definedName name="StartDay">[6]Selections!$P$3</definedName>
    <definedName name="StartMonth">[6]Selections!$P$2</definedName>
    <definedName name="StartRefresh" localSheetId="1">'[14]Portfolio Input'!#REF!</definedName>
    <definedName name="StartRefresh">'[14]Portfolio Input'!#REF!</definedName>
    <definedName name="StartYear">[6]Selections!$P$1</definedName>
    <definedName name="Strip_Amount">#REF!</definedName>
    <definedName name="Strip_PV" localSheetId="1">#REF!</definedName>
    <definedName name="Strip_PV">#REF!</definedName>
    <definedName name="stub">#REF!</definedName>
    <definedName name="stubmonths">'[29]D&amp;A'!$C$5</definedName>
    <definedName name="sub" localSheetId="1">'[20]LBO Summary'!#REF!</definedName>
    <definedName name="sub">'[20]LBO Summary'!#REF!</definedName>
    <definedName name="subdebtamount">[15]Inputs!$J$26</definedName>
    <definedName name="subdebtdate">[15]Inputs!$J$28</definedName>
    <definedName name="Subhead1">[19]_01_05_v_Wicks_xls__01_05_v_Wic!$N$2</definedName>
    <definedName name="subHeading" localSheetId="1">#REF!</definedName>
    <definedName name="subHeading">#REF!</definedName>
    <definedName name="summary">#REF!</definedName>
    <definedName name="support">#REF!</definedName>
    <definedName name="sweep___9" localSheetId="1">[30]COVS_ACTUAL!#REF!</definedName>
    <definedName name="sweep___9">[30]COVS_ACTUAL!#REF!</definedName>
    <definedName name="target">#REF!</definedName>
    <definedName name="tax" localSheetId="1">[31]ISCF!#REF!</definedName>
    <definedName name="tax">[31]ISCF!#REF!</definedName>
    <definedName name="Taxes_Receivable_Sales" localSheetId="1">'[4]Tanning Assumptions'!#REF!</definedName>
    <definedName name="Taxes_Receivable_Sales">'[4]Tanning Assumptions'!#REF!</definedName>
    <definedName name="Test">#REF!</definedName>
    <definedName name="tgt">#REF!</definedName>
    <definedName name="ticker1">[1]Inputs!$E$11</definedName>
    <definedName name="ticker10">[1]Inputs!$E$470</definedName>
    <definedName name="ticker11">[1]Inputs!$E$521</definedName>
    <definedName name="ticker12">[1]Inputs!$E$572</definedName>
    <definedName name="ticker13">[1]Inputs!$E$623</definedName>
    <definedName name="ticker14">[1]Inputs!$E$674</definedName>
    <definedName name="ticker15">[1]Inputs!$E$725</definedName>
    <definedName name="ticker2">[1]Inputs!$E$62</definedName>
    <definedName name="ticker3">[1]Inputs!$E$113</definedName>
    <definedName name="ticker4">[1]Inputs!$E$164</definedName>
    <definedName name="ticker5">[1]Inputs!$E$215</definedName>
    <definedName name="ticker6">[1]Inputs!$E$266</definedName>
    <definedName name="ticker7">[1]Inputs!$E$317</definedName>
    <definedName name="ticker8">[1]Inputs!$E$368</definedName>
    <definedName name="ticker9">[1]Inputs!$E$419</definedName>
    <definedName name="TimeEnd">[6]Selections!$L$3</definedName>
    <definedName name="TimeStart">[6]Selections!$L$2</definedName>
    <definedName name="title">[28]SUM!$A$2</definedName>
    <definedName name="today">#REF!</definedName>
    <definedName name="top">#REF!</definedName>
    <definedName name="TopIC">'[7]Actual vs Covenant'!$P$31:$Q$38</definedName>
    <definedName name="TopOC">'[7]Actual vs Covenant'!$P$21:$Q$28</definedName>
    <definedName name="TOTAL">#REF!</definedName>
    <definedName name="TOTAL___0">#REF!</definedName>
    <definedName name="Total_Europe" localSheetId="1">#REF!</definedName>
    <definedName name="Total_Europe">#REF!</definedName>
    <definedName name="TotalRev">#REF!</definedName>
    <definedName name="TradedCash">[6]Principal!$G$5</definedName>
    <definedName name="trigger">[8]OBS!$U$5</definedName>
    <definedName name="TRYN_Top3">[7]TOP10!$S$3</definedName>
    <definedName name="TRYN_Top4">[7]TOP10!$S$8</definedName>
    <definedName name="TryonFitchRatingChartData">[7]TRYN!$G$2:$H$9</definedName>
    <definedName name="TryonFitchRatingChartSerial1">[7]TRYN!$H$2:$H$9</definedName>
    <definedName name="TryonFitchRatingChartXScale">[7]TRYN!$G$2:$G$9</definedName>
    <definedName name="TryonMoodyRatingChartData">[7]TRYN!$A$2:$B$15</definedName>
    <definedName name="TryonMoodyRatingChartSerial1">[7]TRYN!$B$2:$B$15</definedName>
    <definedName name="TryonMoodyRatingChartXScale">[7]TRYN!$A$2:$A$15</definedName>
    <definedName name="TryonSPRatingChartData">[7]TRYN!$D$2:$E$15</definedName>
    <definedName name="TryonSPRatingChartSerial1">[7]TRYN!$E$2:$E$15</definedName>
    <definedName name="TryonSPRatingChartXScale">[7]TRYN!$D$2:$D$15</definedName>
    <definedName name="units">'[9]S&amp;U'!$K$2</definedName>
    <definedName name="version">[28]SUM!$AE$2</definedName>
    <definedName name="version___0">[8]CONTROL!$D$9</definedName>
    <definedName name="WACActual">OFFSET([6]WACTrends!$C$2,0,0,COUNTA([6]WACTrends!$C$1:$C$65536)-1)</definedName>
    <definedName name="WACCovenant">OFFSET([6]WACTrends!$D$2,0,0,COUNTA([6]WACTrends!$D$1:$D$65536)-1)</definedName>
    <definedName name="WACDate">OFFSET([6]WACTrends!$B$2,0,0,COUNTA([6]WACTrends!$B$1:$B$65536)-1)</definedName>
    <definedName name="WALActual">OFFSET([6]WALTrends!$C$2,0,0,COUNTA([6]WALTrends!$C$1:$C$65536)-1)</definedName>
    <definedName name="WALCovenant">OFFSET([6]WALTrends!$D$2,0,0,COUNTA([6]WALTrends!$D$1:$D$65536)-1)</definedName>
    <definedName name="WALDate">OFFSET([6]WALTrends!$B$2,0,0,COUNTA([6]WALTrends!$B$1:$B$65536)-1)</definedName>
    <definedName name="WARFActual">OFFSET([6]WARFTrends!$C$2,0,0,COUNTA([6]WARFTrends!$C$1:$C$65536)-1)</definedName>
    <definedName name="WARFCovenant">OFFSET([6]WARFTrends!$D$2,0,0,COUNTA([6]WARFTrends!$D$1:$D$65536)-1)</definedName>
    <definedName name="WARFDate">OFFSET([6]WARFTrends!$B$2,0,0,COUNTA([6]WARFTrends!$B$1:$B$65536)-1)</definedName>
    <definedName name="WARFFitchActual">OFFSET([6]WARFFitchTrends!$C$2,0,0,COUNTA([6]WARFFitchTrends!$C$1:$C$65536)-1)</definedName>
    <definedName name="WARFFitchCovenant">OFFSET([6]WARFFitchTrends!$D$2,0,0,COUNTA([6]WARFFitchTrends!$D$1:$D$65536)-1)</definedName>
    <definedName name="WARFFitchDate">OFFSET([6]WARFFitchTrends!$B$2,0,0,COUNTA([6]WARFFitchTrends!$B$1:$B$65536)-1)</definedName>
    <definedName name="warrants">[15]Inputs!$O$13</definedName>
    <definedName name="WASActual">OFFSET([6]WASTrends!$C$2,0,0,COUNTA([6]WASTrends!$C$1:$C$65536)-1)</definedName>
    <definedName name="WASCovenant">OFFSET([6]WASTrends!$D$2,0,0,COUNTA([6]WASTrends!$D$1:$D$65536)-1)</definedName>
    <definedName name="WASDate">OFFSET([6]WASTrends!$B$2,0,0,COUNTA([6]WASTrends!$B$1:$B$65536)-1)</definedName>
    <definedName name="WBMIN" localSheetId="1">'[14]Portfolio Input'!#REF!</definedName>
    <definedName name="WBMIN">'[14]Portfolio Input'!#REF!</definedName>
    <definedName name="WHAT_IF">#REF!</definedName>
    <definedName name="WHAT_IF___0">#REF!</definedName>
    <definedName name="whec">[28]WHEC!$AX$2</definedName>
    <definedName name="wicksequity">[15]Inputs!$E$35</definedName>
    <definedName name="WORKING_CAPITAL" localSheetId="1">#REF!</definedName>
    <definedName name="WORKING_CAPITAL">#REF!</definedName>
    <definedName name="WORKING_CAPITAL___0" localSheetId="1">#REF!</definedName>
    <definedName name="WORKING_CAPITAL___0">#REF!</definedName>
    <definedName name="wrn.Alloutput." localSheetId="0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Alloutput.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CGIC._.PLICO._.Statutory._.Results." localSheetId="0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GIC._.PLICO._.Statutory._.Results.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IS." localSheetId="0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IS.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rossroads." localSheetId="0" hidden="1">{#N/A,#N/A,FALSE,"RENT ROLL";#N/A,#N/A,FALSE,"CAM";#N/A,#N/A,FALSE,"TAXES";#N/A,#N/A,FALSE,"INSURANCE";#N/A,#N/A,FALSE,"HVAC";#N/A,#N/A,FALSE,"MARKETING"}</definedName>
    <definedName name="wrn.crossroads." hidden="1">{#N/A,#N/A,FALSE,"RENT ROLL";#N/A,#N/A,FALSE,"CAM";#N/A,#N/A,FALSE,"TAXES";#N/A,#N/A,FALSE,"INSURANCE";#N/A,#N/A,FALSE,"HVAC";#N/A,#N/A,FALSE,"MARKETING"}</definedName>
    <definedName name="wrn.crossroads2" localSheetId="0" hidden="1">{#N/A,#N/A,FALSE,"RENT ROLL";#N/A,#N/A,FALSE,"CAM";#N/A,#N/A,FALSE,"TAXES";#N/A,#N/A,FALSE,"INSURANCE";#N/A,#N/A,FALSE,"HVAC";#N/A,#N/A,FALSE,"MARKETING"}</definedName>
    <definedName name="wrn.crossroads2" hidden="1">{#N/A,#N/A,FALSE,"RENT ROLL";#N/A,#N/A,FALSE,"CAM";#N/A,#N/A,FALSE,"TAXES";#N/A,#N/A,FALSE,"INSURANCE";#N/A,#N/A,FALSE,"HVAC";#N/A,#N/A,FALSE,"MARKETING"}</definedName>
    <definedName name="wrn.dcf." localSheetId="0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quick." localSheetId="0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quick.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Sales._.Activity." localSheetId="0" hidden="1">{#N/A,#N/A,FALSE,"Integration Systems"}</definedName>
    <definedName name="wrn.Sales._.Activity." hidden="1">{#N/A,#N/A,FALSE,"Integration Systems"}</definedName>
    <definedName name="wrn.Summary." localSheetId="0" hidden="1">{#N/A,#N/A,FALSE,"Deal Summary";#N/A,#N/A,FALSE,"CGIC &amp;PLICO Results";#N/A,#N/A,FALSE,"Consolidated Results";#N/A,#N/A,FALSE,"Consolidated Source_Uses&amp;Debt ";#N/A,#N/A,FALSE,"Bal_Sht";#N/A,#N/A,FALSE,"Income Statement";#N/A,#N/A,FALSE,"Accretion_Dilution";#N/A,#N/A,FALSE,"Matrix";#N/A,#N/A,FALSE,"Purchase_sensitivity"}</definedName>
    <definedName name="wrn.Summary." hidden="1">{#N/A,#N/A,FALSE,"Deal Summary";#N/A,#N/A,FALSE,"CGIC &amp;PLICO Results";#N/A,#N/A,FALSE,"Consolidated Results";#N/A,#N/A,FALSE,"Consolidated Source_Uses&amp;Debt ";#N/A,#N/A,FALSE,"Bal_Sht";#N/A,#N/A,FALSE,"Income Statement";#N/A,#N/A,FALSE,"Accretion_Dilution";#N/A,#N/A,FALSE,"Matrix";#N/A,#N/A,FALSE,"Purchase_sensitivity"}</definedName>
    <definedName name="wrn.UHCO._.Statutory._.Results." localSheetId="0" hidden="1">{#N/A,#N/A,FALSE,"UHCO Statutory Info ----&gt;";#N/A,#N/A,FALSE,"UHCO Source_Use";#N/A,#N/A,FALSE,"UHCO_Debt Paydown";#N/A,#N/A,FALSE,"Union Bankers";#N/A,#N/A,FALSE,"Penn Life";#N/A,#N/A,FALSE,"Constitution"}</definedName>
    <definedName name="wrn.UHCO._.Statutory._.Results." hidden="1">{#N/A,#N/A,FALSE,"UHCO Statutory Info ----&gt;";#N/A,#N/A,FALSE,"UHCO Source_Use";#N/A,#N/A,FALSE,"UHCO_Debt Paydown";#N/A,#N/A,FALSE,"Union Bankers";#N/A,#N/A,FALSE,"Penn Life";#N/A,#N/A,FALSE,"Constitution"}</definedName>
    <definedName name="wrn.Weekly._.Inventory._.Report." localSheetId="0" hidden="1">{#N/A,#N/A,FALSE,"Combo"}</definedName>
    <definedName name="wrn.Weekly._.Inventory._.Report." hidden="1">{#N/A,#N/A,FALSE,"Combo"}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zip" localSheetId="1">#REF!</definedName>
    <definedName name="zip">#REF!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388" i="15" l="1"/>
  <c r="J3" i="17"/>
  <c r="J4" i="17"/>
  <c r="C11" i="17"/>
  <c r="BJ134" i="19"/>
  <c r="BF497" i="15"/>
  <c r="BF168" i="15"/>
  <c r="BF149" i="15"/>
  <c r="BF414" i="15"/>
  <c r="BF140" i="15"/>
  <c r="BF139" i="15"/>
  <c r="BF88" i="15"/>
  <c r="BF148" i="15"/>
  <c r="C46" i="17"/>
  <c r="C51" i="17" s="1"/>
  <c r="C52" i="17"/>
  <c r="C31" i="17"/>
  <c r="D15" i="17"/>
  <c r="D14" i="17"/>
  <c r="D13" i="17"/>
  <c r="D12" i="17"/>
  <c r="D16" i="17" s="1"/>
  <c r="D10" i="17"/>
  <c r="D9" i="17"/>
  <c r="D8" i="17"/>
  <c r="C25" i="17"/>
  <c r="D25" i="17" s="1"/>
  <c r="C23" i="17"/>
  <c r="D23" i="17" s="1"/>
  <c r="C22" i="17"/>
  <c r="D22" i="17" s="1"/>
  <c r="C21" i="17"/>
  <c r="D21" i="17" s="1"/>
  <c r="D24" i="17" s="1"/>
  <c r="BJ124" i="19"/>
  <c r="BF488" i="15"/>
  <c r="BF500" i="15"/>
  <c r="BF511" i="15" s="1"/>
  <c r="BF498" i="15"/>
  <c r="BF491" i="15"/>
  <c r="BF514" i="15"/>
  <c r="BF490" i="15"/>
  <c r="BF513" i="15"/>
  <c r="BF489" i="15"/>
  <c r="BF512" i="15"/>
  <c r="BF487" i="15"/>
  <c r="BF510" i="15"/>
  <c r="BJ161" i="19"/>
  <c r="BJ136" i="19"/>
  <c r="BJ135" i="19"/>
  <c r="BJ137" i="19" s="1"/>
  <c r="BJ118" i="19"/>
  <c r="BF486" i="15"/>
  <c r="BF509" i="15"/>
  <c r="BJ111" i="19"/>
  <c r="BJ128" i="19"/>
  <c r="BJ129" i="19"/>
  <c r="BJ63" i="19"/>
  <c r="BJ60" i="19"/>
  <c r="BJ50" i="19"/>
  <c r="BJ30" i="19"/>
  <c r="BF248" i="15"/>
  <c r="BF247" i="15"/>
  <c r="BF255" i="15"/>
  <c r="BF229" i="15"/>
  <c r="BF146" i="15"/>
  <c r="BF347" i="15"/>
  <c r="BF30" i="15"/>
  <c r="BF29" i="15"/>
  <c r="BF21" i="15"/>
  <c r="BF538" i="15"/>
  <c r="BF528" i="15"/>
  <c r="BF524" i="15"/>
  <c r="BF523" i="15"/>
  <c r="BF522" i="15"/>
  <c r="BF521" i="15"/>
  <c r="BF518" i="15"/>
  <c r="BF507" i="15"/>
  <c r="BF504" i="15"/>
  <c r="BF496" i="15"/>
  <c r="BF484" i="15"/>
  <c r="BF479" i="15"/>
  <c r="BF455" i="15"/>
  <c r="BF420" i="15"/>
  <c r="BF410" i="15"/>
  <c r="BF407" i="15"/>
  <c r="BF385" i="15"/>
  <c r="BF406" i="15"/>
  <c r="BF355" i="15"/>
  <c r="BF348" i="15"/>
  <c r="BF346" i="15"/>
  <c r="BF344" i="15"/>
  <c r="BF343" i="15"/>
  <c r="BF342" i="15"/>
  <c r="BF338" i="15"/>
  <c r="BF337" i="15"/>
  <c r="BF326" i="15"/>
  <c r="BF324" i="15"/>
  <c r="BF321" i="15"/>
  <c r="BF313" i="15"/>
  <c r="BF299" i="15"/>
  <c r="BF279" i="15"/>
  <c r="BF278" i="15"/>
  <c r="BF252" i="15"/>
  <c r="BF240" i="15"/>
  <c r="BF238" i="15"/>
  <c r="BF237" i="15"/>
  <c r="BF236" i="15"/>
  <c r="BF233" i="15"/>
  <c r="BF226" i="15"/>
  <c r="BF219" i="15"/>
  <c r="BF212" i="15"/>
  <c r="BF200" i="15"/>
  <c r="BF190" i="15"/>
  <c r="BF184" i="15"/>
  <c r="BF158" i="15"/>
  <c r="BF349" i="15"/>
  <c r="BF341" i="15"/>
  <c r="BF133" i="15"/>
  <c r="BF131" i="15"/>
  <c r="BF130" i="15"/>
  <c r="BF128" i="15"/>
  <c r="BF120" i="15"/>
  <c r="BF118" i="15"/>
  <c r="BF114" i="15"/>
  <c r="BF102" i="15"/>
  <c r="BF100" i="15"/>
  <c r="BF99" i="15"/>
  <c r="BF95" i="15"/>
  <c r="BF94" i="15"/>
  <c r="BF89" i="15"/>
  <c r="BF80" i="15"/>
  <c r="BF79" i="15"/>
  <c r="BF78" i="15"/>
  <c r="BF77" i="15"/>
  <c r="BF76" i="15"/>
  <c r="BF68" i="15"/>
  <c r="BF62" i="15"/>
  <c r="BF66" i="15" s="1"/>
  <c r="BF60" i="15"/>
  <c r="BF58" i="15"/>
  <c r="BF56" i="15"/>
  <c r="BF55" i="15"/>
  <c r="BF52" i="15"/>
  <c r="BF51" i="15"/>
  <c r="BF44" i="15"/>
  <c r="BF34" i="15"/>
  <c r="BF520" i="15"/>
  <c r="BF31" i="15"/>
  <c r="BF548" i="15"/>
  <c r="BF92" i="15"/>
  <c r="BF542" i="15"/>
  <c r="BF28" i="15"/>
  <c r="BF84" i="15"/>
  <c r="BF12" i="15"/>
  <c r="BF18" i="15"/>
  <c r="BF9" i="15"/>
  <c r="BF493" i="15"/>
  <c r="M6" i="17"/>
  <c r="L6" i="17"/>
  <c r="K6" i="17"/>
  <c r="J6" i="17"/>
  <c r="BG143" i="19"/>
  <c r="BG144" i="19"/>
  <c r="S115" i="19"/>
  <c r="U115" i="19"/>
  <c r="V115" i="19"/>
  <c r="W115" i="19"/>
  <c r="Y115" i="19"/>
  <c r="P382" i="15"/>
  <c r="AX267" i="15"/>
  <c r="O149" i="15"/>
  <c r="P149" i="15"/>
  <c r="P146" i="15"/>
  <c r="P248" i="15"/>
  <c r="BE248" i="15"/>
  <c r="C82" i="17"/>
  <c r="C80" i="17"/>
  <c r="C79" i="17"/>
  <c r="C78" i="17"/>
  <c r="J60" i="17"/>
  <c r="D106" i="17"/>
  <c r="C16" i="17"/>
  <c r="C17" i="17" s="1"/>
  <c r="P491" i="15"/>
  <c r="P514" i="15"/>
  <c r="P490" i="15"/>
  <c r="P489" i="15"/>
  <c r="Q124" i="19"/>
  <c r="P488" i="15" s="1"/>
  <c r="P498" i="15"/>
  <c r="P500" i="15"/>
  <c r="P497" i="15"/>
  <c r="P504" i="15"/>
  <c r="Q28" i="19"/>
  <c r="BI28" i="19"/>
  <c r="P247" i="15"/>
  <c r="P148" i="15"/>
  <c r="P229" i="15"/>
  <c r="BE229" i="15"/>
  <c r="P139" i="15"/>
  <c r="P209" i="15"/>
  <c r="P462" i="15"/>
  <c r="P30" i="15"/>
  <c r="P56" i="15"/>
  <c r="P29" i="15"/>
  <c r="P542" i="15"/>
  <c r="P21" i="15"/>
  <c r="BI106" i="19"/>
  <c r="BI105" i="19"/>
  <c r="BI103" i="19"/>
  <c r="BI102" i="19"/>
  <c r="BI101" i="19"/>
  <c r="BI100" i="19"/>
  <c r="BI95" i="19"/>
  <c r="BI94" i="19"/>
  <c r="BI91" i="19"/>
  <c r="BI90" i="19"/>
  <c r="BI89" i="19"/>
  <c r="BI88" i="19"/>
  <c r="BI87" i="19"/>
  <c r="BI77" i="19"/>
  <c r="BI76" i="19"/>
  <c r="BI75" i="19"/>
  <c r="BI74" i="19"/>
  <c r="BI73" i="19"/>
  <c r="BI59" i="19"/>
  <c r="BI58" i="19"/>
  <c r="BI57" i="19"/>
  <c r="BI56" i="19"/>
  <c r="BI55" i="19"/>
  <c r="BI54" i="19"/>
  <c r="BI26" i="19"/>
  <c r="BI25" i="19"/>
  <c r="BI22" i="19"/>
  <c r="BI21" i="19"/>
  <c r="BI20" i="19"/>
  <c r="BI19" i="19"/>
  <c r="BI18" i="19"/>
  <c r="BI17" i="19"/>
  <c r="BI16" i="19"/>
  <c r="BI13" i="19"/>
  <c r="BI12" i="19"/>
  <c r="BI11" i="19"/>
  <c r="BI10" i="19"/>
  <c r="Q161" i="19"/>
  <c r="Q136" i="19"/>
  <c r="Q135" i="19"/>
  <c r="Q134" i="19"/>
  <c r="Q118" i="19"/>
  <c r="P486" i="15"/>
  <c r="P509" i="15"/>
  <c r="Q111" i="19"/>
  <c r="P485" i="15"/>
  <c r="Q60" i="19"/>
  <c r="Q30" i="19"/>
  <c r="Q50" i="19"/>
  <c r="BI63" i="19"/>
  <c r="BI50" i="19"/>
  <c r="BI30" i="19"/>
  <c r="BE478" i="15"/>
  <c r="BE477" i="15"/>
  <c r="BE296" i="15"/>
  <c r="BE290" i="15"/>
  <c r="BE289" i="15"/>
  <c r="BE276" i="15"/>
  <c r="BE274" i="15"/>
  <c r="BE273" i="15"/>
  <c r="BE272" i="15"/>
  <c r="BE249" i="15"/>
  <c r="BE247" i="15"/>
  <c r="BE244" i="15"/>
  <c r="BE243" i="15"/>
  <c r="BE242" i="15"/>
  <c r="BE241" i="15"/>
  <c r="BE232" i="15"/>
  <c r="BE231" i="15"/>
  <c r="BE230" i="15"/>
  <c r="BE228" i="15"/>
  <c r="BE154" i="15"/>
  <c r="BE355" i="15"/>
  <c r="P538" i="15"/>
  <c r="P528" i="15"/>
  <c r="P524" i="15"/>
  <c r="P523" i="15"/>
  <c r="P522" i="15"/>
  <c r="P521" i="15"/>
  <c r="P518" i="15"/>
  <c r="P510" i="15"/>
  <c r="P507" i="15"/>
  <c r="P496" i="15"/>
  <c r="P484" i="15"/>
  <c r="P479" i="15"/>
  <c r="BE479" i="15"/>
  <c r="P455" i="15"/>
  <c r="P420" i="15"/>
  <c r="P385" i="15"/>
  <c r="P355" i="15"/>
  <c r="P348" i="15"/>
  <c r="P346" i="15"/>
  <c r="P344" i="15"/>
  <c r="P343" i="15"/>
  <c r="P342" i="15"/>
  <c r="P341" i="15"/>
  <c r="P338" i="15"/>
  <c r="P337" i="15"/>
  <c r="P326" i="15"/>
  <c r="P324" i="15"/>
  <c r="P321" i="15"/>
  <c r="P313" i="15"/>
  <c r="P299" i="15"/>
  <c r="P279" i="15"/>
  <c r="P278" i="15"/>
  <c r="P252" i="15"/>
  <c r="P254" i="15"/>
  <c r="P240" i="15"/>
  <c r="P238" i="15"/>
  <c r="P237" i="15"/>
  <c r="P236" i="15"/>
  <c r="P233" i="15"/>
  <c r="BE233" i="15"/>
  <c r="BF135" i="15" s="1"/>
  <c r="P226" i="15"/>
  <c r="P219" i="15"/>
  <c r="P212" i="15"/>
  <c r="P207" i="15"/>
  <c r="P461" i="15"/>
  <c r="P206" i="15"/>
  <c r="P201" i="15"/>
  <c r="P200" i="15"/>
  <c r="P190" i="15"/>
  <c r="P184" i="15"/>
  <c r="P158" i="15"/>
  <c r="P350" i="15"/>
  <c r="P349" i="15"/>
  <c r="P133" i="15"/>
  <c r="P130" i="15"/>
  <c r="P128" i="15"/>
  <c r="P120" i="15"/>
  <c r="P118" i="15"/>
  <c r="P114" i="15"/>
  <c r="P102" i="15"/>
  <c r="P95" i="15"/>
  <c r="P89" i="15"/>
  <c r="P82" i="15"/>
  <c r="P80" i="15"/>
  <c r="P79" i="15"/>
  <c r="P78" i="15"/>
  <c r="P77" i="15"/>
  <c r="P76" i="15"/>
  <c r="P68" i="15"/>
  <c r="P62" i="15"/>
  <c r="P66" i="15"/>
  <c r="P60" i="15"/>
  <c r="P58" i="15"/>
  <c r="P55" i="15"/>
  <c r="P52" i="15"/>
  <c r="P51" i="15"/>
  <c r="P44" i="15"/>
  <c r="P34" i="15"/>
  <c r="P520" i="15"/>
  <c r="P28" i="15"/>
  <c r="P84" i="15"/>
  <c r="P12" i="15"/>
  <c r="P13" i="15" s="1"/>
  <c r="P18" i="15"/>
  <c r="P9" i="15"/>
  <c r="P325" i="15"/>
  <c r="BE538" i="15"/>
  <c r="BE528" i="15"/>
  <c r="BE518" i="15"/>
  <c r="BE507" i="15"/>
  <c r="BE496" i="15"/>
  <c r="BE484" i="15"/>
  <c r="BE455" i="15"/>
  <c r="BE385" i="15"/>
  <c r="BE326" i="15"/>
  <c r="BE321" i="15"/>
  <c r="BE313" i="15"/>
  <c r="BE299" i="15"/>
  <c r="BE240" i="15"/>
  <c r="BE226" i="15"/>
  <c r="BE219" i="15"/>
  <c r="BE212" i="15"/>
  <c r="BE200" i="15"/>
  <c r="BE158" i="15"/>
  <c r="BE133" i="15"/>
  <c r="BE128" i="15"/>
  <c r="BE118" i="15"/>
  <c r="BE102" i="15"/>
  <c r="BE51" i="15"/>
  <c r="BE28" i="15"/>
  <c r="BH161" i="19"/>
  <c r="BH145" i="19"/>
  <c r="BW149" i="15"/>
  <c r="BW139" i="15"/>
  <c r="BV139" i="15"/>
  <c r="BU139" i="15"/>
  <c r="C108" i="17"/>
  <c r="C109" i="17"/>
  <c r="C73" i="17"/>
  <c r="C68" i="17"/>
  <c r="C74" i="17"/>
  <c r="BH28" i="19"/>
  <c r="BD487" i="15"/>
  <c r="BH84" i="19"/>
  <c r="BH83" i="19"/>
  <c r="BH82" i="19"/>
  <c r="BH81" i="19"/>
  <c r="BH80" i="19"/>
  <c r="BH63" i="19"/>
  <c r="BH60" i="19"/>
  <c r="BH50" i="19"/>
  <c r="BH30" i="19"/>
  <c r="BD289" i="15"/>
  <c r="C88" i="17"/>
  <c r="BD248" i="15"/>
  <c r="BD247" i="15"/>
  <c r="BD255" i="15"/>
  <c r="BD229" i="15"/>
  <c r="BW141" i="15"/>
  <c r="BD538" i="15"/>
  <c r="BD528" i="15"/>
  <c r="BD518" i="15"/>
  <c r="BD507" i="15"/>
  <c r="BD496" i="15"/>
  <c r="BD484" i="15"/>
  <c r="BD479" i="15"/>
  <c r="BD455" i="15"/>
  <c r="BD420" i="15"/>
  <c r="BD387" i="15"/>
  <c r="BD385" i="15"/>
  <c r="BD355" i="15"/>
  <c r="BD326" i="15"/>
  <c r="BD323" i="15"/>
  <c r="BD322" i="15"/>
  <c r="BD321" i="15"/>
  <c r="BD313" i="15"/>
  <c r="BD299" i="15"/>
  <c r="BD279" i="15"/>
  <c r="BD278" i="15"/>
  <c r="BD252" i="15"/>
  <c r="C75" i="17"/>
  <c r="BD240" i="15"/>
  <c r="BD233" i="15"/>
  <c r="BD226" i="15"/>
  <c r="BD219" i="15"/>
  <c r="BD212" i="15"/>
  <c r="BD200" i="15"/>
  <c r="BD158" i="15"/>
  <c r="BD133" i="15"/>
  <c r="BD130" i="15"/>
  <c r="BD128" i="15"/>
  <c r="BD118" i="15"/>
  <c r="BD102" i="15"/>
  <c r="BD51" i="15"/>
  <c r="BD28" i="15"/>
  <c r="S25" i="15"/>
  <c r="C163" i="17"/>
  <c r="C127" i="17"/>
  <c r="C122" i="17"/>
  <c r="D114" i="17"/>
  <c r="D124" i="17"/>
  <c r="BG127" i="19"/>
  <c r="BC491" i="15"/>
  <c r="BG126" i="19"/>
  <c r="BH126" i="19"/>
  <c r="BD490" i="15"/>
  <c r="BG125" i="19"/>
  <c r="BH125" i="19"/>
  <c r="BG123" i="19"/>
  <c r="BC487" i="15"/>
  <c r="BI123" i="19"/>
  <c r="BG122" i="19"/>
  <c r="BH122" i="19"/>
  <c r="BI122" i="19"/>
  <c r="BG121" i="19"/>
  <c r="BH121" i="19"/>
  <c r="BG120" i="19"/>
  <c r="BH120" i="19"/>
  <c r="BG119" i="19"/>
  <c r="BH119" i="19"/>
  <c r="BI119" i="19"/>
  <c r="BG117" i="19"/>
  <c r="BH117" i="19"/>
  <c r="BI117" i="19"/>
  <c r="BG116" i="19"/>
  <c r="BH116" i="19"/>
  <c r="BI116" i="19"/>
  <c r="BG114" i="19"/>
  <c r="BH114" i="19"/>
  <c r="BI114" i="19"/>
  <c r="BG113" i="19"/>
  <c r="BG112" i="19"/>
  <c r="BH112" i="19"/>
  <c r="BG105" i="19"/>
  <c r="BG103" i="19"/>
  <c r="BG102" i="19"/>
  <c r="BG101" i="19"/>
  <c r="BG100" i="19"/>
  <c r="BG95" i="19"/>
  <c r="BG94" i="19"/>
  <c r="BG91" i="19"/>
  <c r="BG90" i="19"/>
  <c r="BG89" i="19"/>
  <c r="BG88" i="19"/>
  <c r="BG87" i="19"/>
  <c r="BG77" i="19"/>
  <c r="BG76" i="19"/>
  <c r="BG75" i="19"/>
  <c r="BG74" i="19"/>
  <c r="BG73" i="19"/>
  <c r="BG59" i="19"/>
  <c r="BG58" i="19"/>
  <c r="BG57" i="19"/>
  <c r="BG56" i="19"/>
  <c r="BG55" i="19"/>
  <c r="BG54" i="19"/>
  <c r="BG60" i="19" s="1"/>
  <c r="BG28" i="19"/>
  <c r="BG26" i="19"/>
  <c r="BG25" i="19"/>
  <c r="BG22" i="19"/>
  <c r="BG21" i="19"/>
  <c r="BG20" i="19"/>
  <c r="BG19" i="19"/>
  <c r="BG18" i="19"/>
  <c r="BG17" i="19"/>
  <c r="BG16" i="19"/>
  <c r="BG13" i="19"/>
  <c r="BG12" i="19"/>
  <c r="BG11" i="19"/>
  <c r="BG10" i="19"/>
  <c r="BG63" i="19"/>
  <c r="BG50" i="19"/>
  <c r="BG30" i="19"/>
  <c r="BW491" i="15"/>
  <c r="BW514" i="15"/>
  <c r="BW489" i="15"/>
  <c r="BW512" i="15"/>
  <c r="BW487" i="15"/>
  <c r="BW510" i="15"/>
  <c r="BU124" i="19"/>
  <c r="BU161" i="19"/>
  <c r="BU136" i="19"/>
  <c r="BU135" i="19"/>
  <c r="BU134" i="19"/>
  <c r="BU118" i="19"/>
  <c r="BW486" i="15"/>
  <c r="BU111" i="19"/>
  <c r="BU63" i="19"/>
  <c r="BU60" i="19"/>
  <c r="BU50" i="19"/>
  <c r="BU30" i="19"/>
  <c r="BC503" i="15"/>
  <c r="BC514" i="15" s="1"/>
  <c r="BD503" i="15"/>
  <c r="BE503" i="15"/>
  <c r="BC502" i="15"/>
  <c r="BD502" i="15"/>
  <c r="BE502" i="15"/>
  <c r="BC501" i="15"/>
  <c r="BD501" i="15"/>
  <c r="BE501" i="15" s="1"/>
  <c r="BC499" i="15"/>
  <c r="BC510" i="15" s="1"/>
  <c r="BE499" i="15"/>
  <c r="BC478" i="15"/>
  <c r="BC477" i="15"/>
  <c r="BC296" i="15"/>
  <c r="BC290" i="15"/>
  <c r="C136" i="17"/>
  <c r="BC289" i="15"/>
  <c r="C142" i="17"/>
  <c r="BC276" i="15"/>
  <c r="BC274" i="15"/>
  <c r="BC273" i="15"/>
  <c r="BC272" i="15"/>
  <c r="BC267" i="15"/>
  <c r="BC249" i="15"/>
  <c r="BC244" i="15"/>
  <c r="BC243" i="15"/>
  <c r="BC242" i="15"/>
  <c r="BC241" i="15"/>
  <c r="BC232" i="15"/>
  <c r="BC231" i="15"/>
  <c r="BC230" i="15"/>
  <c r="BC228" i="15"/>
  <c r="BC195" i="15"/>
  <c r="BD195" i="15"/>
  <c r="BE195" i="15"/>
  <c r="BC189" i="15"/>
  <c r="BD189" i="15"/>
  <c r="BE189" i="15"/>
  <c r="BC188" i="15"/>
  <c r="BD188" i="15"/>
  <c r="BE188" i="15"/>
  <c r="BC187" i="15"/>
  <c r="BD187" i="15"/>
  <c r="BE187" i="15"/>
  <c r="BC186" i="15"/>
  <c r="BD186" i="15"/>
  <c r="BE186" i="15"/>
  <c r="BC183" i="15"/>
  <c r="BD183" i="15"/>
  <c r="BE183" i="15"/>
  <c r="BC182" i="15"/>
  <c r="BD182" i="15"/>
  <c r="BE182" i="15"/>
  <c r="BC181" i="15"/>
  <c r="BE181" i="15"/>
  <c r="BC180" i="15"/>
  <c r="BD180" i="15"/>
  <c r="BE180" i="15"/>
  <c r="BC179" i="15"/>
  <c r="BD179" i="15"/>
  <c r="BE179" i="15"/>
  <c r="BC176" i="15"/>
  <c r="BD176" i="15"/>
  <c r="BE176" i="15"/>
  <c r="BC175" i="15"/>
  <c r="BD175" i="15"/>
  <c r="BE175" i="15"/>
  <c r="BC174" i="15"/>
  <c r="BD174" i="15"/>
  <c r="BE174" i="15"/>
  <c r="BC173" i="15"/>
  <c r="BD173" i="15"/>
  <c r="BE173" i="15"/>
  <c r="BC172" i="15"/>
  <c r="BD172" i="15"/>
  <c r="BE172" i="15"/>
  <c r="BC171" i="15"/>
  <c r="BD171" i="15"/>
  <c r="BE171" i="15"/>
  <c r="BC170" i="15"/>
  <c r="BE170" i="15"/>
  <c r="BC169" i="15"/>
  <c r="BD169" i="15"/>
  <c r="BE169" i="15"/>
  <c r="BC167" i="15"/>
  <c r="BD167" i="15"/>
  <c r="BE167" i="15"/>
  <c r="BC166" i="15"/>
  <c r="BE166" i="15"/>
  <c r="BC165" i="15"/>
  <c r="BD165" i="15"/>
  <c r="BE165" i="15"/>
  <c r="BC164" i="15"/>
  <c r="BD164" i="15"/>
  <c r="BE164" i="15"/>
  <c r="BC163" i="15"/>
  <c r="BD163" i="15"/>
  <c r="BE163" i="15"/>
  <c r="BC162" i="15"/>
  <c r="BD162" i="15"/>
  <c r="BE162" i="15"/>
  <c r="BC161" i="15"/>
  <c r="BD161" i="15"/>
  <c r="BE161" i="15"/>
  <c r="BC154" i="15"/>
  <c r="BC147" i="15"/>
  <c r="BD147" i="15"/>
  <c r="BC145" i="15"/>
  <c r="BD145" i="15"/>
  <c r="BE145" i="15"/>
  <c r="BC143" i="15"/>
  <c r="BD143" i="15"/>
  <c r="BC142" i="15"/>
  <c r="BC137" i="15"/>
  <c r="BC136" i="15"/>
  <c r="BC129" i="15"/>
  <c r="BE129" i="15"/>
  <c r="BC112" i="15"/>
  <c r="C132" i="17"/>
  <c r="D132" i="17"/>
  <c r="BC70" i="15"/>
  <c r="BE70" i="15"/>
  <c r="BC65" i="15"/>
  <c r="BE65" i="15"/>
  <c r="BC64" i="15"/>
  <c r="BE64" i="15"/>
  <c r="BC63" i="15"/>
  <c r="BE63" i="15" s="1"/>
  <c r="BC48" i="15"/>
  <c r="BD48" i="15"/>
  <c r="BC46" i="15"/>
  <c r="BD46" i="15"/>
  <c r="BE46" i="15"/>
  <c r="BC43" i="15"/>
  <c r="BD43" i="15"/>
  <c r="BE43" i="15"/>
  <c r="BC42" i="15"/>
  <c r="BD42" i="15"/>
  <c r="BE42" i="15"/>
  <c r="BC41" i="15"/>
  <c r="BD41" i="15"/>
  <c r="BE41" i="15"/>
  <c r="BC40" i="15"/>
  <c r="BD40" i="15"/>
  <c r="BE40" i="15"/>
  <c r="BC38" i="15"/>
  <c r="BD38" i="15"/>
  <c r="BE38" i="15"/>
  <c r="BC37" i="15"/>
  <c r="BD37" i="15"/>
  <c r="BE37" i="15"/>
  <c r="BC521" i="15"/>
  <c r="BC36" i="15"/>
  <c r="BD36" i="15"/>
  <c r="BE36" i="15"/>
  <c r="BC523" i="15"/>
  <c r="BC35" i="15"/>
  <c r="BD35" i="15"/>
  <c r="BE35" i="15"/>
  <c r="BC33" i="15"/>
  <c r="BD33" i="15"/>
  <c r="BE33" i="15"/>
  <c r="BC32" i="15"/>
  <c r="BD32" i="15"/>
  <c r="BE32" i="15"/>
  <c r="BC23" i="15"/>
  <c r="BD23" i="15"/>
  <c r="BE23" i="15"/>
  <c r="BC20" i="15"/>
  <c r="BD20" i="15"/>
  <c r="BE20" i="15"/>
  <c r="BC19" i="15"/>
  <c r="BC17" i="15"/>
  <c r="BD17" i="15"/>
  <c r="BE17" i="15"/>
  <c r="BC16" i="15"/>
  <c r="BD16" i="15"/>
  <c r="BE16" i="15"/>
  <c r="BC15" i="15"/>
  <c r="BD15" i="15"/>
  <c r="BE15" i="15"/>
  <c r="BC14" i="15"/>
  <c r="BD14" i="15"/>
  <c r="BE14" i="15"/>
  <c r="BC11" i="15"/>
  <c r="BD11" i="15"/>
  <c r="BE11" i="15" s="1"/>
  <c r="BC8" i="15"/>
  <c r="BD8" i="15"/>
  <c r="BE8" i="15"/>
  <c r="BC538" i="15"/>
  <c r="BC528" i="15"/>
  <c r="BC518" i="15"/>
  <c r="BC507" i="15"/>
  <c r="BC496" i="15"/>
  <c r="BC484" i="15"/>
  <c r="BC455" i="15"/>
  <c r="BC385" i="15"/>
  <c r="BC326" i="15"/>
  <c r="BC321" i="15"/>
  <c r="BC313" i="15"/>
  <c r="BC299" i="15"/>
  <c r="BC240" i="15"/>
  <c r="BC226" i="15"/>
  <c r="BC219" i="15"/>
  <c r="BC212" i="15"/>
  <c r="BC200" i="15"/>
  <c r="BC158" i="15"/>
  <c r="BC133" i="15"/>
  <c r="BC128" i="15"/>
  <c r="BC118" i="15"/>
  <c r="BC102" i="15"/>
  <c r="BC51" i="15"/>
  <c r="BC28" i="15"/>
  <c r="BW500" i="15"/>
  <c r="BW498" i="15"/>
  <c r="BW497" i="15"/>
  <c r="BW248" i="15"/>
  <c r="BC248" i="15"/>
  <c r="BW247" i="15"/>
  <c r="BW255" i="15"/>
  <c r="BW229" i="15"/>
  <c r="BC229" i="15"/>
  <c r="BC141" i="15"/>
  <c r="BD141" i="15"/>
  <c r="BE141" i="15"/>
  <c r="BW148" i="15"/>
  <c r="BW146" i="15"/>
  <c r="BW140" i="15"/>
  <c r="BW104" i="15"/>
  <c r="BC104" i="15"/>
  <c r="BE104" i="15"/>
  <c r="BW30" i="15"/>
  <c r="BW29" i="15"/>
  <c r="BW21" i="15"/>
  <c r="BW538" i="15"/>
  <c r="BW528" i="15"/>
  <c r="BW524" i="15"/>
  <c r="BW523" i="15"/>
  <c r="BW522" i="15"/>
  <c r="BW521" i="15"/>
  <c r="BW518" i="15"/>
  <c r="BW507" i="15"/>
  <c r="BW496" i="15"/>
  <c r="BW484" i="15"/>
  <c r="BW479" i="15"/>
  <c r="BW455" i="15"/>
  <c r="BW385" i="15"/>
  <c r="BW321" i="15"/>
  <c r="BW313" i="15"/>
  <c r="BW299" i="15"/>
  <c r="BW279" i="15"/>
  <c r="BW252" i="15"/>
  <c r="BW464" i="15"/>
  <c r="BW240" i="15"/>
  <c r="BW238" i="15"/>
  <c r="BW237" i="15"/>
  <c r="BW236" i="15"/>
  <c r="BW233" i="15"/>
  <c r="BW226" i="15"/>
  <c r="BW219" i="15"/>
  <c r="BW212" i="15"/>
  <c r="BW207" i="15"/>
  <c r="BW461" i="15"/>
  <c r="BW206" i="15"/>
  <c r="BW262" i="15"/>
  <c r="BW201" i="15"/>
  <c r="BW456" i="15"/>
  <c r="BW200" i="15"/>
  <c r="BW190" i="15"/>
  <c r="BW184" i="15"/>
  <c r="BW158" i="15"/>
  <c r="BW133" i="15"/>
  <c r="BW130" i="15"/>
  <c r="BW128" i="15"/>
  <c r="BW120" i="15"/>
  <c r="BW118" i="15"/>
  <c r="BW114" i="15"/>
  <c r="BW102" i="15"/>
  <c r="BW95" i="15"/>
  <c r="BW82" i="15"/>
  <c r="BW80" i="15"/>
  <c r="BW79" i="15"/>
  <c r="BW78" i="15"/>
  <c r="BW77" i="15"/>
  <c r="BW76" i="15"/>
  <c r="BW68" i="15"/>
  <c r="BW62" i="15"/>
  <c r="BW66" i="15"/>
  <c r="BW58" i="15"/>
  <c r="BW55" i="15"/>
  <c r="BW52" i="15"/>
  <c r="BW51" i="15"/>
  <c r="BW44" i="15"/>
  <c r="BW34" i="15"/>
  <c r="BW520" i="15"/>
  <c r="BW28" i="15"/>
  <c r="BW12" i="15"/>
  <c r="BW18" i="15"/>
  <c r="BW9" i="15"/>
  <c r="BW493" i="15"/>
  <c r="C217" i="17"/>
  <c r="C196" i="17"/>
  <c r="C190" i="17"/>
  <c r="C186" i="17"/>
  <c r="C181" i="17"/>
  <c r="C176" i="17"/>
  <c r="BB491" i="15"/>
  <c r="BB514" i="15"/>
  <c r="BB490" i="15"/>
  <c r="BB489" i="15"/>
  <c r="BB512" i="15"/>
  <c r="BB487" i="15"/>
  <c r="BB510" i="15"/>
  <c r="BF124" i="19"/>
  <c r="BB488" i="15"/>
  <c r="BF111" i="19"/>
  <c r="BF118" i="19"/>
  <c r="BF161" i="19"/>
  <c r="BF136" i="19"/>
  <c r="BG136" i="19"/>
  <c r="BF135" i="19"/>
  <c r="BG135" i="19"/>
  <c r="BF134" i="19"/>
  <c r="BF63" i="19"/>
  <c r="BF60" i="19"/>
  <c r="BF50" i="19"/>
  <c r="BF30" i="19"/>
  <c r="BB500" i="15"/>
  <c r="BB511" i="15" s="1"/>
  <c r="BB498" i="15"/>
  <c r="BB497" i="15"/>
  <c r="BB504" i="15"/>
  <c r="BB505" i="15"/>
  <c r="BB382" i="15"/>
  <c r="BB381" i="15"/>
  <c r="P381" i="15"/>
  <c r="BB248" i="15"/>
  <c r="BB247" i="15"/>
  <c r="BB255" i="15"/>
  <c r="BB229" i="15"/>
  <c r="BB168" i="15"/>
  <c r="BC168" i="15"/>
  <c r="BD168" i="15"/>
  <c r="BE168" i="15"/>
  <c r="BB149" i="15"/>
  <c r="BB146" i="15"/>
  <c r="BB347" i="15"/>
  <c r="BB148" i="15"/>
  <c r="BB140" i="15"/>
  <c r="BB341" i="15"/>
  <c r="BB139" i="15"/>
  <c r="BB88" i="15"/>
  <c r="AX58" i="15"/>
  <c r="AX30" i="15"/>
  <c r="BB30" i="15"/>
  <c r="BB29" i="15"/>
  <c r="BB21" i="15"/>
  <c r="BB84" i="15"/>
  <c r="BB538" i="15"/>
  <c r="BB528" i="15"/>
  <c r="BB524" i="15"/>
  <c r="BB523" i="15"/>
  <c r="BB522" i="15"/>
  <c r="BB521" i="15"/>
  <c r="BB518" i="15"/>
  <c r="BB507" i="15"/>
  <c r="BB496" i="15"/>
  <c r="BB484" i="15"/>
  <c r="BB479" i="15"/>
  <c r="BB455" i="15"/>
  <c r="BB385" i="15"/>
  <c r="BB355" i="15"/>
  <c r="BB348" i="15"/>
  <c r="BB346" i="15"/>
  <c r="BB344" i="15"/>
  <c r="BB343" i="15"/>
  <c r="BB342" i="15"/>
  <c r="BB338" i="15"/>
  <c r="BB337" i="15"/>
  <c r="BB326" i="15"/>
  <c r="BB324" i="15"/>
  <c r="BB321" i="15"/>
  <c r="BB313" i="15"/>
  <c r="BB299" i="15"/>
  <c r="BB279" i="15"/>
  <c r="BB278" i="15"/>
  <c r="BB252" i="15"/>
  <c r="BB240" i="15"/>
  <c r="BB238" i="15"/>
  <c r="BB237" i="15"/>
  <c r="BB236" i="15"/>
  <c r="BB233" i="15"/>
  <c r="BB226" i="15"/>
  <c r="BB219" i="15"/>
  <c r="BB212" i="15"/>
  <c r="BB200" i="15"/>
  <c r="BB190" i="15"/>
  <c r="BB184" i="15"/>
  <c r="BB158" i="15"/>
  <c r="BB133" i="15"/>
  <c r="BB130" i="15"/>
  <c r="BB128" i="15"/>
  <c r="BB120" i="15"/>
  <c r="BB118" i="15"/>
  <c r="BB114" i="15"/>
  <c r="C188" i="17"/>
  <c r="BB102" i="15"/>
  <c r="BB95" i="15"/>
  <c r="BB89" i="15"/>
  <c r="BB80" i="15"/>
  <c r="BB79" i="15"/>
  <c r="BB78" i="15"/>
  <c r="BB77" i="15"/>
  <c r="BB76" i="15"/>
  <c r="BB68" i="15"/>
  <c r="BB62" i="15"/>
  <c r="BB60" i="15"/>
  <c r="BB58" i="15"/>
  <c r="BB55" i="15"/>
  <c r="BB52" i="15"/>
  <c r="BB51" i="15"/>
  <c r="BB44" i="15"/>
  <c r="BB34" i="15"/>
  <c r="BB520" i="15"/>
  <c r="BB28" i="15"/>
  <c r="BB12" i="15"/>
  <c r="BB18" i="15"/>
  <c r="BB9" i="15"/>
  <c r="D220" i="17"/>
  <c r="C269" i="17"/>
  <c r="C233" i="17"/>
  <c r="C228" i="17"/>
  <c r="N510" i="15"/>
  <c r="O510" i="15"/>
  <c r="C492" i="15"/>
  <c r="C494" i="15"/>
  <c r="D492" i="15"/>
  <c r="E492" i="15"/>
  <c r="M492" i="15"/>
  <c r="N489" i="15"/>
  <c r="N490" i="15"/>
  <c r="AW490" i="15"/>
  <c r="N491" i="15"/>
  <c r="O491" i="15"/>
  <c r="BA491" i="15"/>
  <c r="O490" i="15"/>
  <c r="O489" i="15"/>
  <c r="BE154" i="19"/>
  <c r="BA126" i="19"/>
  <c r="BA127" i="19"/>
  <c r="BE126" i="19"/>
  <c r="BE127" i="19"/>
  <c r="BE106" i="19"/>
  <c r="BE105" i="19"/>
  <c r="BE103" i="19"/>
  <c r="BE102" i="19"/>
  <c r="BE101" i="19"/>
  <c r="BE100" i="19"/>
  <c r="O87" i="19"/>
  <c r="BA87" i="19"/>
  <c r="BE95" i="19"/>
  <c r="BE94" i="19"/>
  <c r="BE93" i="19"/>
  <c r="BE92" i="19"/>
  <c r="BE91" i="19"/>
  <c r="BE90" i="19"/>
  <c r="BE89" i="19"/>
  <c r="BE88" i="19"/>
  <c r="BE87" i="19"/>
  <c r="BE77" i="19"/>
  <c r="BE76" i="19"/>
  <c r="BE75" i="19"/>
  <c r="BE74" i="19"/>
  <c r="BE73" i="19"/>
  <c r="BE59" i="19"/>
  <c r="BE58" i="19"/>
  <c r="BE57" i="19"/>
  <c r="BE56" i="19"/>
  <c r="BE55" i="19"/>
  <c r="BE54" i="19"/>
  <c r="BE28" i="19"/>
  <c r="BE26" i="19"/>
  <c r="BE25" i="19"/>
  <c r="BE22" i="19"/>
  <c r="BE21" i="19"/>
  <c r="BE20" i="19"/>
  <c r="BE19" i="19"/>
  <c r="BE18" i="19"/>
  <c r="BE17" i="19"/>
  <c r="BE16" i="19"/>
  <c r="BE13" i="19"/>
  <c r="BE12" i="19"/>
  <c r="BE11" i="19"/>
  <c r="BE10" i="19"/>
  <c r="O150" i="19"/>
  <c r="O124" i="19"/>
  <c r="P124" i="19"/>
  <c r="O488" i="15"/>
  <c r="BA106" i="19"/>
  <c r="P30" i="19"/>
  <c r="P50" i="19"/>
  <c r="BA502" i="15"/>
  <c r="C504" i="15"/>
  <c r="D504" i="15"/>
  <c r="D505" i="15"/>
  <c r="E504" i="15"/>
  <c r="N503" i="15"/>
  <c r="N501" i="15"/>
  <c r="N512" i="15" s="1"/>
  <c r="N500" i="15"/>
  <c r="N498" i="15"/>
  <c r="N502" i="15"/>
  <c r="AW502" i="15"/>
  <c r="AW513" i="15" s="1"/>
  <c r="N497" i="15"/>
  <c r="O503" i="15"/>
  <c r="O497" i="15"/>
  <c r="O501" i="15"/>
  <c r="O500" i="15"/>
  <c r="O498" i="15"/>
  <c r="BE63" i="19"/>
  <c r="BE50" i="19"/>
  <c r="BE30" i="19"/>
  <c r="P161" i="19"/>
  <c r="P136" i="19"/>
  <c r="P135" i="19"/>
  <c r="P134" i="19"/>
  <c r="P118" i="19"/>
  <c r="P111" i="19"/>
  <c r="P60" i="19"/>
  <c r="BE60" i="19"/>
  <c r="BA478" i="15"/>
  <c r="BA477" i="15"/>
  <c r="BA296" i="15"/>
  <c r="BA290" i="15"/>
  <c r="C242" i="17"/>
  <c r="BA289" i="15"/>
  <c r="C248" i="17"/>
  <c r="BA276" i="15"/>
  <c r="BA274" i="15"/>
  <c r="BA273" i="15"/>
  <c r="BA272" i="15"/>
  <c r="BA279" i="15"/>
  <c r="BA249" i="15"/>
  <c r="BA244" i="15"/>
  <c r="BA243" i="15"/>
  <c r="BA242" i="15"/>
  <c r="BA241" i="15"/>
  <c r="BA232" i="15"/>
  <c r="BA231" i="15"/>
  <c r="BA230" i="15"/>
  <c r="BA228" i="15"/>
  <c r="AV170" i="15"/>
  <c r="AW170" i="15"/>
  <c r="BA170" i="15"/>
  <c r="BA154" i="15"/>
  <c r="BA355" i="15"/>
  <c r="O382" i="15"/>
  <c r="O420" i="15"/>
  <c r="O248" i="15"/>
  <c r="O247" i="15"/>
  <c r="O148" i="15"/>
  <c r="O349" i="15"/>
  <c r="O146" i="15"/>
  <c r="O139" i="15"/>
  <c r="O229" i="15"/>
  <c r="BA229" i="15"/>
  <c r="O58" i="15"/>
  <c r="O60" i="15"/>
  <c r="O62" i="15"/>
  <c r="O30" i="15"/>
  <c r="O29" i="15"/>
  <c r="O21" i="15"/>
  <c r="O84" i="15"/>
  <c r="BA538" i="15"/>
  <c r="BA528" i="15"/>
  <c r="BA518" i="15"/>
  <c r="BA507" i="15"/>
  <c r="BA496" i="15"/>
  <c r="BA484" i="15"/>
  <c r="BA455" i="15"/>
  <c r="BA385" i="15"/>
  <c r="BA326" i="15"/>
  <c r="BA321" i="15"/>
  <c r="BA313" i="15"/>
  <c r="BA299" i="15"/>
  <c r="BA240" i="15"/>
  <c r="BA226" i="15"/>
  <c r="BA219" i="15"/>
  <c r="BA212" i="15"/>
  <c r="BA200" i="15"/>
  <c r="BA158" i="15"/>
  <c r="BA133" i="15"/>
  <c r="BA128" i="15"/>
  <c r="BA118" i="15"/>
  <c r="BA102" i="15"/>
  <c r="BA51" i="15"/>
  <c r="BA28" i="15"/>
  <c r="O538" i="15"/>
  <c r="O528" i="15"/>
  <c r="O524" i="15"/>
  <c r="O518" i="15"/>
  <c r="O507" i="15"/>
  <c r="O496" i="15"/>
  <c r="O484" i="15"/>
  <c r="O479" i="15"/>
  <c r="O455" i="15"/>
  <c r="O385" i="15"/>
  <c r="O355" i="15"/>
  <c r="O348" i="15"/>
  <c r="O344" i="15"/>
  <c r="O342" i="15"/>
  <c r="O341" i="15"/>
  <c r="O338" i="15"/>
  <c r="O337" i="15"/>
  <c r="O326" i="15"/>
  <c r="O324" i="15"/>
  <c r="O321" i="15"/>
  <c r="O313" i="15"/>
  <c r="O299" i="15"/>
  <c r="O252" i="15"/>
  <c r="O464" i="15"/>
  <c r="O95" i="15"/>
  <c r="O240" i="15"/>
  <c r="O238" i="15"/>
  <c r="O237" i="15"/>
  <c r="O236" i="15"/>
  <c r="O233" i="15"/>
  <c r="O226" i="15"/>
  <c r="O219" i="15"/>
  <c r="O212" i="15"/>
  <c r="O207" i="15"/>
  <c r="O461" i="15"/>
  <c r="O201" i="15"/>
  <c r="O200" i="15"/>
  <c r="O190" i="15"/>
  <c r="O158" i="15"/>
  <c r="O346" i="15"/>
  <c r="O133" i="15"/>
  <c r="O130" i="15"/>
  <c r="O128" i="15"/>
  <c r="O120" i="15"/>
  <c r="O118" i="15"/>
  <c r="O206" i="15"/>
  <c r="O89" i="15"/>
  <c r="O102" i="15"/>
  <c r="O79" i="15"/>
  <c r="O78" i="15"/>
  <c r="O77" i="15"/>
  <c r="O76" i="15"/>
  <c r="O68" i="15"/>
  <c r="O55" i="15"/>
  <c r="O52" i="15"/>
  <c r="O51" i="15"/>
  <c r="O44" i="15"/>
  <c r="O521" i="15"/>
  <c r="O523" i="15"/>
  <c r="O522" i="15"/>
  <c r="O34" i="15"/>
  <c r="O520" i="15"/>
  <c r="O28" i="15"/>
  <c r="O82" i="15"/>
  <c r="O12" i="15"/>
  <c r="O13" i="15"/>
  <c r="O9" i="15"/>
  <c r="O325" i="15"/>
  <c r="C321" i="17"/>
  <c r="C322" i="17"/>
  <c r="BV489" i="15"/>
  <c r="BV512" i="15"/>
  <c r="BV487" i="15"/>
  <c r="BV510" i="15"/>
  <c r="AZ487" i="15"/>
  <c r="AZ510" i="15"/>
  <c r="AY478" i="15"/>
  <c r="AY477" i="15"/>
  <c r="C300" i="17"/>
  <c r="C294" i="17"/>
  <c r="C291" i="17"/>
  <c r="D272" i="17"/>
  <c r="D291" i="17" s="1"/>
  <c r="D276" i="17"/>
  <c r="C285" i="17"/>
  <c r="C280" i="17"/>
  <c r="C286" i="17" s="1"/>
  <c r="BD84" i="19"/>
  <c r="BD83" i="19"/>
  <c r="BD82" i="19"/>
  <c r="BD81" i="19"/>
  <c r="BD80" i="19"/>
  <c r="BD63" i="19"/>
  <c r="BD60" i="19"/>
  <c r="BD50" i="19"/>
  <c r="BD30" i="19"/>
  <c r="AZ229" i="15"/>
  <c r="AZ538" i="15"/>
  <c r="AZ528" i="15"/>
  <c r="AZ518" i="15"/>
  <c r="AZ507" i="15"/>
  <c r="AZ496" i="15"/>
  <c r="AZ484" i="15"/>
  <c r="AZ479" i="15"/>
  <c r="AZ455" i="15"/>
  <c r="AZ420" i="15"/>
  <c r="AZ387" i="15"/>
  <c r="AZ385" i="15"/>
  <c r="AZ355" i="15"/>
  <c r="AZ326" i="15"/>
  <c r="AZ323" i="15"/>
  <c r="AZ322" i="15"/>
  <c r="AZ321" i="15"/>
  <c r="AZ313" i="15"/>
  <c r="AZ299" i="15"/>
  <c r="AZ279" i="15"/>
  <c r="AZ278" i="15"/>
  <c r="AZ255" i="15"/>
  <c r="AZ423" i="15"/>
  <c r="AZ252" i="15"/>
  <c r="J277" i="17"/>
  <c r="AZ240" i="15"/>
  <c r="AZ233" i="15"/>
  <c r="AZ226" i="15"/>
  <c r="AZ219" i="15"/>
  <c r="AZ212" i="15"/>
  <c r="AZ200" i="15"/>
  <c r="AZ158" i="15"/>
  <c r="AZ133" i="15"/>
  <c r="AZ130" i="15"/>
  <c r="AZ128" i="15"/>
  <c r="AZ118" i="15"/>
  <c r="AZ102" i="15"/>
  <c r="AZ51" i="15"/>
  <c r="AZ28" i="15"/>
  <c r="C374" i="17"/>
  <c r="C375" i="17"/>
  <c r="D325" i="17"/>
  <c r="BC94" i="19"/>
  <c r="BV140" i="15"/>
  <c r="C336" i="17"/>
  <c r="C337" i="17"/>
  <c r="C331" i="17"/>
  <c r="C333" i="17"/>
  <c r="BC160" i="19"/>
  <c r="BD160" i="19"/>
  <c r="BE160" i="19"/>
  <c r="BC159" i="19"/>
  <c r="BD159" i="19"/>
  <c r="BE159" i="19"/>
  <c r="BC158" i="19"/>
  <c r="BD158" i="19"/>
  <c r="BE158" i="19"/>
  <c r="BC157" i="19"/>
  <c r="BE157" i="19"/>
  <c r="BC156" i="19"/>
  <c r="BD156" i="19"/>
  <c r="BE156" i="19"/>
  <c r="BC155" i="19"/>
  <c r="BC153" i="19"/>
  <c r="BD153" i="19"/>
  <c r="BE153" i="19"/>
  <c r="BC152" i="19"/>
  <c r="BD152" i="19"/>
  <c r="BE152" i="19"/>
  <c r="BC151" i="19"/>
  <c r="BD151" i="19"/>
  <c r="BE151" i="19"/>
  <c r="BC150" i="19"/>
  <c r="BC144" i="19"/>
  <c r="BD144" i="19"/>
  <c r="BE144" i="19"/>
  <c r="BC143" i="19"/>
  <c r="BD143" i="19"/>
  <c r="BE143" i="19"/>
  <c r="BC142" i="19"/>
  <c r="BD142" i="19"/>
  <c r="BE142" i="19"/>
  <c r="BC141" i="19"/>
  <c r="BE141" i="19"/>
  <c r="BC140" i="19"/>
  <c r="BD140" i="19"/>
  <c r="BE140" i="19"/>
  <c r="BC139" i="19"/>
  <c r="BD139" i="19"/>
  <c r="BE139" i="19"/>
  <c r="BC137" i="19"/>
  <c r="BD137" i="19"/>
  <c r="BE137" i="19"/>
  <c r="BC123" i="19"/>
  <c r="BC122" i="19"/>
  <c r="BD122" i="19"/>
  <c r="BE122" i="19"/>
  <c r="BC121" i="19"/>
  <c r="BD121" i="19"/>
  <c r="BC120" i="19"/>
  <c r="BD120" i="19"/>
  <c r="BC119" i="19"/>
  <c r="BD119" i="19"/>
  <c r="BE119" i="19"/>
  <c r="BC117" i="19"/>
  <c r="BD117" i="19"/>
  <c r="BE117" i="19"/>
  <c r="BC116" i="19"/>
  <c r="BD116" i="19"/>
  <c r="BC114" i="19"/>
  <c r="BC113" i="19"/>
  <c r="BC112" i="19"/>
  <c r="BD112" i="19"/>
  <c r="BE112" i="19"/>
  <c r="BC105" i="19"/>
  <c r="BC103" i="19"/>
  <c r="BC102" i="19"/>
  <c r="BC101" i="19"/>
  <c r="BC100" i="19"/>
  <c r="BC95" i="19"/>
  <c r="BC91" i="19"/>
  <c r="BC90" i="19"/>
  <c r="BC89" i="19"/>
  <c r="BC88" i="19"/>
  <c r="BC87" i="19"/>
  <c r="BC77" i="19"/>
  <c r="BC76" i="19"/>
  <c r="BC75" i="19"/>
  <c r="BC74" i="19"/>
  <c r="BC73" i="19"/>
  <c r="BC59" i="19"/>
  <c r="BC57" i="19"/>
  <c r="BC56" i="19"/>
  <c r="BC55" i="19"/>
  <c r="BC54" i="19"/>
  <c r="BC28" i="19"/>
  <c r="BC26" i="19"/>
  <c r="BC25" i="19"/>
  <c r="BC22" i="19"/>
  <c r="BC21" i="19"/>
  <c r="BC20" i="19"/>
  <c r="BC19" i="19"/>
  <c r="BC18" i="19"/>
  <c r="BC17" i="19"/>
  <c r="BC16" i="19"/>
  <c r="BC13" i="19"/>
  <c r="BC12" i="19"/>
  <c r="BC11" i="19"/>
  <c r="BC10" i="19"/>
  <c r="BS124" i="19"/>
  <c r="BU488" i="15"/>
  <c r="BT124" i="19"/>
  <c r="BT161" i="19"/>
  <c r="BT136" i="19"/>
  <c r="BT135" i="19"/>
  <c r="BT134" i="19"/>
  <c r="BT145" i="19"/>
  <c r="BT118" i="19"/>
  <c r="BV486" i="15"/>
  <c r="BT111" i="19"/>
  <c r="BV485" i="15"/>
  <c r="BT63" i="19"/>
  <c r="BT60" i="19"/>
  <c r="BT50" i="19"/>
  <c r="BT30" i="19"/>
  <c r="BC63" i="19"/>
  <c r="BC50" i="19"/>
  <c r="BC30" i="19"/>
  <c r="AY112" i="15"/>
  <c r="AY129" i="15"/>
  <c r="BV500" i="15"/>
  <c r="BV498" i="15"/>
  <c r="BV509" i="15" s="1"/>
  <c r="BV497" i="15"/>
  <c r="BV508" i="15" s="1"/>
  <c r="AY290" i="15"/>
  <c r="C347" i="17"/>
  <c r="BV276" i="15"/>
  <c r="BV274" i="15"/>
  <c r="AY274" i="15"/>
  <c r="BV273" i="15"/>
  <c r="BV272" i="15"/>
  <c r="AY272" i="15"/>
  <c r="BV249" i="15"/>
  <c r="AY249" i="15"/>
  <c r="BV248" i="15"/>
  <c r="AY248" i="15"/>
  <c r="BV247" i="15"/>
  <c r="BV255" i="15"/>
  <c r="BV229" i="15"/>
  <c r="AY229" i="15"/>
  <c r="BV149" i="15"/>
  <c r="BV148" i="15"/>
  <c r="BV146" i="15"/>
  <c r="BV145" i="15"/>
  <c r="AY145" i="15"/>
  <c r="AZ145" i="15"/>
  <c r="BV104" i="15"/>
  <c r="BV30" i="15"/>
  <c r="BV29" i="15"/>
  <c r="BV21" i="15"/>
  <c r="AY503" i="15"/>
  <c r="AY296" i="15"/>
  <c r="AY289" i="15"/>
  <c r="C353" i="17"/>
  <c r="AY267" i="15"/>
  <c r="AY244" i="15"/>
  <c r="AY243" i="15"/>
  <c r="AY242" i="15"/>
  <c r="AY241" i="15"/>
  <c r="AY232" i="15"/>
  <c r="AY231" i="15"/>
  <c r="AY230" i="15"/>
  <c r="AY228" i="15"/>
  <c r="AY195" i="15"/>
  <c r="AZ195" i="15"/>
  <c r="BA195" i="15"/>
  <c r="AY189" i="15"/>
  <c r="AZ189" i="15"/>
  <c r="BA189" i="15"/>
  <c r="AY188" i="15"/>
  <c r="AY187" i="15"/>
  <c r="AZ187" i="15"/>
  <c r="BA187" i="15"/>
  <c r="AY186" i="15"/>
  <c r="AZ186" i="15"/>
  <c r="BA186" i="15"/>
  <c r="AY183" i="15"/>
  <c r="AZ183" i="15"/>
  <c r="BA183" i="15"/>
  <c r="AY182" i="15"/>
  <c r="AZ182" i="15"/>
  <c r="BA182" i="15"/>
  <c r="AY181" i="15"/>
  <c r="BA181" i="15"/>
  <c r="AY180" i="15"/>
  <c r="AY179" i="15"/>
  <c r="AZ179" i="15"/>
  <c r="AY176" i="15"/>
  <c r="AZ176" i="15"/>
  <c r="BA176" i="15"/>
  <c r="AY175" i="15"/>
  <c r="AZ175" i="15"/>
  <c r="BA175" i="15"/>
  <c r="AY174" i="15"/>
  <c r="AZ174" i="15"/>
  <c r="BA174" i="15"/>
  <c r="AY173" i="15"/>
  <c r="AZ173" i="15"/>
  <c r="BA173" i="15"/>
  <c r="AY172" i="15"/>
  <c r="AZ172" i="15"/>
  <c r="BA172" i="15"/>
  <c r="AY171" i="15"/>
  <c r="AZ171" i="15"/>
  <c r="BA171" i="15"/>
  <c r="AY169" i="15"/>
  <c r="AZ169" i="15"/>
  <c r="BA169" i="15"/>
  <c r="AY167" i="15"/>
  <c r="AY166" i="15"/>
  <c r="C344" i="17"/>
  <c r="AY165" i="15"/>
  <c r="AZ165" i="15"/>
  <c r="BA165" i="15"/>
  <c r="AY164" i="15"/>
  <c r="AZ164" i="15"/>
  <c r="BA164" i="15"/>
  <c r="AY163" i="15"/>
  <c r="AZ163" i="15"/>
  <c r="BA163" i="15"/>
  <c r="AY162" i="15"/>
  <c r="AZ162" i="15"/>
  <c r="BA162" i="15"/>
  <c r="AY161" i="15"/>
  <c r="AZ161" i="15"/>
  <c r="BA161" i="15"/>
  <c r="AY154" i="15"/>
  <c r="AY252" i="15"/>
  <c r="C340" i="17"/>
  <c r="C363" i="17"/>
  <c r="C364" i="17"/>
  <c r="AY147" i="15"/>
  <c r="AZ147" i="15"/>
  <c r="AY143" i="15"/>
  <c r="AY142" i="15"/>
  <c r="AZ142" i="15"/>
  <c r="AY141" i="15"/>
  <c r="AY137" i="15"/>
  <c r="AY338" i="15"/>
  <c r="AY136" i="15"/>
  <c r="AY70" i="15"/>
  <c r="BA70" i="15"/>
  <c r="AY65" i="15"/>
  <c r="BA65" i="15"/>
  <c r="AY64" i="15"/>
  <c r="BA64" i="15"/>
  <c r="AY63" i="15"/>
  <c r="BA63" i="15"/>
  <c r="AY48" i="15"/>
  <c r="AZ48" i="15"/>
  <c r="AY46" i="15"/>
  <c r="AZ46" i="15"/>
  <c r="BA46" i="15"/>
  <c r="AY43" i="15"/>
  <c r="AY42" i="15"/>
  <c r="AY41" i="15"/>
  <c r="AY40" i="15"/>
  <c r="AZ40" i="15"/>
  <c r="BA40" i="15"/>
  <c r="AY38" i="15"/>
  <c r="AY524" i="15"/>
  <c r="AY37" i="15"/>
  <c r="AY36" i="15"/>
  <c r="AY35" i="15"/>
  <c r="AZ35" i="15"/>
  <c r="AY33" i="15"/>
  <c r="AY32" i="15"/>
  <c r="AY23" i="15"/>
  <c r="AZ23" i="15"/>
  <c r="BA23" i="15"/>
  <c r="AY20" i="15"/>
  <c r="AY19" i="15"/>
  <c r="AZ19" i="15"/>
  <c r="AY17" i="15"/>
  <c r="AY16" i="15"/>
  <c r="AZ16" i="15"/>
  <c r="AY15" i="15"/>
  <c r="AZ15" i="15"/>
  <c r="BA15" i="15"/>
  <c r="AY14" i="15"/>
  <c r="AZ14" i="15"/>
  <c r="AY11" i="15"/>
  <c r="AY8" i="15"/>
  <c r="BV538" i="15"/>
  <c r="BV528" i="15"/>
  <c r="BV524" i="15"/>
  <c r="BV523" i="15"/>
  <c r="BV522" i="15"/>
  <c r="BV521" i="15"/>
  <c r="BV518" i="15"/>
  <c r="BV514" i="15"/>
  <c r="BV507" i="15"/>
  <c r="BV496" i="15"/>
  <c r="BV484" i="15"/>
  <c r="BV479" i="15"/>
  <c r="BV455" i="15"/>
  <c r="BV385" i="15"/>
  <c r="BV321" i="15"/>
  <c r="BV313" i="15"/>
  <c r="BV299" i="15"/>
  <c r="BV252" i="15"/>
  <c r="BV464" i="15"/>
  <c r="BV240" i="15"/>
  <c r="BV238" i="15"/>
  <c r="BV237" i="15"/>
  <c r="BV236" i="15"/>
  <c r="BV233" i="15"/>
  <c r="BV226" i="15"/>
  <c r="BV219" i="15"/>
  <c r="BV212" i="15"/>
  <c r="BV207" i="15"/>
  <c r="BV461" i="15"/>
  <c r="BV201" i="15"/>
  <c r="BV456" i="15"/>
  <c r="BV200" i="15"/>
  <c r="BV190" i="15"/>
  <c r="BV184" i="15"/>
  <c r="BV158" i="15"/>
  <c r="BV133" i="15"/>
  <c r="BV130" i="15"/>
  <c r="BV128" i="15"/>
  <c r="BV120" i="15"/>
  <c r="BV118" i="15"/>
  <c r="BV114" i="15"/>
  <c r="BV102" i="15"/>
  <c r="BV95" i="15"/>
  <c r="BV82" i="15"/>
  <c r="BV80" i="15"/>
  <c r="BV79" i="15"/>
  <c r="BV78" i="15"/>
  <c r="BV77" i="15"/>
  <c r="BV76" i="15"/>
  <c r="BV68" i="15"/>
  <c r="BV62" i="15"/>
  <c r="BV58" i="15"/>
  <c r="BV55" i="15"/>
  <c r="BV52" i="15"/>
  <c r="BV51" i="15"/>
  <c r="BV44" i="15"/>
  <c r="BV34" i="15"/>
  <c r="BV520" i="15"/>
  <c r="BV28" i="15"/>
  <c r="BV12" i="15"/>
  <c r="BV18" i="15"/>
  <c r="BV9" i="15"/>
  <c r="BV493" i="15"/>
  <c r="AY538" i="15"/>
  <c r="AY528" i="15"/>
  <c r="AY518" i="15"/>
  <c r="AY507" i="15"/>
  <c r="AY496" i="15"/>
  <c r="AY484" i="15"/>
  <c r="AY455" i="15"/>
  <c r="AY385" i="15"/>
  <c r="AY326" i="15"/>
  <c r="AY321" i="15"/>
  <c r="AY313" i="15"/>
  <c r="AY299" i="15"/>
  <c r="AY240" i="15"/>
  <c r="AY226" i="15"/>
  <c r="AY219" i="15"/>
  <c r="AY212" i="15"/>
  <c r="AY200" i="15"/>
  <c r="AY158" i="15"/>
  <c r="AY133" i="15"/>
  <c r="AY128" i="15"/>
  <c r="AY118" i="15"/>
  <c r="AY102" i="15"/>
  <c r="AY51" i="15"/>
  <c r="AY28" i="15"/>
  <c r="C427" i="17"/>
  <c r="C428" i="17"/>
  <c r="C406" i="17"/>
  <c r="AX252" i="15"/>
  <c r="AX168" i="15"/>
  <c r="AY168" i="15"/>
  <c r="AZ168" i="15"/>
  <c r="BA168" i="15"/>
  <c r="AX149" i="15"/>
  <c r="AX350" i="15"/>
  <c r="C400" i="17"/>
  <c r="C389" i="17"/>
  <c r="C384" i="17"/>
  <c r="C386" i="17"/>
  <c r="C390" i="17"/>
  <c r="J124" i="19"/>
  <c r="I488" i="15"/>
  <c r="I124" i="19"/>
  <c r="BW123" i="19"/>
  <c r="BZ487" i="15"/>
  <c r="BP123" i="19"/>
  <c r="BO123" i="19"/>
  <c r="BL123" i="19"/>
  <c r="AP123" i="19"/>
  <c r="J123" i="19"/>
  <c r="I487" i="15"/>
  <c r="I123" i="19"/>
  <c r="H487" i="15"/>
  <c r="H123" i="19"/>
  <c r="G487" i="15"/>
  <c r="G123" i="19"/>
  <c r="BW60" i="19"/>
  <c r="BS60" i="19"/>
  <c r="BR60" i="19"/>
  <c r="BQ60" i="19"/>
  <c r="BP60" i="19"/>
  <c r="BO60" i="19"/>
  <c r="BN60" i="19"/>
  <c r="BM60" i="19"/>
  <c r="BL60" i="19"/>
  <c r="BB60" i="19"/>
  <c r="AZ60" i="19"/>
  <c r="AX60" i="19"/>
  <c r="AV60" i="19"/>
  <c r="AT60" i="19"/>
  <c r="AR60" i="19"/>
  <c r="AP60" i="19"/>
  <c r="AN60" i="19"/>
  <c r="AM60" i="19"/>
  <c r="AK60" i="19"/>
  <c r="AI60" i="19"/>
  <c r="AG60" i="19"/>
  <c r="AF60" i="19"/>
  <c r="AC60" i="19"/>
  <c r="AA60" i="19"/>
  <c r="Y60" i="19"/>
  <c r="W60" i="19"/>
  <c r="U60" i="19"/>
  <c r="BI60" i="19"/>
  <c r="S60" i="19"/>
  <c r="O60" i="19"/>
  <c r="N60" i="19"/>
  <c r="M60" i="19"/>
  <c r="L60" i="19"/>
  <c r="K60" i="19"/>
  <c r="J60" i="19"/>
  <c r="I60" i="19"/>
  <c r="H60" i="19"/>
  <c r="G60" i="19"/>
  <c r="F60" i="19"/>
  <c r="E60" i="19"/>
  <c r="D60" i="19"/>
  <c r="BA59" i="19"/>
  <c r="AY59" i="19"/>
  <c r="AW59" i="19"/>
  <c r="AU59" i="19"/>
  <c r="AS59" i="19"/>
  <c r="AQ59" i="19"/>
  <c r="AO59" i="19"/>
  <c r="AL59" i="19"/>
  <c r="AJ59" i="19"/>
  <c r="AH59" i="19"/>
  <c r="AE59" i="19"/>
  <c r="AD59" i="19"/>
  <c r="AB59" i="19"/>
  <c r="Z59" i="19"/>
  <c r="X59" i="19"/>
  <c r="V59" i="19"/>
  <c r="T59" i="19"/>
  <c r="BR501" i="15"/>
  <c r="BP500" i="15"/>
  <c r="AP500" i="15"/>
  <c r="R500" i="15"/>
  <c r="Z499" i="15"/>
  <c r="V499" i="15"/>
  <c r="W499" i="15"/>
  <c r="X499" i="15"/>
  <c r="R499" i="15"/>
  <c r="S499" i="15"/>
  <c r="T499" i="15"/>
  <c r="BT498" i="15"/>
  <c r="L498" i="15"/>
  <c r="J498" i="15"/>
  <c r="BU497" i="15"/>
  <c r="BT497" i="15"/>
  <c r="BS497" i="15"/>
  <c r="R497" i="15"/>
  <c r="S497" i="15"/>
  <c r="T497" i="15"/>
  <c r="L497" i="15"/>
  <c r="G497" i="15"/>
  <c r="AF381" i="15"/>
  <c r="AC381" i="15"/>
  <c r="BO289" i="15"/>
  <c r="W289" i="15"/>
  <c r="V289" i="15"/>
  <c r="BO248" i="15"/>
  <c r="BL248" i="15"/>
  <c r="AT248" i="15"/>
  <c r="AJ248" i="15"/>
  <c r="AH248" i="15"/>
  <c r="AD248" i="15"/>
  <c r="T248" i="15"/>
  <c r="R248" i="15"/>
  <c r="R247" i="15"/>
  <c r="R255" i="15"/>
  <c r="M247" i="15"/>
  <c r="K247" i="15"/>
  <c r="AT241" i="15"/>
  <c r="AT95" i="15"/>
  <c r="N229" i="15"/>
  <c r="AW229" i="15"/>
  <c r="M229" i="15"/>
  <c r="AS229" i="15"/>
  <c r="H229" i="15"/>
  <c r="AC229" i="15"/>
  <c r="N179" i="15"/>
  <c r="BT149" i="15"/>
  <c r="AP149" i="15"/>
  <c r="M149" i="15"/>
  <c r="M350" i="15"/>
  <c r="CC148" i="15"/>
  <c r="BO148" i="15"/>
  <c r="BN148" i="15"/>
  <c r="AP146" i="15"/>
  <c r="AH146" i="15"/>
  <c r="N146" i="15"/>
  <c r="J146" i="15"/>
  <c r="J347" i="15"/>
  <c r="I146" i="15"/>
  <c r="H146" i="15"/>
  <c r="C146" i="15"/>
  <c r="BS139" i="15"/>
  <c r="BN139" i="15"/>
  <c r="AX139" i="15"/>
  <c r="AT139" i="15"/>
  <c r="N139" i="15"/>
  <c r="T130" i="15"/>
  <c r="C130" i="15"/>
  <c r="N21" i="15"/>
  <c r="N84" i="15"/>
  <c r="C21" i="15"/>
  <c r="C1236" i="17"/>
  <c r="C929" i="17"/>
  <c r="C534" i="17"/>
  <c r="C535" i="17"/>
  <c r="D378" i="17"/>
  <c r="D385" i="17"/>
  <c r="AX60" i="15"/>
  <c r="BB125" i="19"/>
  <c r="BB124" i="19"/>
  <c r="BB161" i="19"/>
  <c r="BB136" i="19"/>
  <c r="BB135" i="19"/>
  <c r="BB134" i="19"/>
  <c r="BB118" i="19"/>
  <c r="BB111" i="19"/>
  <c r="BB128" i="19"/>
  <c r="BB129" i="19"/>
  <c r="BB63" i="19"/>
  <c r="BB50" i="19"/>
  <c r="BB30" i="19"/>
  <c r="AX501" i="15"/>
  <c r="AY501" i="15"/>
  <c r="AZ501" i="15"/>
  <c r="BA501" i="15"/>
  <c r="AX500" i="15"/>
  <c r="AX499" i="15"/>
  <c r="AY499" i="15"/>
  <c r="BA499" i="15"/>
  <c r="AX498" i="15"/>
  <c r="AX497" i="15"/>
  <c r="AX381" i="15"/>
  <c r="AX248" i="15"/>
  <c r="AX247" i="15"/>
  <c r="AX241" i="15"/>
  <c r="AX95" i="15"/>
  <c r="AX229" i="15"/>
  <c r="AX148" i="15"/>
  <c r="AX349" i="15"/>
  <c r="AX146" i="15"/>
  <c r="AX347" i="15"/>
  <c r="AX140" i="15"/>
  <c r="AX341" i="15"/>
  <c r="AX29" i="15"/>
  <c r="AX21" i="15"/>
  <c r="AX84" i="15"/>
  <c r="AX44" i="15"/>
  <c r="AX34" i="15"/>
  <c r="AX520" i="15"/>
  <c r="AX28" i="15"/>
  <c r="AX12" i="15"/>
  <c r="AX9" i="15"/>
  <c r="AU48" i="15"/>
  <c r="AV48" i="15"/>
  <c r="AW48" i="15"/>
  <c r="AX538" i="15"/>
  <c r="AX528" i="15"/>
  <c r="AX524" i="15"/>
  <c r="AX523" i="15"/>
  <c r="AX522" i="15"/>
  <c r="AX521" i="15"/>
  <c r="AX518" i="15"/>
  <c r="AX514" i="15"/>
  <c r="AX507" i="15"/>
  <c r="AX496" i="15"/>
  <c r="AX487" i="15"/>
  <c r="AX484" i="15"/>
  <c r="AX479" i="15"/>
  <c r="AX455" i="15"/>
  <c r="AX420" i="15"/>
  <c r="AX385" i="15"/>
  <c r="AX355" i="15"/>
  <c r="AX348" i="15"/>
  <c r="AX346" i="15"/>
  <c r="AX344" i="15"/>
  <c r="AX343" i="15"/>
  <c r="AX342" i="15"/>
  <c r="AX338" i="15"/>
  <c r="AX337" i="15"/>
  <c r="AX326" i="15"/>
  <c r="AX324" i="15"/>
  <c r="AX321" i="15"/>
  <c r="AX313" i="15"/>
  <c r="AX299" i="15"/>
  <c r="AX279" i="15"/>
  <c r="AX278" i="15"/>
  <c r="AX240" i="15"/>
  <c r="AX238" i="15"/>
  <c r="AX237" i="15"/>
  <c r="AX236" i="15"/>
  <c r="AX233" i="15"/>
  <c r="AX226" i="15"/>
  <c r="AX219" i="15"/>
  <c r="C396" i="17"/>
  <c r="AX212" i="15"/>
  <c r="AX200" i="15"/>
  <c r="AX190" i="15"/>
  <c r="AX184" i="15"/>
  <c r="AX158" i="15"/>
  <c r="AX133" i="15"/>
  <c r="AX130" i="15"/>
  <c r="AX128" i="15"/>
  <c r="AX120" i="15"/>
  <c r="AX118" i="15"/>
  <c r="AX114" i="15"/>
  <c r="AX89" i="15"/>
  <c r="AX102" i="15"/>
  <c r="AX80" i="15"/>
  <c r="AX79" i="15"/>
  <c r="AX78" i="15"/>
  <c r="AX77" i="15"/>
  <c r="AX76" i="15"/>
  <c r="AX68" i="15"/>
  <c r="AX62" i="15"/>
  <c r="AX66" i="15"/>
  <c r="AX55" i="15"/>
  <c r="AY55" i="15" s="1"/>
  <c r="AX52" i="15"/>
  <c r="AY52" i="15"/>
  <c r="AX51" i="15"/>
  <c r="C480" i="17"/>
  <c r="C481" i="17"/>
  <c r="M548" i="15"/>
  <c r="M92" i="15"/>
  <c r="M542" i="15"/>
  <c r="M538" i="15"/>
  <c r="M528" i="15"/>
  <c r="M524" i="15"/>
  <c r="M523" i="15"/>
  <c r="M522" i="15"/>
  <c r="M521" i="15"/>
  <c r="M518" i="15"/>
  <c r="M507" i="15"/>
  <c r="M500" i="15"/>
  <c r="M511" i="15"/>
  <c r="M499" i="15"/>
  <c r="M498" i="15"/>
  <c r="M509" i="15"/>
  <c r="M497" i="15"/>
  <c r="M508" i="15"/>
  <c r="M496" i="15"/>
  <c r="M512" i="15"/>
  <c r="M484" i="15"/>
  <c r="M479" i="15"/>
  <c r="M455" i="15"/>
  <c r="M385" i="15"/>
  <c r="M382" i="15"/>
  <c r="M420" i="15"/>
  <c r="M381" i="15"/>
  <c r="M355" i="15"/>
  <c r="M348" i="15"/>
  <c r="M344" i="15"/>
  <c r="M343" i="15"/>
  <c r="M341" i="15"/>
  <c r="M338" i="15"/>
  <c r="M337" i="15"/>
  <c r="M326" i="15"/>
  <c r="M324" i="15"/>
  <c r="M321" i="15"/>
  <c r="M313" i="15"/>
  <c r="M299" i="15"/>
  <c r="M279" i="15"/>
  <c r="M278" i="15"/>
  <c r="M252" i="15"/>
  <c r="M248" i="15"/>
  <c r="M240" i="15"/>
  <c r="M238" i="15"/>
  <c r="M237" i="15"/>
  <c r="M236" i="15"/>
  <c r="M233" i="15"/>
  <c r="M226" i="15"/>
  <c r="M219" i="15"/>
  <c r="M212" i="15"/>
  <c r="M207" i="15"/>
  <c r="M461" i="15"/>
  <c r="M206" i="15"/>
  <c r="M201" i="15"/>
  <c r="M200" i="15"/>
  <c r="M190" i="15"/>
  <c r="M184" i="15"/>
  <c r="M171" i="15"/>
  <c r="M158" i="15"/>
  <c r="M148" i="15"/>
  <c r="M349" i="15"/>
  <c r="M146" i="15"/>
  <c r="M347" i="15"/>
  <c r="M145" i="15"/>
  <c r="M141" i="15"/>
  <c r="M342" i="15"/>
  <c r="M139" i="15"/>
  <c r="M133" i="15"/>
  <c r="M131" i="15"/>
  <c r="M130" i="15"/>
  <c r="M128" i="15"/>
  <c r="M120" i="15"/>
  <c r="M118" i="15"/>
  <c r="M114" i="15"/>
  <c r="M104" i="15"/>
  <c r="M89" i="15"/>
  <c r="M102" i="15"/>
  <c r="M100" i="15"/>
  <c r="M99" i="15"/>
  <c r="M95" i="15"/>
  <c r="M94" i="15"/>
  <c r="M93" i="15"/>
  <c r="M82" i="15"/>
  <c r="M80" i="15"/>
  <c r="M79" i="15"/>
  <c r="M78" i="15"/>
  <c r="M77" i="15"/>
  <c r="M76" i="15"/>
  <c r="M68" i="15"/>
  <c r="M62" i="15"/>
  <c r="M66" i="15"/>
  <c r="M58" i="15"/>
  <c r="M56" i="15"/>
  <c r="M55" i="15"/>
  <c r="M53" i="15"/>
  <c r="M52" i="15"/>
  <c r="M51" i="15"/>
  <c r="M44" i="15"/>
  <c r="M34" i="15"/>
  <c r="M520" i="15"/>
  <c r="M31" i="15"/>
  <c r="M28" i="15"/>
  <c r="M21" i="15"/>
  <c r="M84" i="15"/>
  <c r="M12" i="15"/>
  <c r="M9" i="15"/>
  <c r="M325" i="15"/>
  <c r="AS290" i="15"/>
  <c r="C670" i="17"/>
  <c r="N149" i="15"/>
  <c r="N296" i="15"/>
  <c r="AW296" i="15"/>
  <c r="N249" i="15"/>
  <c r="AW249" i="15"/>
  <c r="N241" i="15"/>
  <c r="N112" i="15"/>
  <c r="N104" i="15"/>
  <c r="C443" i="17"/>
  <c r="C442" i="17"/>
  <c r="C437" i="17"/>
  <c r="C439" i="17"/>
  <c r="O137" i="19"/>
  <c r="O73" i="19"/>
  <c r="BA73" i="19"/>
  <c r="N478" i="15"/>
  <c r="N479" i="15"/>
  <c r="N382" i="15"/>
  <c r="N381" i="15"/>
  <c r="N401" i="15"/>
  <c r="N290" i="15"/>
  <c r="N276" i="15"/>
  <c r="N274" i="15"/>
  <c r="C451" i="17"/>
  <c r="N273" i="15"/>
  <c r="N272" i="15"/>
  <c r="N248" i="15"/>
  <c r="AW248" i="15"/>
  <c r="N247" i="15"/>
  <c r="N244" i="15"/>
  <c r="AW244" i="15"/>
  <c r="N242" i="15"/>
  <c r="AW242" i="15"/>
  <c r="N195" i="15"/>
  <c r="N187" i="15"/>
  <c r="N189" i="15"/>
  <c r="N188" i="15"/>
  <c r="N174" i="15"/>
  <c r="N182" i="15"/>
  <c r="N176" i="15"/>
  <c r="N173" i="15"/>
  <c r="N171" i="15"/>
  <c r="N164" i="15"/>
  <c r="N162" i="15"/>
  <c r="N145" i="15"/>
  <c r="N148" i="15"/>
  <c r="N142" i="15"/>
  <c r="N65" i="15"/>
  <c r="N46" i="15"/>
  <c r="N37" i="15"/>
  <c r="N36" i="15"/>
  <c r="N35" i="15"/>
  <c r="N522" i="15"/>
  <c r="N33" i="15"/>
  <c r="N32" i="15"/>
  <c r="N30" i="15"/>
  <c r="N29" i="15"/>
  <c r="N20" i="15"/>
  <c r="N19" i="15"/>
  <c r="N82" i="15"/>
  <c r="N16" i="15"/>
  <c r="N17" i="15"/>
  <c r="N80" i="15"/>
  <c r="BA105" i="19"/>
  <c r="BA103" i="19"/>
  <c r="BA102" i="19"/>
  <c r="BA101" i="19"/>
  <c r="BA100" i="19"/>
  <c r="BA95" i="19"/>
  <c r="BA94" i="19"/>
  <c r="BA91" i="19"/>
  <c r="BA90" i="19"/>
  <c r="BA89" i="19"/>
  <c r="BA88" i="19"/>
  <c r="BA77" i="19"/>
  <c r="BA76" i="19"/>
  <c r="BA75" i="19"/>
  <c r="BA74" i="19"/>
  <c r="BA63" i="19"/>
  <c r="BA57" i="19"/>
  <c r="BA56" i="19"/>
  <c r="BA55" i="19"/>
  <c r="BA54" i="19"/>
  <c r="BA60" i="19" s="1"/>
  <c r="BA50" i="19"/>
  <c r="BA30" i="19"/>
  <c r="BA28" i="19"/>
  <c r="BA26" i="19"/>
  <c r="BA25" i="19"/>
  <c r="BA22" i="19"/>
  <c r="BA21" i="19"/>
  <c r="BA20" i="19"/>
  <c r="BA19" i="19"/>
  <c r="BA18" i="19"/>
  <c r="BA17" i="19"/>
  <c r="BA16" i="19"/>
  <c r="BA13" i="19"/>
  <c r="BA12" i="19"/>
  <c r="BA11" i="19"/>
  <c r="BA10" i="19"/>
  <c r="O136" i="19"/>
  <c r="O135" i="19"/>
  <c r="O134" i="19"/>
  <c r="O118" i="19"/>
  <c r="N486" i="15"/>
  <c r="O111" i="19"/>
  <c r="N130" i="15"/>
  <c r="N9" i="15"/>
  <c r="N325" i="15"/>
  <c r="AW538" i="15"/>
  <c r="AW528" i="15"/>
  <c r="AW518" i="15"/>
  <c r="AW507" i="15"/>
  <c r="AW496" i="15"/>
  <c r="AW484" i="15"/>
  <c r="AW477" i="15"/>
  <c r="AW455" i="15"/>
  <c r="AW385" i="15"/>
  <c r="AW326" i="15"/>
  <c r="AW321" i="15"/>
  <c r="AW313" i="15"/>
  <c r="AW299" i="15"/>
  <c r="AW289" i="15"/>
  <c r="C459" i="17"/>
  <c r="AW268" i="15"/>
  <c r="AW243" i="15"/>
  <c r="AW240" i="15"/>
  <c r="AW232" i="15"/>
  <c r="AW231" i="15"/>
  <c r="AW230" i="15"/>
  <c r="AW228" i="15"/>
  <c r="AW226" i="15"/>
  <c r="AW219" i="15"/>
  <c r="AW212" i="15"/>
  <c r="AW200" i="15"/>
  <c r="AW158" i="15"/>
  <c r="AW154" i="15"/>
  <c r="AW420" i="15"/>
  <c r="AW133" i="15"/>
  <c r="AW128" i="15"/>
  <c r="AW118" i="15"/>
  <c r="AW102" i="15"/>
  <c r="AW51" i="15"/>
  <c r="AW28" i="15"/>
  <c r="N538" i="15"/>
  <c r="N528" i="15"/>
  <c r="N524" i="15"/>
  <c r="N518" i="15"/>
  <c r="N507" i="15"/>
  <c r="N496" i="15"/>
  <c r="N484" i="15"/>
  <c r="N455" i="15"/>
  <c r="N385" i="15"/>
  <c r="N355" i="15"/>
  <c r="N348" i="15"/>
  <c r="N344" i="15"/>
  <c r="N341" i="15"/>
  <c r="N338" i="15"/>
  <c r="N337" i="15"/>
  <c r="N326" i="15"/>
  <c r="N324" i="15"/>
  <c r="N321" i="15"/>
  <c r="N313" i="15"/>
  <c r="N299" i="15"/>
  <c r="N252" i="15"/>
  <c r="C446" i="17"/>
  <c r="C469" i="17"/>
  <c r="C470" i="17"/>
  <c r="N240" i="15"/>
  <c r="N238" i="15"/>
  <c r="N237" i="15"/>
  <c r="N236" i="15"/>
  <c r="N233" i="15"/>
  <c r="N135" i="15"/>
  <c r="N226" i="15"/>
  <c r="N219" i="15"/>
  <c r="N212" i="15"/>
  <c r="N207" i="15"/>
  <c r="N461" i="15"/>
  <c r="N201" i="15"/>
  <c r="N456" i="15"/>
  <c r="N200" i="15"/>
  <c r="N158" i="15"/>
  <c r="N342" i="15"/>
  <c r="N133" i="15"/>
  <c r="N128" i="15"/>
  <c r="N120" i="15"/>
  <c r="N118" i="15"/>
  <c r="N102" i="15"/>
  <c r="N78" i="15"/>
  <c r="N77" i="15"/>
  <c r="N76" i="15"/>
  <c r="N68" i="15"/>
  <c r="N55" i="15"/>
  <c r="N52" i="15"/>
  <c r="N51" i="15"/>
  <c r="N44" i="15"/>
  <c r="N28" i="15"/>
  <c r="N12" i="15"/>
  <c r="D484" i="17"/>
  <c r="D489" i="17"/>
  <c r="C506" i="17"/>
  <c r="C504" i="17"/>
  <c r="C503" i="17"/>
  <c r="C502" i="17"/>
  <c r="C492" i="17"/>
  <c r="C497" i="17"/>
  <c r="C498" i="17" s="1"/>
  <c r="J488" i="17" s="1"/>
  <c r="K488" i="17" s="1"/>
  <c r="AZ160" i="19"/>
  <c r="AZ161" i="19"/>
  <c r="AZ84" i="19"/>
  <c r="AZ83" i="19"/>
  <c r="AZ82" i="19"/>
  <c r="AZ81" i="19"/>
  <c r="AZ80" i="19"/>
  <c r="AZ63" i="19"/>
  <c r="AZ50" i="19"/>
  <c r="AZ30" i="19"/>
  <c r="AV229" i="15"/>
  <c r="AV538" i="15"/>
  <c r="AV528" i="15"/>
  <c r="AV518" i="15"/>
  <c r="AV507" i="15"/>
  <c r="AV496" i="15"/>
  <c r="AV484" i="15"/>
  <c r="AV479" i="15"/>
  <c r="AV455" i="15"/>
  <c r="AV420" i="15"/>
  <c r="AV387" i="15"/>
  <c r="AV385" i="15"/>
  <c r="AV355" i="15"/>
  <c r="AV326" i="15"/>
  <c r="AV323" i="15"/>
  <c r="AV322" i="15"/>
  <c r="AV321" i="15"/>
  <c r="AV313" i="15"/>
  <c r="AV299" i="15"/>
  <c r="AV279" i="15"/>
  <c r="AV278" i="15"/>
  <c r="AV255" i="15"/>
  <c r="AV423" i="15"/>
  <c r="AV252" i="15"/>
  <c r="AV240" i="15"/>
  <c r="AV233" i="15"/>
  <c r="AV226" i="15"/>
  <c r="AV219" i="15"/>
  <c r="AV212" i="15"/>
  <c r="AV200" i="15"/>
  <c r="AV158" i="15"/>
  <c r="AV133" i="15"/>
  <c r="AV130" i="15"/>
  <c r="AV128" i="15"/>
  <c r="AV118" i="15"/>
  <c r="AV102" i="15"/>
  <c r="AV51" i="15"/>
  <c r="AV28" i="15"/>
  <c r="D586" i="17"/>
  <c r="D589" i="17"/>
  <c r="C567" i="17"/>
  <c r="C622" i="17"/>
  <c r="C616" i="17"/>
  <c r="C612" i="17"/>
  <c r="C547" i="17"/>
  <c r="D539" i="17"/>
  <c r="D594" i="17"/>
  <c r="D616" i="17" s="1"/>
  <c r="D598" i="17"/>
  <c r="C552" i="17"/>
  <c r="AU503" i="15"/>
  <c r="BU487" i="15"/>
  <c r="BU489" i="15"/>
  <c r="BU512" i="15"/>
  <c r="AU296" i="15"/>
  <c r="AU290" i="15"/>
  <c r="C561" i="17"/>
  <c r="AU289" i="15"/>
  <c r="C512" i="17"/>
  <c r="AU276" i="15"/>
  <c r="AU273" i="15"/>
  <c r="AU274" i="15"/>
  <c r="C559" i="17"/>
  <c r="AU272" i="15"/>
  <c r="C557" i="17"/>
  <c r="AU267" i="15"/>
  <c r="AU268" i="15"/>
  <c r="AU249" i="15"/>
  <c r="AU242" i="15"/>
  <c r="AU243" i="15"/>
  <c r="AU244" i="15"/>
  <c r="AU241" i="15"/>
  <c r="AU230" i="15"/>
  <c r="AU231" i="15"/>
  <c r="AU232" i="15"/>
  <c r="AU228" i="15"/>
  <c r="AU195" i="15"/>
  <c r="AV195" i="15"/>
  <c r="AU187" i="15"/>
  <c r="AV187" i="15"/>
  <c r="AU188" i="15"/>
  <c r="AU189" i="15"/>
  <c r="AV189" i="15"/>
  <c r="AW189" i="15"/>
  <c r="AU186" i="15"/>
  <c r="AV186" i="15"/>
  <c r="AW186" i="15"/>
  <c r="AU180" i="15"/>
  <c r="AU181" i="15"/>
  <c r="AW181" i="15"/>
  <c r="AU182" i="15"/>
  <c r="AV182" i="15"/>
  <c r="AU183" i="15"/>
  <c r="AV183" i="15"/>
  <c r="AW183" i="15"/>
  <c r="AU179" i="15"/>
  <c r="AU171" i="15"/>
  <c r="AV171" i="15"/>
  <c r="AU172" i="15"/>
  <c r="AV172" i="15"/>
  <c r="AW172" i="15"/>
  <c r="AU173" i="15"/>
  <c r="AV173" i="15"/>
  <c r="AU174" i="15"/>
  <c r="AV174" i="15"/>
  <c r="AU175" i="15"/>
  <c r="AV175" i="15"/>
  <c r="AW175" i="15"/>
  <c r="AU176" i="15"/>
  <c r="AV176" i="15"/>
  <c r="AU162" i="15"/>
  <c r="AV162" i="15"/>
  <c r="AW162" i="15"/>
  <c r="AU163" i="15"/>
  <c r="AV163" i="15"/>
  <c r="AW163" i="15"/>
  <c r="AU164" i="15"/>
  <c r="AV164" i="15"/>
  <c r="AU165" i="15"/>
  <c r="AV165" i="15"/>
  <c r="AW165" i="15"/>
  <c r="AU166" i="15"/>
  <c r="AW166" i="15"/>
  <c r="AU167" i="15"/>
  <c r="AV167" i="15"/>
  <c r="AW167" i="15"/>
  <c r="AU168" i="15"/>
  <c r="AV168" i="15"/>
  <c r="AU169" i="15"/>
  <c r="AV169" i="15"/>
  <c r="AW169" i="15"/>
  <c r="AU161" i="15"/>
  <c r="AV161" i="15"/>
  <c r="AW161" i="15"/>
  <c r="AU154" i="15"/>
  <c r="AU147" i="15"/>
  <c r="AU141" i="15"/>
  <c r="AU142" i="15"/>
  <c r="AU143" i="15"/>
  <c r="AV143" i="15"/>
  <c r="AU137" i="15"/>
  <c r="AU136" i="15"/>
  <c r="AU337" i="15"/>
  <c r="AU129" i="15"/>
  <c r="AW129" i="15"/>
  <c r="AU112" i="15"/>
  <c r="AU70" i="15"/>
  <c r="AW70" i="15"/>
  <c r="AU63" i="15"/>
  <c r="AW63" i="15"/>
  <c r="AU64" i="15"/>
  <c r="AW64" i="15"/>
  <c r="AU65" i="15"/>
  <c r="AU46" i="15"/>
  <c r="AV46" i="15"/>
  <c r="AU41" i="15"/>
  <c r="AU42" i="15"/>
  <c r="AU43" i="15"/>
  <c r="AU40" i="15"/>
  <c r="AU36" i="15"/>
  <c r="AU37" i="15"/>
  <c r="AU38" i="15"/>
  <c r="AU524" i="15"/>
  <c r="AU35" i="15"/>
  <c r="AV35" i="15"/>
  <c r="AU33" i="15"/>
  <c r="AU32" i="15"/>
  <c r="AU23" i="15"/>
  <c r="AV23" i="15"/>
  <c r="AU20" i="15"/>
  <c r="AV20" i="15"/>
  <c r="AU19" i="15"/>
  <c r="AV19" i="15"/>
  <c r="AU15" i="15"/>
  <c r="AU16" i="15"/>
  <c r="AV16" i="15"/>
  <c r="AV62" i="15"/>
  <c r="AV66" i="15"/>
  <c r="AU17" i="15"/>
  <c r="AV17" i="15"/>
  <c r="AU14" i="15"/>
  <c r="AV14" i="15"/>
  <c r="AW14" i="15"/>
  <c r="AU11" i="15"/>
  <c r="AU238" i="15"/>
  <c r="AU8" i="15"/>
  <c r="AU538" i="15"/>
  <c r="AU528" i="15"/>
  <c r="AU518" i="15"/>
  <c r="AU507" i="15"/>
  <c r="AU496" i="15"/>
  <c r="AU484" i="15"/>
  <c r="AU478" i="15"/>
  <c r="AU477" i="15"/>
  <c r="AU479" i="15" s="1"/>
  <c r="AU455" i="15"/>
  <c r="AU385" i="15"/>
  <c r="AU326" i="15"/>
  <c r="AU321" i="15"/>
  <c r="AU313" i="15"/>
  <c r="AU299" i="15"/>
  <c r="AU240" i="15"/>
  <c r="AU226" i="15"/>
  <c r="AU219" i="15"/>
  <c r="AU212" i="15"/>
  <c r="AU200" i="15"/>
  <c r="AU158" i="15"/>
  <c r="AU133" i="15"/>
  <c r="AU128" i="15"/>
  <c r="AU118" i="15"/>
  <c r="AU102" i="15"/>
  <c r="AU51" i="15"/>
  <c r="AU28" i="15"/>
  <c r="AY156" i="19"/>
  <c r="BA156" i="19"/>
  <c r="AY157" i="19"/>
  <c r="AY158" i="19"/>
  <c r="BA158" i="19"/>
  <c r="AY159" i="19"/>
  <c r="BA159" i="19"/>
  <c r="AY160" i="19"/>
  <c r="BA160" i="19"/>
  <c r="AY155" i="19"/>
  <c r="BA155" i="19"/>
  <c r="AY151" i="19"/>
  <c r="AY152" i="19"/>
  <c r="BA152" i="19"/>
  <c r="AY153" i="19"/>
  <c r="AY150" i="19"/>
  <c r="AY140" i="19"/>
  <c r="BA140" i="19"/>
  <c r="AY141" i="19"/>
  <c r="BA141" i="19"/>
  <c r="AY142" i="19"/>
  <c r="BA142" i="19"/>
  <c r="AY143" i="19"/>
  <c r="BA143" i="19"/>
  <c r="AY144" i="19"/>
  <c r="BA144" i="19"/>
  <c r="AY139" i="19"/>
  <c r="BA139" i="19"/>
  <c r="AY137" i="19"/>
  <c r="BA137" i="19"/>
  <c r="AY117" i="19"/>
  <c r="AZ117" i="19"/>
  <c r="BA117" i="19"/>
  <c r="AY119" i="19"/>
  <c r="AZ119" i="19"/>
  <c r="AY120" i="19"/>
  <c r="AZ120" i="19"/>
  <c r="BA120" i="19"/>
  <c r="AY121" i="19"/>
  <c r="AZ121" i="19"/>
  <c r="AY122" i="19"/>
  <c r="AZ122" i="19"/>
  <c r="AY123" i="19"/>
  <c r="AU487" i="15"/>
  <c r="AY116" i="19"/>
  <c r="AZ116" i="19"/>
  <c r="BA116" i="19"/>
  <c r="AY113" i="19"/>
  <c r="AY114" i="19"/>
  <c r="AZ114" i="19"/>
  <c r="AZ136" i="19"/>
  <c r="AY112" i="19"/>
  <c r="AY105" i="19"/>
  <c r="AY101" i="19"/>
  <c r="AY102" i="19"/>
  <c r="AY103" i="19"/>
  <c r="AY100" i="19"/>
  <c r="AY95" i="19"/>
  <c r="AY94" i="19"/>
  <c r="AY88" i="19"/>
  <c r="AY89" i="19"/>
  <c r="AY90" i="19"/>
  <c r="AY91" i="19"/>
  <c r="AY87" i="19"/>
  <c r="AY74" i="19"/>
  <c r="AY75" i="19"/>
  <c r="AY76" i="19"/>
  <c r="AY77" i="19"/>
  <c r="AY73" i="19"/>
  <c r="AY55" i="19"/>
  <c r="AY56" i="19"/>
  <c r="AY57" i="19"/>
  <c r="AY54" i="19"/>
  <c r="AY60" i="19" s="1"/>
  <c r="AY28" i="19"/>
  <c r="AY26" i="19"/>
  <c r="AY25" i="19"/>
  <c r="AY17" i="19"/>
  <c r="AY18" i="19"/>
  <c r="AY19" i="19"/>
  <c r="AY20" i="19"/>
  <c r="AY21" i="19"/>
  <c r="AY22" i="19"/>
  <c r="AY16" i="19"/>
  <c r="AY13" i="19"/>
  <c r="AY11" i="19"/>
  <c r="AY12" i="19"/>
  <c r="AY10" i="19"/>
  <c r="AY63" i="19"/>
  <c r="AY50" i="19"/>
  <c r="AY30" i="19"/>
  <c r="AW28" i="19"/>
  <c r="AU28" i="19"/>
  <c r="AS28" i="19"/>
  <c r="AQ28" i="19"/>
  <c r="BS161" i="19"/>
  <c r="BS136" i="19"/>
  <c r="BS135" i="19"/>
  <c r="BS134" i="19"/>
  <c r="BS118" i="19"/>
  <c r="BU486" i="15"/>
  <c r="BS111" i="19"/>
  <c r="BU485" i="15"/>
  <c r="BS63" i="19"/>
  <c r="BS50" i="19"/>
  <c r="BS30" i="19"/>
  <c r="BU500" i="15"/>
  <c r="BU511" i="15" s="1"/>
  <c r="BU499" i="15"/>
  <c r="BU498" i="15"/>
  <c r="BU248" i="15"/>
  <c r="AU248" i="15"/>
  <c r="BU247" i="15"/>
  <c r="BU255" i="15"/>
  <c r="BU229" i="15"/>
  <c r="AU229" i="15"/>
  <c r="BU145" i="15"/>
  <c r="AU145" i="15"/>
  <c r="AU410" i="15"/>
  <c r="BU149" i="15"/>
  <c r="BU148" i="15"/>
  <c r="BU146" i="15"/>
  <c r="BU140" i="15"/>
  <c r="AU140" i="15"/>
  <c r="BT104" i="15"/>
  <c r="BU104" i="15"/>
  <c r="BU30" i="15"/>
  <c r="BU29" i="15"/>
  <c r="BT30" i="15"/>
  <c r="BT29" i="15"/>
  <c r="BT100" i="15"/>
  <c r="BU21" i="15"/>
  <c r="BU84" i="15"/>
  <c r="BT21" i="15"/>
  <c r="BU538" i="15"/>
  <c r="BU528" i="15"/>
  <c r="BU524" i="15"/>
  <c r="BU523" i="15"/>
  <c r="BU522" i="15"/>
  <c r="BU521" i="15"/>
  <c r="BU518" i="15"/>
  <c r="BU514" i="15"/>
  <c r="BU507" i="15"/>
  <c r="BU496" i="15"/>
  <c r="BU484" i="15"/>
  <c r="BU479" i="15"/>
  <c r="BU455" i="15"/>
  <c r="BU385" i="15"/>
  <c r="BU321" i="15"/>
  <c r="BU313" i="15"/>
  <c r="BU299" i="15"/>
  <c r="BU279" i="15"/>
  <c r="BU278" i="15"/>
  <c r="BU252" i="15"/>
  <c r="BU464" i="15"/>
  <c r="BU240" i="15"/>
  <c r="BU238" i="15"/>
  <c r="BU237" i="15"/>
  <c r="BU236" i="15"/>
  <c r="BU233" i="15"/>
  <c r="BU226" i="15"/>
  <c r="BU219" i="15"/>
  <c r="BU212" i="15"/>
  <c r="BU207" i="15"/>
  <c r="BU461" i="15"/>
  <c r="BU206" i="15"/>
  <c r="BU460" i="15"/>
  <c r="BU201" i="15"/>
  <c r="BU200" i="15"/>
  <c r="BU190" i="15"/>
  <c r="BU184" i="15"/>
  <c r="BU158" i="15"/>
  <c r="BU133" i="15"/>
  <c r="BU130" i="15"/>
  <c r="BU128" i="15"/>
  <c r="BU120" i="15"/>
  <c r="BU118" i="15"/>
  <c r="BU114" i="15"/>
  <c r="BU102" i="15"/>
  <c r="BU95" i="15"/>
  <c r="BU82" i="15"/>
  <c r="BU80" i="15"/>
  <c r="BU79" i="15"/>
  <c r="BU78" i="15"/>
  <c r="BU77" i="15"/>
  <c r="BU76" i="15"/>
  <c r="BU68" i="15"/>
  <c r="BU62" i="15"/>
  <c r="BU58" i="15"/>
  <c r="BU55" i="15"/>
  <c r="BU52" i="15"/>
  <c r="BU51" i="15"/>
  <c r="BU44" i="15"/>
  <c r="BU34" i="15"/>
  <c r="BU520" i="15"/>
  <c r="BU28" i="15"/>
  <c r="BU12" i="15"/>
  <c r="BU9" i="15"/>
  <c r="BU493" i="15"/>
  <c r="C613" i="17"/>
  <c r="C614" i="17"/>
  <c r="D645" i="17"/>
  <c r="C607" i="17"/>
  <c r="C602" i="17"/>
  <c r="AT487" i="15"/>
  <c r="AX125" i="19"/>
  <c r="AX124" i="19"/>
  <c r="AX161" i="19"/>
  <c r="AX136" i="19"/>
  <c r="AX135" i="19"/>
  <c r="AX134" i="19"/>
  <c r="AX118" i="19"/>
  <c r="AX111" i="19"/>
  <c r="AX63" i="19"/>
  <c r="AX50" i="19"/>
  <c r="AX30" i="19"/>
  <c r="AT501" i="15"/>
  <c r="AT500" i="15"/>
  <c r="AU500" i="15"/>
  <c r="AT499" i="15"/>
  <c r="AT498" i="15"/>
  <c r="AT497" i="15"/>
  <c r="AT247" i="15"/>
  <c r="AT229" i="15"/>
  <c r="AT233" i="15"/>
  <c r="AT149" i="15"/>
  <c r="AT148" i="15"/>
  <c r="AT349" i="15"/>
  <c r="AT146" i="15"/>
  <c r="AT104" i="15"/>
  <c r="AT21" i="15"/>
  <c r="AT548" i="15"/>
  <c r="AT542" i="15"/>
  <c r="AT538" i="15"/>
  <c r="AT528" i="15"/>
  <c r="AT524" i="15"/>
  <c r="AT523" i="15"/>
  <c r="AT522" i="15"/>
  <c r="AT521" i="15"/>
  <c r="AT518" i="15"/>
  <c r="AT514" i="15"/>
  <c r="AT507" i="15"/>
  <c r="AT496" i="15"/>
  <c r="AT484" i="15"/>
  <c r="AT479" i="15"/>
  <c r="AT455" i="15"/>
  <c r="AT420" i="15"/>
  <c r="AT385" i="15"/>
  <c r="AT410" i="15"/>
  <c r="AT355" i="15"/>
  <c r="AT348" i="15"/>
  <c r="AT346" i="15"/>
  <c r="AT344" i="15"/>
  <c r="AT343" i="15"/>
  <c r="AT342" i="15"/>
  <c r="AT341" i="15"/>
  <c r="AT338" i="15"/>
  <c r="AT337" i="15"/>
  <c r="AT326" i="15"/>
  <c r="AT324" i="15"/>
  <c r="AT321" i="15"/>
  <c r="AT313" i="15"/>
  <c r="AT299" i="15"/>
  <c r="AT279" i="15"/>
  <c r="AT278" i="15"/>
  <c r="AT252" i="15"/>
  <c r="AT240" i="15"/>
  <c r="AT238" i="15"/>
  <c r="AT237" i="15"/>
  <c r="AT236" i="15"/>
  <c r="AT226" i="15"/>
  <c r="AT219" i="15"/>
  <c r="AT212" i="15"/>
  <c r="AT200" i="15"/>
  <c r="AT190" i="15"/>
  <c r="AT184" i="15"/>
  <c r="AT158" i="15"/>
  <c r="AT133" i="15"/>
  <c r="AT131" i="15"/>
  <c r="AT130" i="15"/>
  <c r="AT128" i="15"/>
  <c r="AT120" i="15"/>
  <c r="AT118" i="15"/>
  <c r="AT114" i="15"/>
  <c r="AT102" i="15"/>
  <c r="AT100" i="15"/>
  <c r="AT99" i="15"/>
  <c r="AT94" i="15"/>
  <c r="AT93" i="15"/>
  <c r="AT80" i="15"/>
  <c r="AT79" i="15"/>
  <c r="AT78" i="15"/>
  <c r="AT77" i="15"/>
  <c r="AT76" i="15"/>
  <c r="AT68" i="15"/>
  <c r="AU68" i="15" s="1"/>
  <c r="AT62" i="15"/>
  <c r="AT58" i="15"/>
  <c r="AT56" i="15"/>
  <c r="AT55" i="15"/>
  <c r="AT53" i="15"/>
  <c r="AT52" i="15"/>
  <c r="AU52" i="15"/>
  <c r="AT51" i="15"/>
  <c r="AT44" i="15"/>
  <c r="AT34" i="15"/>
  <c r="AT31" i="15"/>
  <c r="AT519" i="15"/>
  <c r="AT28" i="15"/>
  <c r="AT12" i="15"/>
  <c r="AT18" i="15"/>
  <c r="AT81" i="15"/>
  <c r="AT9" i="15"/>
  <c r="AT493" i="15"/>
  <c r="BO236" i="15"/>
  <c r="BP236" i="15"/>
  <c r="BQ236" i="15"/>
  <c r="BR236" i="15"/>
  <c r="BS236" i="15"/>
  <c r="BT236" i="15"/>
  <c r="BO237" i="15"/>
  <c r="BP237" i="15"/>
  <c r="BQ237" i="15"/>
  <c r="BR237" i="15"/>
  <c r="BS237" i="15"/>
  <c r="BT237" i="15"/>
  <c r="BO238" i="15"/>
  <c r="BP238" i="15"/>
  <c r="BQ238" i="15"/>
  <c r="BR238" i="15"/>
  <c r="BS238" i="15"/>
  <c r="BT238" i="15"/>
  <c r="BN238" i="15"/>
  <c r="BN237" i="15"/>
  <c r="BN236" i="15"/>
  <c r="BL238" i="15"/>
  <c r="BL237" i="15"/>
  <c r="BL236" i="15"/>
  <c r="V236" i="15"/>
  <c r="Z236" i="15"/>
  <c r="AD236" i="15"/>
  <c r="AH236" i="15"/>
  <c r="AL236" i="15"/>
  <c r="AP236" i="15"/>
  <c r="V237" i="15"/>
  <c r="Z237" i="15"/>
  <c r="AD237" i="15"/>
  <c r="AH237" i="15"/>
  <c r="AL237" i="15"/>
  <c r="AP237" i="15"/>
  <c r="V238" i="15"/>
  <c r="Z238" i="15"/>
  <c r="AD238" i="15"/>
  <c r="AH238" i="15"/>
  <c r="AL238" i="15"/>
  <c r="AP238" i="15"/>
  <c r="R238" i="15"/>
  <c r="R237" i="15"/>
  <c r="R236" i="15"/>
  <c r="D236" i="15"/>
  <c r="E236" i="15"/>
  <c r="F236" i="15"/>
  <c r="G236" i="15"/>
  <c r="H236" i="15"/>
  <c r="I236" i="15"/>
  <c r="J236" i="15"/>
  <c r="K236" i="15"/>
  <c r="L236" i="15"/>
  <c r="D237" i="15"/>
  <c r="E237" i="15"/>
  <c r="F237" i="15"/>
  <c r="G237" i="15"/>
  <c r="H237" i="15"/>
  <c r="I237" i="15"/>
  <c r="J237" i="15"/>
  <c r="K237" i="15"/>
  <c r="L237" i="15"/>
  <c r="D238" i="15"/>
  <c r="E238" i="15"/>
  <c r="F238" i="15"/>
  <c r="G238" i="15"/>
  <c r="H238" i="15"/>
  <c r="I238" i="15"/>
  <c r="J238" i="15"/>
  <c r="K238" i="15"/>
  <c r="L238" i="15"/>
  <c r="C237" i="15"/>
  <c r="C238" i="15"/>
  <c r="C236" i="15"/>
  <c r="D648" i="17"/>
  <c r="D655" i="17"/>
  <c r="D699" i="17"/>
  <c r="C661" i="17"/>
  <c r="C656" i="17"/>
  <c r="AW105" i="19"/>
  <c r="AW101" i="19"/>
  <c r="AW102" i="19"/>
  <c r="AW103" i="19"/>
  <c r="AW100" i="19"/>
  <c r="AW95" i="19"/>
  <c r="AW94" i="19"/>
  <c r="AW88" i="19"/>
  <c r="AW89" i="19"/>
  <c r="AW90" i="19"/>
  <c r="AW91" i="19"/>
  <c r="AW87" i="19"/>
  <c r="AW74" i="19"/>
  <c r="AW75" i="19"/>
  <c r="AW76" i="19"/>
  <c r="AW77" i="19"/>
  <c r="AW73" i="19"/>
  <c r="AW55" i="19"/>
  <c r="AW56" i="19"/>
  <c r="AW57" i="19"/>
  <c r="AW54" i="19"/>
  <c r="AW60" i="19"/>
  <c r="AW26" i="19"/>
  <c r="AW25" i="19"/>
  <c r="AW17" i="19"/>
  <c r="AW18" i="19"/>
  <c r="AW19" i="19"/>
  <c r="AW20" i="19"/>
  <c r="AW21" i="19"/>
  <c r="AW22" i="19"/>
  <c r="AW16" i="19"/>
  <c r="AW11" i="19"/>
  <c r="AW12" i="19"/>
  <c r="AW13" i="19"/>
  <c r="AW10" i="19"/>
  <c r="AW63" i="19"/>
  <c r="AW50" i="19"/>
  <c r="AW30" i="19"/>
  <c r="N161" i="19"/>
  <c r="N136" i="19"/>
  <c r="N135" i="19"/>
  <c r="N134" i="19"/>
  <c r="AS478" i="15"/>
  <c r="AS477" i="15"/>
  <c r="AS296" i="15"/>
  <c r="AS289" i="15"/>
  <c r="C676" i="17"/>
  <c r="AS276" i="15"/>
  <c r="AS273" i="15"/>
  <c r="C667" i="17"/>
  <c r="AS274" i="15"/>
  <c r="C668" i="17"/>
  <c r="AS272" i="15"/>
  <c r="AS268" i="15"/>
  <c r="AS249" i="15"/>
  <c r="AS242" i="15"/>
  <c r="AS243" i="15"/>
  <c r="AS244" i="15"/>
  <c r="AS241" i="15"/>
  <c r="AS230" i="15"/>
  <c r="AS231" i="15"/>
  <c r="AS232" i="15"/>
  <c r="AS228" i="15"/>
  <c r="AS166" i="15"/>
  <c r="AS154" i="15"/>
  <c r="AS538" i="15"/>
  <c r="AS528" i="15"/>
  <c r="AS518" i="15"/>
  <c r="AS507" i="15"/>
  <c r="AS496" i="15"/>
  <c r="AS484" i="15"/>
  <c r="AS455" i="15"/>
  <c r="AS385" i="15"/>
  <c r="AS326" i="15"/>
  <c r="AS321" i="15"/>
  <c r="AS313" i="15"/>
  <c r="AS299" i="15"/>
  <c r="AS240" i="15"/>
  <c r="AS226" i="15"/>
  <c r="AS219" i="15"/>
  <c r="AS212" i="15"/>
  <c r="AS200" i="15"/>
  <c r="AS158" i="15"/>
  <c r="AS133" i="15"/>
  <c r="AS128" i="15"/>
  <c r="AS118" i="15"/>
  <c r="AS102" i="15"/>
  <c r="AS51" i="15"/>
  <c r="AS28" i="15"/>
  <c r="C730" i="17"/>
  <c r="C724" i="17"/>
  <c r="C722" i="17"/>
  <c r="C721" i="17"/>
  <c r="C720" i="17"/>
  <c r="D702" i="17"/>
  <c r="C747" i="17"/>
  <c r="D753" i="17"/>
  <c r="C715" i="17"/>
  <c r="C710" i="17"/>
  <c r="AV160" i="19"/>
  <c r="AV161" i="19"/>
  <c r="AV84" i="19"/>
  <c r="AV83" i="19"/>
  <c r="AV82" i="19"/>
  <c r="AV81" i="19"/>
  <c r="AV80" i="19"/>
  <c r="AQ50" i="19"/>
  <c r="AV63" i="19"/>
  <c r="AV50" i="19"/>
  <c r="AV30" i="19"/>
  <c r="AR229" i="15"/>
  <c r="AR538" i="15"/>
  <c r="AR528" i="15"/>
  <c r="AR518" i="15"/>
  <c r="AR507" i="15"/>
  <c r="AR496" i="15"/>
  <c r="AR484" i="15"/>
  <c r="AR479" i="15"/>
  <c r="AR455" i="15"/>
  <c r="AR420" i="15"/>
  <c r="AR387" i="15"/>
  <c r="AR385" i="15"/>
  <c r="AR355" i="15"/>
  <c r="AR326" i="15"/>
  <c r="AR323" i="15"/>
  <c r="AR322" i="15"/>
  <c r="AR321" i="15"/>
  <c r="AR313" i="15"/>
  <c r="AR299" i="15"/>
  <c r="AR279" i="15"/>
  <c r="AR278" i="15"/>
  <c r="AR255" i="15"/>
  <c r="AR252" i="15"/>
  <c r="AR240" i="15"/>
  <c r="AR233" i="15"/>
  <c r="AR226" i="15"/>
  <c r="AR219" i="15"/>
  <c r="AR212" i="15"/>
  <c r="AR200" i="15"/>
  <c r="AR158" i="15"/>
  <c r="AR133" i="15"/>
  <c r="AR130" i="15"/>
  <c r="AR128" i="15"/>
  <c r="AR118" i="15"/>
  <c r="AR102" i="15"/>
  <c r="AR51" i="15"/>
  <c r="AR28" i="15"/>
  <c r="C764" i="17"/>
  <c r="D756" i="17"/>
  <c r="D761" i="17"/>
  <c r="D807" i="17"/>
  <c r="C769" i="17"/>
  <c r="C770" i="17" s="1"/>
  <c r="AQ168" i="15"/>
  <c r="AR168" i="15"/>
  <c r="BT489" i="15"/>
  <c r="BT512" i="15"/>
  <c r="AU160" i="19"/>
  <c r="AU159" i="19"/>
  <c r="AW159" i="19"/>
  <c r="AU158" i="19"/>
  <c r="AW158" i="19"/>
  <c r="AU157" i="19"/>
  <c r="AW157" i="19"/>
  <c r="AU156" i="19"/>
  <c r="AW156" i="19"/>
  <c r="AU155" i="19"/>
  <c r="AW155" i="19"/>
  <c r="AU153" i="19"/>
  <c r="AW153" i="19"/>
  <c r="AU152" i="19"/>
  <c r="AU151" i="19"/>
  <c r="AU150" i="19"/>
  <c r="AW150" i="19"/>
  <c r="AU144" i="19"/>
  <c r="AW144" i="19"/>
  <c r="AU143" i="19"/>
  <c r="AW143" i="19"/>
  <c r="AU142" i="19"/>
  <c r="AW142" i="19"/>
  <c r="AU141" i="19"/>
  <c r="AW141" i="19"/>
  <c r="AU140" i="19"/>
  <c r="AW140" i="19"/>
  <c r="AU139" i="19"/>
  <c r="AW139" i="19"/>
  <c r="AU137" i="19"/>
  <c r="AW137" i="19"/>
  <c r="BR124" i="19"/>
  <c r="BT488" i="15"/>
  <c r="BR123" i="19"/>
  <c r="AU122" i="19"/>
  <c r="AV122" i="19"/>
  <c r="AW122" i="19"/>
  <c r="AU121" i="19"/>
  <c r="AU120" i="19"/>
  <c r="AU119" i="19"/>
  <c r="AV119" i="19"/>
  <c r="AW119" i="19"/>
  <c r="AU117" i="19"/>
  <c r="AV117" i="19"/>
  <c r="AW117" i="19"/>
  <c r="AU116" i="19"/>
  <c r="AU114" i="19"/>
  <c r="AV114" i="19"/>
  <c r="AU113" i="19"/>
  <c r="AV113" i="19"/>
  <c r="AU112" i="19"/>
  <c r="AU105" i="19"/>
  <c r="AU103" i="19"/>
  <c r="AU102" i="19"/>
  <c r="AU101" i="19"/>
  <c r="AU100" i="19"/>
  <c r="AU95" i="19"/>
  <c r="AU94" i="19"/>
  <c r="AU91" i="19"/>
  <c r="AU90" i="19"/>
  <c r="AU89" i="19"/>
  <c r="AU88" i="19"/>
  <c r="AU87" i="19"/>
  <c r="AU84" i="19"/>
  <c r="AU83" i="19"/>
  <c r="AU82" i="19"/>
  <c r="AU81" i="19"/>
  <c r="AU80" i="19"/>
  <c r="AU77" i="19"/>
  <c r="AU76" i="19"/>
  <c r="AU75" i="19"/>
  <c r="AU74" i="19"/>
  <c r="AU73" i="19"/>
  <c r="AU57" i="19"/>
  <c r="AU56" i="19"/>
  <c r="AU55" i="19"/>
  <c r="AU54" i="19"/>
  <c r="AU50" i="19"/>
  <c r="AU26" i="19"/>
  <c r="AU25" i="19"/>
  <c r="AU22" i="19"/>
  <c r="AU21" i="19"/>
  <c r="AU20" i="19"/>
  <c r="AU19" i="19"/>
  <c r="AU18" i="19"/>
  <c r="AU17" i="19"/>
  <c r="AU16" i="19"/>
  <c r="AU13" i="19"/>
  <c r="AU12" i="19"/>
  <c r="AU11" i="19"/>
  <c r="AU10" i="19"/>
  <c r="BR161" i="19"/>
  <c r="BR136" i="19"/>
  <c r="BR135" i="19"/>
  <c r="BR134" i="19"/>
  <c r="BR118" i="19"/>
  <c r="BT486" i="15"/>
  <c r="BT509" i="15"/>
  <c r="BR111" i="19"/>
  <c r="BT485" i="15"/>
  <c r="BR63" i="19"/>
  <c r="BR50" i="19"/>
  <c r="BR30" i="19"/>
  <c r="AU63" i="19"/>
  <c r="AU30" i="19"/>
  <c r="BT500" i="15"/>
  <c r="BT511" i="15" s="1"/>
  <c r="AQ500" i="15"/>
  <c r="AR500" i="15"/>
  <c r="BT499" i="15"/>
  <c r="BT248" i="15"/>
  <c r="AQ248" i="15"/>
  <c r="BT247" i="15"/>
  <c r="BT229" i="15"/>
  <c r="AQ229" i="15"/>
  <c r="BT148" i="15"/>
  <c r="BT146" i="15"/>
  <c r="BT140" i="15"/>
  <c r="AQ140" i="15"/>
  <c r="BT139" i="15"/>
  <c r="BT88" i="15"/>
  <c r="AQ503" i="15"/>
  <c r="AR503" i="15"/>
  <c r="AQ478" i="15"/>
  <c r="AQ477" i="15"/>
  <c r="AQ296" i="15"/>
  <c r="AQ290" i="15"/>
  <c r="C778" i="17"/>
  <c r="AQ289" i="15"/>
  <c r="C784" i="17"/>
  <c r="AQ276" i="15"/>
  <c r="AQ274" i="15"/>
  <c r="AQ273" i="15"/>
  <c r="C775" i="17"/>
  <c r="AQ272" i="15"/>
  <c r="AQ268" i="15"/>
  <c r="AQ267" i="15"/>
  <c r="AQ249" i="15"/>
  <c r="AQ244" i="15"/>
  <c r="AQ243" i="15"/>
  <c r="AQ242" i="15"/>
  <c r="AQ241" i="15"/>
  <c r="AQ232" i="15"/>
  <c r="AQ231" i="15"/>
  <c r="AQ230" i="15"/>
  <c r="AQ228" i="15"/>
  <c r="AQ195" i="15"/>
  <c r="AR195" i="15"/>
  <c r="AS195" i="15"/>
  <c r="AQ189" i="15"/>
  <c r="AR189" i="15"/>
  <c r="AQ188" i="15"/>
  <c r="AQ187" i="15"/>
  <c r="AR187" i="15"/>
  <c r="AQ186" i="15"/>
  <c r="AQ183" i="15"/>
  <c r="AR183" i="15"/>
  <c r="AS183" i="15"/>
  <c r="AQ182" i="15"/>
  <c r="AR182" i="15"/>
  <c r="AS182" i="15"/>
  <c r="AQ181" i="15"/>
  <c r="AS181" i="15"/>
  <c r="AQ180" i="15"/>
  <c r="AQ179" i="15"/>
  <c r="AQ176" i="15"/>
  <c r="AR176" i="15"/>
  <c r="AS176" i="15"/>
  <c r="AQ175" i="15"/>
  <c r="AR175" i="15"/>
  <c r="AS175" i="15"/>
  <c r="AQ174" i="15"/>
  <c r="AR174" i="15"/>
  <c r="AS174" i="15"/>
  <c r="AQ173" i="15"/>
  <c r="AR173" i="15"/>
  <c r="AS173" i="15"/>
  <c r="AQ172" i="15"/>
  <c r="AR172" i="15"/>
  <c r="AS172" i="15"/>
  <c r="AQ171" i="15"/>
  <c r="AR171" i="15"/>
  <c r="AQ169" i="15"/>
  <c r="AS169" i="15"/>
  <c r="AQ167" i="15"/>
  <c r="AR167" i="15"/>
  <c r="AS167" i="15"/>
  <c r="AQ165" i="15"/>
  <c r="AR165" i="15"/>
  <c r="AS165" i="15"/>
  <c r="AQ164" i="15"/>
  <c r="AR164" i="15"/>
  <c r="AS164" i="15"/>
  <c r="AQ163" i="15"/>
  <c r="AR163" i="15"/>
  <c r="AS163" i="15"/>
  <c r="AQ162" i="15"/>
  <c r="AR162" i="15"/>
  <c r="AS162" i="15"/>
  <c r="AQ161" i="15"/>
  <c r="AR161" i="15"/>
  <c r="AS161" i="15"/>
  <c r="AQ154" i="15"/>
  <c r="AQ147" i="15"/>
  <c r="AQ145" i="15"/>
  <c r="AQ143" i="15"/>
  <c r="AQ142" i="15"/>
  <c r="AQ141" i="15"/>
  <c r="AQ137" i="15"/>
  <c r="AQ136" i="15"/>
  <c r="AQ129" i="15"/>
  <c r="AQ112" i="15"/>
  <c r="AQ70" i="15"/>
  <c r="AS70" i="15"/>
  <c r="AQ65" i="15"/>
  <c r="AS65" i="15"/>
  <c r="AQ64" i="15"/>
  <c r="AS64" i="15"/>
  <c r="AQ63" i="15"/>
  <c r="AS63" i="15"/>
  <c r="AQ48" i="15"/>
  <c r="AR48" i="15"/>
  <c r="AQ46" i="15"/>
  <c r="AR46" i="15"/>
  <c r="AS46" i="15"/>
  <c r="AQ43" i="15"/>
  <c r="AR43" i="15"/>
  <c r="AS43" i="15"/>
  <c r="AQ42" i="15"/>
  <c r="AQ41" i="15"/>
  <c r="AR41" i="15"/>
  <c r="AS41" i="15"/>
  <c r="AQ40" i="15"/>
  <c r="AR40" i="15"/>
  <c r="AS40" i="15"/>
  <c r="AQ38" i="15"/>
  <c r="AQ37" i="15"/>
  <c r="AQ36" i="15"/>
  <c r="AQ35" i="15"/>
  <c r="AQ33" i="15"/>
  <c r="AQ32" i="15"/>
  <c r="AQ23" i="15"/>
  <c r="AR23" i="15"/>
  <c r="AS23" i="15"/>
  <c r="AQ20" i="15"/>
  <c r="AQ19" i="15"/>
  <c r="AQ17" i="15"/>
  <c r="AR17" i="15"/>
  <c r="AS17" i="15"/>
  <c r="AQ16" i="15"/>
  <c r="AQ15" i="15"/>
  <c r="AR15" i="15"/>
  <c r="AS15" i="15"/>
  <c r="AQ14" i="15"/>
  <c r="AR14" i="15"/>
  <c r="AQ11" i="15"/>
  <c r="AQ8" i="15"/>
  <c r="AQ538" i="15"/>
  <c r="AQ528" i="15"/>
  <c r="AQ518" i="15"/>
  <c r="AQ507" i="15"/>
  <c r="AQ496" i="15"/>
  <c r="AQ484" i="15"/>
  <c r="AQ455" i="15"/>
  <c r="AQ385" i="15"/>
  <c r="AQ326" i="15"/>
  <c r="AQ321" i="15"/>
  <c r="AQ313" i="15"/>
  <c r="AQ299" i="15"/>
  <c r="AQ240" i="15"/>
  <c r="AQ226" i="15"/>
  <c r="AQ219" i="15"/>
  <c r="AQ212" i="15"/>
  <c r="AQ200" i="15"/>
  <c r="AQ158" i="15"/>
  <c r="AQ133" i="15"/>
  <c r="AQ128" i="15"/>
  <c r="AQ118" i="15"/>
  <c r="AQ102" i="15"/>
  <c r="AQ51" i="15"/>
  <c r="AQ28" i="15"/>
  <c r="BT538" i="15"/>
  <c r="BT528" i="15"/>
  <c r="BT524" i="15"/>
  <c r="BT523" i="15"/>
  <c r="BT522" i="15"/>
  <c r="BT521" i="15"/>
  <c r="BT518" i="15"/>
  <c r="BT514" i="15"/>
  <c r="BT507" i="15"/>
  <c r="BT496" i="15"/>
  <c r="BT484" i="15"/>
  <c r="BT479" i="15"/>
  <c r="BT455" i="15"/>
  <c r="BT385" i="15"/>
  <c r="BT321" i="15"/>
  <c r="BT313" i="15"/>
  <c r="BT299" i="15"/>
  <c r="BT279" i="15"/>
  <c r="BT278" i="15"/>
  <c r="BT252" i="15"/>
  <c r="BT240" i="15"/>
  <c r="BT233" i="15"/>
  <c r="BT226" i="15"/>
  <c r="BT219" i="15"/>
  <c r="BT212" i="15"/>
  <c r="BT207" i="15"/>
  <c r="BT461" i="15"/>
  <c r="BT206" i="15"/>
  <c r="BT460" i="15"/>
  <c r="BT201" i="15"/>
  <c r="BT200" i="15"/>
  <c r="BT190" i="15"/>
  <c r="BT184" i="15"/>
  <c r="BT158" i="15"/>
  <c r="BT133" i="15"/>
  <c r="BT130" i="15"/>
  <c r="BT128" i="15"/>
  <c r="BT120" i="15"/>
  <c r="BT118" i="15"/>
  <c r="BT114" i="15"/>
  <c r="BT102" i="15"/>
  <c r="BT95" i="15"/>
  <c r="BT82" i="15"/>
  <c r="BT80" i="15"/>
  <c r="BT79" i="15"/>
  <c r="BT78" i="15"/>
  <c r="BT77" i="15"/>
  <c r="BT76" i="15"/>
  <c r="BT68" i="15"/>
  <c r="BT62" i="15"/>
  <c r="BT66" i="15"/>
  <c r="BT58" i="15"/>
  <c r="BT55" i="15"/>
  <c r="BT52" i="15"/>
  <c r="BT51" i="15"/>
  <c r="BT44" i="15"/>
  <c r="BT34" i="15"/>
  <c r="BT520" i="15"/>
  <c r="BT28" i="15"/>
  <c r="BT12" i="15"/>
  <c r="BT9" i="15"/>
  <c r="BT493" i="15"/>
  <c r="AP381" i="15"/>
  <c r="C839" i="17"/>
  <c r="C833" i="17"/>
  <c r="C830" i="17"/>
  <c r="C831" i="17"/>
  <c r="C829" i="17"/>
  <c r="D811" i="17"/>
  <c r="C856" i="17"/>
  <c r="D862" i="17"/>
  <c r="C824" i="17"/>
  <c r="C819" i="17"/>
  <c r="AT125" i="19"/>
  <c r="AU125" i="19"/>
  <c r="AT124" i="19"/>
  <c r="AT123" i="19"/>
  <c r="AP487" i="15"/>
  <c r="AT161" i="19"/>
  <c r="AT136" i="19"/>
  <c r="AT135" i="19"/>
  <c r="AT134" i="19"/>
  <c r="AT118" i="19"/>
  <c r="AT111" i="19"/>
  <c r="AP485" i="15"/>
  <c r="AT63" i="19"/>
  <c r="AT50" i="19"/>
  <c r="AT30" i="19"/>
  <c r="AP501" i="15"/>
  <c r="AP499" i="15"/>
  <c r="AP510" i="15" s="1"/>
  <c r="AP498" i="15"/>
  <c r="AP497" i="15"/>
  <c r="AP248" i="15"/>
  <c r="AP247" i="15"/>
  <c r="AP241" i="15"/>
  <c r="AP95" i="15"/>
  <c r="AP229" i="15"/>
  <c r="AP148" i="15"/>
  <c r="AP139" i="15"/>
  <c r="AP130" i="15"/>
  <c r="AL130" i="15"/>
  <c r="AP104" i="15"/>
  <c r="AP21" i="15"/>
  <c r="AP84" i="15"/>
  <c r="AP548" i="15"/>
  <c r="AP542" i="15"/>
  <c r="AP538" i="15"/>
  <c r="AP528" i="15"/>
  <c r="AP524" i="15"/>
  <c r="AP523" i="15"/>
  <c r="AP522" i="15"/>
  <c r="AP521" i="15"/>
  <c r="AP518" i="15"/>
  <c r="AP514" i="15"/>
  <c r="AP507" i="15"/>
  <c r="AP496" i="15"/>
  <c r="AP484" i="15"/>
  <c r="AP479" i="15"/>
  <c r="AP455" i="15"/>
  <c r="AP420" i="15"/>
  <c r="BV420" i="15"/>
  <c r="AP385" i="15"/>
  <c r="AP355" i="15"/>
  <c r="AP348" i="15"/>
  <c r="AP346" i="15"/>
  <c r="AP344" i="15"/>
  <c r="AP343" i="15"/>
  <c r="AP342" i="15"/>
  <c r="AP341" i="15"/>
  <c r="AP338" i="15"/>
  <c r="AP337" i="15"/>
  <c r="AP326" i="15"/>
  <c r="AP324" i="15"/>
  <c r="AP321" i="15"/>
  <c r="AP313" i="15"/>
  <c r="AP299" i="15"/>
  <c r="AP279" i="15"/>
  <c r="AP278" i="15"/>
  <c r="AP252" i="15"/>
  <c r="C826" i="17"/>
  <c r="C849" i="17"/>
  <c r="C850" i="17"/>
  <c r="AP240" i="15"/>
  <c r="AP233" i="15"/>
  <c r="AP226" i="15"/>
  <c r="AP219" i="15"/>
  <c r="AP212" i="15"/>
  <c r="AP200" i="15"/>
  <c r="AP190" i="15"/>
  <c r="AP184" i="15"/>
  <c r="AP158" i="15"/>
  <c r="AP133" i="15"/>
  <c r="AP131" i="15"/>
  <c r="AP128" i="15"/>
  <c r="AP120" i="15"/>
  <c r="AP118" i="15"/>
  <c r="AP114" i="15"/>
  <c r="AP102" i="15"/>
  <c r="AP100" i="15"/>
  <c r="AP99" i="15"/>
  <c r="AP94" i="15"/>
  <c r="AP93" i="15"/>
  <c r="AP80" i="15"/>
  <c r="AP79" i="15"/>
  <c r="AP78" i="15"/>
  <c r="AP77" i="15"/>
  <c r="AP76" i="15"/>
  <c r="AP68" i="15"/>
  <c r="AP62" i="15"/>
  <c r="AP66" i="15"/>
  <c r="AP58" i="15"/>
  <c r="AP56" i="15"/>
  <c r="AP55" i="15"/>
  <c r="AP53" i="15"/>
  <c r="AP52" i="15"/>
  <c r="AP51" i="15"/>
  <c r="AP44" i="15"/>
  <c r="AP34" i="15"/>
  <c r="AP520" i="15"/>
  <c r="AP31" i="15"/>
  <c r="AP28" i="15"/>
  <c r="AP12" i="15"/>
  <c r="AP9" i="15"/>
  <c r="C884" i="17"/>
  <c r="D865" i="17"/>
  <c r="D869" i="17"/>
  <c r="L381" i="15"/>
  <c r="L412" i="15"/>
  <c r="L382" i="15"/>
  <c r="L420" i="15"/>
  <c r="D916" i="17"/>
  <c r="C878" i="17"/>
  <c r="C873" i="17"/>
  <c r="AS105" i="19"/>
  <c r="AS103" i="19"/>
  <c r="AS102" i="19"/>
  <c r="AS101" i="19"/>
  <c r="AS100" i="19"/>
  <c r="AS95" i="19"/>
  <c r="AS94" i="19"/>
  <c r="AS91" i="19"/>
  <c r="AS90" i="19"/>
  <c r="AS89" i="19"/>
  <c r="AS88" i="19"/>
  <c r="AS87" i="19"/>
  <c r="AS77" i="19"/>
  <c r="AS76" i="19"/>
  <c r="AS75" i="19"/>
  <c r="AS74" i="19"/>
  <c r="AS73" i="19"/>
  <c r="AS63" i="19"/>
  <c r="AS57" i="19"/>
  <c r="AS56" i="19"/>
  <c r="AS55" i="19"/>
  <c r="AS54" i="19"/>
  <c r="AS50" i="19"/>
  <c r="AS30" i="19"/>
  <c r="AS26" i="19"/>
  <c r="AS25" i="19"/>
  <c r="AS22" i="19"/>
  <c r="AS21" i="19"/>
  <c r="AS20" i="19"/>
  <c r="AS19" i="19"/>
  <c r="AS18" i="19"/>
  <c r="AS17" i="19"/>
  <c r="AS16" i="19"/>
  <c r="AS13" i="19"/>
  <c r="AS12" i="19"/>
  <c r="AS11" i="19"/>
  <c r="AS10" i="19"/>
  <c r="M161" i="19"/>
  <c r="M136" i="19"/>
  <c r="M135" i="19"/>
  <c r="M134" i="19"/>
  <c r="AO166" i="15"/>
  <c r="AO538" i="15"/>
  <c r="AO528" i="15"/>
  <c r="AO518" i="15"/>
  <c r="AO507" i="15"/>
  <c r="AO496" i="15"/>
  <c r="AO484" i="15"/>
  <c r="AO478" i="15"/>
  <c r="AO477" i="15"/>
  <c r="AO455" i="15"/>
  <c r="AO385" i="15"/>
  <c r="AO326" i="15"/>
  <c r="AO321" i="15"/>
  <c r="AO313" i="15"/>
  <c r="AO299" i="15"/>
  <c r="AO296" i="15"/>
  <c r="AO290" i="15"/>
  <c r="C887" i="17"/>
  <c r="AO289" i="15"/>
  <c r="C893" i="17"/>
  <c r="AO276" i="15"/>
  <c r="AO274" i="15"/>
  <c r="AO272" i="15"/>
  <c r="AO268" i="15"/>
  <c r="AO249" i="15"/>
  <c r="AO244" i="15"/>
  <c r="AO243" i="15"/>
  <c r="AO242" i="15"/>
  <c r="AO241" i="15"/>
  <c r="AO240" i="15"/>
  <c r="AO232" i="15"/>
  <c r="AO231" i="15"/>
  <c r="AO230" i="15"/>
  <c r="AO228" i="15"/>
  <c r="AO226" i="15"/>
  <c r="AO219" i="15"/>
  <c r="AO212" i="15"/>
  <c r="AO200" i="15"/>
  <c r="AO158" i="15"/>
  <c r="AO154" i="15"/>
  <c r="AO133" i="15"/>
  <c r="AO128" i="15"/>
  <c r="AO118" i="15"/>
  <c r="AO102" i="15"/>
  <c r="AO51" i="15"/>
  <c r="AO28" i="15"/>
  <c r="L141" i="15"/>
  <c r="L500" i="15"/>
  <c r="L499" i="15"/>
  <c r="M125" i="19"/>
  <c r="L489" i="15"/>
  <c r="L125" i="19"/>
  <c r="M124" i="19"/>
  <c r="L124" i="19"/>
  <c r="K488" i="15"/>
  <c r="M123" i="19"/>
  <c r="M118" i="19"/>
  <c r="L486" i="15"/>
  <c r="L509" i="15"/>
  <c r="M111" i="19"/>
  <c r="L485" i="15"/>
  <c r="L508" i="15"/>
  <c r="L248" i="15"/>
  <c r="L247" i="15"/>
  <c r="L229" i="15"/>
  <c r="AO229" i="15"/>
  <c r="L171" i="15"/>
  <c r="L149" i="15"/>
  <c r="L148" i="15"/>
  <c r="L349" i="15"/>
  <c r="L146" i="15"/>
  <c r="L145" i="15"/>
  <c r="L346" i="15"/>
  <c r="L139" i="15"/>
  <c r="L104" i="15"/>
  <c r="L76" i="15"/>
  <c r="L44" i="15"/>
  <c r="K44" i="15"/>
  <c r="L21" i="15"/>
  <c r="L84" i="15"/>
  <c r="L548" i="15"/>
  <c r="L92" i="15"/>
  <c r="L542" i="15"/>
  <c r="L538" i="15"/>
  <c r="L528" i="15"/>
  <c r="L524" i="15"/>
  <c r="L523" i="15"/>
  <c r="L522" i="15"/>
  <c r="L521" i="15"/>
  <c r="L518" i="15"/>
  <c r="L507" i="15"/>
  <c r="L496" i="15"/>
  <c r="L484" i="15"/>
  <c r="L479" i="15"/>
  <c r="L455" i="15"/>
  <c r="L385" i="15"/>
  <c r="L355" i="15"/>
  <c r="L348" i="15"/>
  <c r="L344" i="15"/>
  <c r="L343" i="15"/>
  <c r="L341" i="15"/>
  <c r="L338" i="15"/>
  <c r="L337" i="15"/>
  <c r="L326" i="15"/>
  <c r="L324" i="15"/>
  <c r="L321" i="15"/>
  <c r="L313" i="15"/>
  <c r="L299" i="15"/>
  <c r="L279" i="15"/>
  <c r="L278" i="15"/>
  <c r="L252" i="15"/>
  <c r="L240" i="15"/>
  <c r="L233" i="15"/>
  <c r="M135" i="15"/>
  <c r="M336" i="15"/>
  <c r="L226" i="15"/>
  <c r="L219" i="15"/>
  <c r="L212" i="15"/>
  <c r="L207" i="15"/>
  <c r="L461" i="15"/>
  <c r="L206" i="15"/>
  <c r="L460" i="15"/>
  <c r="L201" i="15"/>
  <c r="L200" i="15"/>
  <c r="L190" i="15"/>
  <c r="L184" i="15"/>
  <c r="L158" i="15"/>
  <c r="L133" i="15"/>
  <c r="L131" i="15"/>
  <c r="L130" i="15"/>
  <c r="L128" i="15"/>
  <c r="L120" i="15"/>
  <c r="L118" i="15"/>
  <c r="L114" i="15"/>
  <c r="L102" i="15"/>
  <c r="L100" i="15"/>
  <c r="L99" i="15"/>
  <c r="L95" i="15"/>
  <c r="L94" i="15"/>
  <c r="L93" i="15"/>
  <c r="L82" i="15"/>
  <c r="L80" i="15"/>
  <c r="L79" i="15"/>
  <c r="L78" i="15"/>
  <c r="L77" i="15"/>
  <c r="L68" i="15"/>
  <c r="L62" i="15"/>
  <c r="L66" i="15"/>
  <c r="L58" i="15"/>
  <c r="L56" i="15"/>
  <c r="L55" i="15"/>
  <c r="L53" i="15"/>
  <c r="L52" i="15"/>
  <c r="L51" i="15"/>
  <c r="L34" i="15"/>
  <c r="L31" i="15"/>
  <c r="L519" i="15"/>
  <c r="L28" i="15"/>
  <c r="L12" i="15"/>
  <c r="L18" i="15"/>
  <c r="L81" i="15"/>
  <c r="L9" i="15"/>
  <c r="L325" i="15"/>
  <c r="C934" i="17"/>
  <c r="AN248" i="15"/>
  <c r="D972" i="17"/>
  <c r="C949" i="17"/>
  <c r="C943" i="17"/>
  <c r="C941" i="17"/>
  <c r="C940" i="17"/>
  <c r="C939" i="17"/>
  <c r="D921" i="17"/>
  <c r="C970" i="17"/>
  <c r="AN161" i="19"/>
  <c r="AN63" i="19"/>
  <c r="AN50" i="19"/>
  <c r="AN30" i="19"/>
  <c r="AN247" i="15"/>
  <c r="AN229" i="15"/>
  <c r="AR161" i="19"/>
  <c r="AR63" i="19"/>
  <c r="AR50" i="19"/>
  <c r="AR30" i="19"/>
  <c r="AN538" i="15"/>
  <c r="AN528" i="15"/>
  <c r="AN518" i="15"/>
  <c r="AN507" i="15"/>
  <c r="AN496" i="15"/>
  <c r="AN484" i="15"/>
  <c r="AN479" i="15"/>
  <c r="AN455" i="15"/>
  <c r="AN420" i="15"/>
  <c r="BT420" i="15"/>
  <c r="AN387" i="15"/>
  <c r="AN385" i="15"/>
  <c r="AN355" i="15"/>
  <c r="AN326" i="15"/>
  <c r="AN323" i="15"/>
  <c r="AN322" i="15"/>
  <c r="AN321" i="15"/>
  <c r="AN313" i="15"/>
  <c r="AN299" i="15"/>
  <c r="AN279" i="15"/>
  <c r="AN278" i="15"/>
  <c r="AN252" i="15"/>
  <c r="AN240" i="15"/>
  <c r="AN233" i="15"/>
  <c r="AN226" i="15"/>
  <c r="AN219" i="15"/>
  <c r="AN212" i="15"/>
  <c r="AN200" i="15"/>
  <c r="AN158" i="15"/>
  <c r="AN133" i="15"/>
  <c r="AN130" i="15"/>
  <c r="AN128" i="15"/>
  <c r="AN118" i="15"/>
  <c r="AN102" i="15"/>
  <c r="AN51" i="15"/>
  <c r="AN28" i="15"/>
  <c r="AH160" i="19"/>
  <c r="AJ160" i="19"/>
  <c r="AH159" i="19"/>
  <c r="AJ159" i="19"/>
  <c r="AH158" i="19"/>
  <c r="AJ158" i="19"/>
  <c r="AH157" i="19"/>
  <c r="AJ157" i="19"/>
  <c r="AH156" i="19"/>
  <c r="AJ156" i="19"/>
  <c r="AH155" i="19"/>
  <c r="AJ155" i="19"/>
  <c r="AH153" i="19"/>
  <c r="AH152" i="19"/>
  <c r="AJ152" i="19"/>
  <c r="AH151" i="19"/>
  <c r="AJ151" i="19"/>
  <c r="AH150" i="19"/>
  <c r="AJ150" i="19"/>
  <c r="AH144" i="19"/>
  <c r="AJ144" i="19"/>
  <c r="AH143" i="19"/>
  <c r="AJ143" i="19"/>
  <c r="AH142" i="19"/>
  <c r="AJ142" i="19"/>
  <c r="AH141" i="19"/>
  <c r="AJ141" i="19"/>
  <c r="AH140" i="19"/>
  <c r="AJ140" i="19"/>
  <c r="AH139" i="19"/>
  <c r="AJ139" i="19"/>
  <c r="AH137" i="19"/>
  <c r="AJ137" i="19"/>
  <c r="BO161" i="19"/>
  <c r="AL160" i="19"/>
  <c r="AO160" i="19"/>
  <c r="AL159" i="19"/>
  <c r="AO159" i="19"/>
  <c r="AL158" i="19"/>
  <c r="AO158" i="19"/>
  <c r="AL157" i="19"/>
  <c r="AO157" i="19"/>
  <c r="AL156" i="19"/>
  <c r="AO156" i="19"/>
  <c r="AL155" i="19"/>
  <c r="AO155" i="19"/>
  <c r="AL153" i="19"/>
  <c r="AO153" i="19"/>
  <c r="AL152" i="19"/>
  <c r="AO152" i="19"/>
  <c r="AL151" i="19"/>
  <c r="AO151" i="19"/>
  <c r="AL150" i="19"/>
  <c r="AO150" i="19"/>
  <c r="AO161" i="19" s="1"/>
  <c r="AL144" i="19"/>
  <c r="AO144" i="19"/>
  <c r="AL143" i="19"/>
  <c r="AO143" i="19"/>
  <c r="AL142" i="19"/>
  <c r="AO142" i="19"/>
  <c r="AL141" i="19"/>
  <c r="AO141" i="19"/>
  <c r="AL140" i="19"/>
  <c r="AO140" i="19"/>
  <c r="AL139" i="19"/>
  <c r="AO139" i="19"/>
  <c r="AL137" i="19"/>
  <c r="AO137" i="19"/>
  <c r="AI161" i="19"/>
  <c r="AG161" i="19"/>
  <c r="AG136" i="19"/>
  <c r="AG135" i="19"/>
  <c r="AG134" i="19"/>
  <c r="AG145" i="19"/>
  <c r="AM161" i="19"/>
  <c r="K161" i="19"/>
  <c r="K134" i="19"/>
  <c r="K135" i="19"/>
  <c r="K136" i="19"/>
  <c r="L161" i="19"/>
  <c r="L136" i="19"/>
  <c r="L135" i="19"/>
  <c r="L134" i="19"/>
  <c r="L145" i="19"/>
  <c r="AK161" i="19"/>
  <c r="AP161" i="19"/>
  <c r="AQ160" i="19"/>
  <c r="AS160" i="19"/>
  <c r="AQ159" i="19"/>
  <c r="AS159" i="19"/>
  <c r="AQ158" i="19"/>
  <c r="AS158" i="19"/>
  <c r="AQ157" i="19"/>
  <c r="AQ156" i="19"/>
  <c r="AS156" i="19"/>
  <c r="AQ155" i="19"/>
  <c r="AQ153" i="19"/>
  <c r="AS153" i="19"/>
  <c r="AQ152" i="19"/>
  <c r="AQ151" i="19"/>
  <c r="AS151" i="19"/>
  <c r="AQ150" i="19"/>
  <c r="AQ144" i="19"/>
  <c r="AS144" i="19"/>
  <c r="AQ143" i="19"/>
  <c r="AS143" i="19"/>
  <c r="AQ142" i="19"/>
  <c r="AS142" i="19"/>
  <c r="AQ141" i="19"/>
  <c r="AS141" i="19"/>
  <c r="AQ140" i="19"/>
  <c r="AS140" i="19"/>
  <c r="AQ139" i="19"/>
  <c r="AS139" i="19"/>
  <c r="AQ137" i="19"/>
  <c r="AS137" i="19"/>
  <c r="BP161" i="19"/>
  <c r="AP136" i="19"/>
  <c r="AK136" i="19"/>
  <c r="AP135" i="19"/>
  <c r="AK135" i="19"/>
  <c r="AP134" i="19"/>
  <c r="AK134" i="19"/>
  <c r="AK145" i="19"/>
  <c r="BO136" i="19"/>
  <c r="BO135" i="19"/>
  <c r="BO134" i="19"/>
  <c r="AH134" i="19"/>
  <c r="BP136" i="19"/>
  <c r="AL136" i="19"/>
  <c r="BP135" i="19"/>
  <c r="BP134" i="19"/>
  <c r="BQ136" i="19"/>
  <c r="BQ135" i="19"/>
  <c r="AQ135" i="19" s="1"/>
  <c r="BQ134" i="19"/>
  <c r="BQ161" i="19"/>
  <c r="BQ30" i="19"/>
  <c r="BS514" i="15"/>
  <c r="AM503" i="15"/>
  <c r="AN503" i="15"/>
  <c r="BS501" i="15"/>
  <c r="AM501" i="15"/>
  <c r="AN501" i="15"/>
  <c r="BS500" i="15"/>
  <c r="BS499" i="15"/>
  <c r="BS498" i="15"/>
  <c r="BQ124" i="19"/>
  <c r="BS488" i="15"/>
  <c r="BS511" i="15"/>
  <c r="BQ123" i="19"/>
  <c r="BS487" i="15"/>
  <c r="BS510" i="15"/>
  <c r="D977" i="17"/>
  <c r="C1023" i="17"/>
  <c r="C985" i="17"/>
  <c r="AM129" i="15"/>
  <c r="AM169" i="15"/>
  <c r="AO169" i="15"/>
  <c r="AM267" i="15"/>
  <c r="BS149" i="15"/>
  <c r="D1028" i="17"/>
  <c r="C990" i="17"/>
  <c r="BS548" i="15"/>
  <c r="BS542" i="15"/>
  <c r="BS524" i="15"/>
  <c r="BS523" i="15"/>
  <c r="BS522" i="15"/>
  <c r="BS521" i="15"/>
  <c r="BS489" i="15"/>
  <c r="BS512" i="15"/>
  <c r="AQ63" i="19"/>
  <c r="AQ30" i="19"/>
  <c r="BQ118" i="19"/>
  <c r="BS486" i="15"/>
  <c r="BQ111" i="19"/>
  <c r="AQ125" i="19"/>
  <c r="AQ122" i="19"/>
  <c r="AQ121" i="19"/>
  <c r="AR121" i="19"/>
  <c r="AS121" i="19"/>
  <c r="AQ120" i="19"/>
  <c r="AQ119" i="19"/>
  <c r="AR119" i="19"/>
  <c r="AQ117" i="19"/>
  <c r="AR117" i="19"/>
  <c r="AS117" i="19"/>
  <c r="AQ116" i="19"/>
  <c r="AR116" i="19"/>
  <c r="AS116" i="19"/>
  <c r="AQ114" i="19"/>
  <c r="AQ113" i="19"/>
  <c r="AR113" i="19"/>
  <c r="AQ112" i="19"/>
  <c r="AR112" i="19"/>
  <c r="AS112" i="19"/>
  <c r="AQ105" i="19"/>
  <c r="AQ104" i="19"/>
  <c r="AQ103" i="19"/>
  <c r="AQ102" i="19"/>
  <c r="AQ101" i="19"/>
  <c r="AQ100" i="19"/>
  <c r="AQ95" i="19"/>
  <c r="AQ94" i="19"/>
  <c r="AQ91" i="19"/>
  <c r="AQ90" i="19"/>
  <c r="AQ89" i="19"/>
  <c r="AQ88" i="19"/>
  <c r="AQ87" i="19"/>
  <c r="AQ84" i="19"/>
  <c r="AQ83" i="19"/>
  <c r="AQ82" i="19"/>
  <c r="AQ81" i="19"/>
  <c r="AQ80" i="19"/>
  <c r="AQ77" i="19"/>
  <c r="AQ76" i="19"/>
  <c r="AQ75" i="19"/>
  <c r="AQ74" i="19"/>
  <c r="AQ73" i="19"/>
  <c r="AQ57" i="19"/>
  <c r="AQ56" i="19"/>
  <c r="AQ55" i="19"/>
  <c r="AQ54" i="19"/>
  <c r="AQ60" i="19" s="1"/>
  <c r="AQ26" i="19"/>
  <c r="AQ25" i="19"/>
  <c r="AQ22" i="19"/>
  <c r="AQ21" i="19"/>
  <c r="AQ20" i="19"/>
  <c r="AQ19" i="19"/>
  <c r="AQ18" i="19"/>
  <c r="AQ17" i="19"/>
  <c r="AQ16" i="19"/>
  <c r="AQ13" i="19"/>
  <c r="AQ12" i="19"/>
  <c r="AQ11" i="19"/>
  <c r="AQ10" i="19"/>
  <c r="BS479" i="15"/>
  <c r="AM478" i="15"/>
  <c r="AM477" i="15"/>
  <c r="AM326" i="15"/>
  <c r="AM296" i="15"/>
  <c r="AM290" i="15"/>
  <c r="C999" i="17"/>
  <c r="AM289" i="15"/>
  <c r="C1005" i="17"/>
  <c r="AM276" i="15"/>
  <c r="AM274" i="15"/>
  <c r="AM273" i="15"/>
  <c r="AM272" i="15"/>
  <c r="AM268" i="15"/>
  <c r="AM249" i="15"/>
  <c r="AM244" i="15"/>
  <c r="AM243" i="15"/>
  <c r="AM242" i="15"/>
  <c r="AM241" i="15"/>
  <c r="AM232" i="15"/>
  <c r="AM231" i="15"/>
  <c r="AM230" i="15"/>
  <c r="AM228" i="15"/>
  <c r="AM128" i="15"/>
  <c r="AM167" i="15"/>
  <c r="AN167" i="15"/>
  <c r="AO167" i="15"/>
  <c r="AM195" i="15"/>
  <c r="AN195" i="15"/>
  <c r="AO195" i="15"/>
  <c r="AM189" i="15"/>
  <c r="AN189" i="15"/>
  <c r="AO189" i="15"/>
  <c r="AM188" i="15"/>
  <c r="AN188" i="15"/>
  <c r="AO188" i="15"/>
  <c r="AM187" i="15"/>
  <c r="AM186" i="15"/>
  <c r="AM183" i="15"/>
  <c r="AM182" i="15"/>
  <c r="AN182" i="15"/>
  <c r="AO182" i="15"/>
  <c r="AM181" i="15"/>
  <c r="AN181" i="15"/>
  <c r="AO181" i="15"/>
  <c r="AM180" i="15"/>
  <c r="AM179" i="15"/>
  <c r="AN179" i="15"/>
  <c r="AM176" i="15"/>
  <c r="AN176" i="15"/>
  <c r="AO176" i="15"/>
  <c r="AM175" i="15"/>
  <c r="AN175" i="15"/>
  <c r="AO175" i="15"/>
  <c r="AM174" i="15"/>
  <c r="AN174" i="15"/>
  <c r="AO174" i="15"/>
  <c r="AM173" i="15"/>
  <c r="AN173" i="15"/>
  <c r="AO173" i="15"/>
  <c r="AM172" i="15"/>
  <c r="AN172" i="15"/>
  <c r="AO172" i="15"/>
  <c r="AM171" i="15"/>
  <c r="AN171" i="15"/>
  <c r="AM165" i="15"/>
  <c r="AN165" i="15"/>
  <c r="AO165" i="15"/>
  <c r="AM164" i="15"/>
  <c r="AN164" i="15"/>
  <c r="AO164" i="15"/>
  <c r="AM163" i="15"/>
  <c r="AN163" i="15"/>
  <c r="AO163" i="15"/>
  <c r="AM162" i="15"/>
  <c r="AN162" i="15"/>
  <c r="AO162" i="15"/>
  <c r="AM161" i="15"/>
  <c r="AM154" i="15"/>
  <c r="AM355" i="15"/>
  <c r="AM147" i="15"/>
  <c r="AM348" i="15"/>
  <c r="AM145" i="15"/>
  <c r="AN145" i="15"/>
  <c r="AM143" i="15"/>
  <c r="AM142" i="15"/>
  <c r="AM137" i="15"/>
  <c r="AM136" i="15"/>
  <c r="AM112" i="15"/>
  <c r="AM70" i="15"/>
  <c r="AO70" i="15"/>
  <c r="AM65" i="15"/>
  <c r="AO65" i="15"/>
  <c r="AM64" i="15"/>
  <c r="AO64" i="15"/>
  <c r="AM63" i="15"/>
  <c r="AO63" i="15"/>
  <c r="AM48" i="15"/>
  <c r="AN48" i="15"/>
  <c r="AM46" i="15"/>
  <c r="AN46" i="15"/>
  <c r="AO46" i="15"/>
  <c r="AM43" i="15"/>
  <c r="AN43" i="15"/>
  <c r="AO43" i="15"/>
  <c r="AM42" i="15"/>
  <c r="AM41" i="15"/>
  <c r="AM40" i="15"/>
  <c r="AM38" i="15"/>
  <c r="AM37" i="15"/>
  <c r="AM36" i="15"/>
  <c r="AM35" i="15"/>
  <c r="AM522" i="15"/>
  <c r="AM33" i="15"/>
  <c r="AM32" i="15"/>
  <c r="AM30" i="15"/>
  <c r="AN30" i="15"/>
  <c r="AO30" i="15"/>
  <c r="AM29" i="15"/>
  <c r="AM23" i="15"/>
  <c r="AN23" i="15"/>
  <c r="AO23" i="15"/>
  <c r="AM20" i="15"/>
  <c r="AN20" i="15"/>
  <c r="AO20" i="15"/>
  <c r="AM19" i="15"/>
  <c r="AM17" i="15"/>
  <c r="AM16" i="15"/>
  <c r="AM15" i="15"/>
  <c r="AN15" i="15"/>
  <c r="AO15" i="15"/>
  <c r="AM14" i="15"/>
  <c r="AN14" i="15"/>
  <c r="AO14" i="15"/>
  <c r="AM11" i="15"/>
  <c r="AM8" i="15"/>
  <c r="AM538" i="15"/>
  <c r="AM528" i="15"/>
  <c r="AM518" i="15"/>
  <c r="AM507" i="15"/>
  <c r="AM496" i="15"/>
  <c r="AM484" i="15"/>
  <c r="AM455" i="15"/>
  <c r="AM385" i="15"/>
  <c r="AM321" i="15"/>
  <c r="AM313" i="15"/>
  <c r="AM299" i="15"/>
  <c r="AM240" i="15"/>
  <c r="AM226" i="15"/>
  <c r="AM219" i="15"/>
  <c r="AM212" i="15"/>
  <c r="AM200" i="15"/>
  <c r="AM158" i="15"/>
  <c r="AM133" i="15"/>
  <c r="AM118" i="15"/>
  <c r="AM102" i="15"/>
  <c r="AM51" i="15"/>
  <c r="AM28" i="15"/>
  <c r="BS279" i="15"/>
  <c r="BS278" i="15"/>
  <c r="BS248" i="15"/>
  <c r="AM248" i="15"/>
  <c r="BS247" i="15"/>
  <c r="BS385" i="15"/>
  <c r="BS252" i="15"/>
  <c r="BS464" i="15"/>
  <c r="BS229" i="15"/>
  <c r="AM229" i="15"/>
  <c r="BS233" i="15"/>
  <c r="BS207" i="15"/>
  <c r="BS461" i="15"/>
  <c r="BS206" i="15"/>
  <c r="BS201" i="15"/>
  <c r="BS190" i="15"/>
  <c r="BS184" i="15"/>
  <c r="BS148" i="15"/>
  <c r="BS146" i="15"/>
  <c r="BS141" i="15"/>
  <c r="AM141" i="15"/>
  <c r="BS140" i="15"/>
  <c r="AM140" i="15"/>
  <c r="BS130" i="15"/>
  <c r="BS131" i="15"/>
  <c r="BS120" i="15"/>
  <c r="BS104" i="15"/>
  <c r="BS60" i="15"/>
  <c r="BS114" i="15"/>
  <c r="BS100" i="15"/>
  <c r="BS99" i="15"/>
  <c r="BS95" i="15"/>
  <c r="BS94" i="15"/>
  <c r="BS93" i="15"/>
  <c r="BS82" i="15"/>
  <c r="BS80" i="15"/>
  <c r="BS79" i="15"/>
  <c r="BS78" i="15"/>
  <c r="BS77" i="15"/>
  <c r="BS76" i="15"/>
  <c r="BS68" i="15"/>
  <c r="BS62" i="15"/>
  <c r="BS58" i="15"/>
  <c r="BS56" i="15"/>
  <c r="BS55" i="15"/>
  <c r="BS53" i="15"/>
  <c r="BS52" i="15"/>
  <c r="BS9" i="15"/>
  <c r="BS493" i="15"/>
  <c r="BS44" i="15"/>
  <c r="BS34" i="15"/>
  <c r="BS31" i="15"/>
  <c r="BS519" i="15"/>
  <c r="BS21" i="15"/>
  <c r="BS12" i="15"/>
  <c r="BQ63" i="19"/>
  <c r="BQ50" i="19"/>
  <c r="BS538" i="15"/>
  <c r="BS528" i="15"/>
  <c r="BS518" i="15"/>
  <c r="BS507" i="15"/>
  <c r="BS496" i="15"/>
  <c r="BS484" i="15"/>
  <c r="BS455" i="15"/>
  <c r="BS321" i="15"/>
  <c r="BS313" i="15"/>
  <c r="BS299" i="15"/>
  <c r="BS240" i="15"/>
  <c r="BS226" i="15"/>
  <c r="BS219" i="15"/>
  <c r="BS212" i="15"/>
  <c r="BS200" i="15"/>
  <c r="BS158" i="15"/>
  <c r="BS128" i="15"/>
  <c r="BS133" i="15"/>
  <c r="BS118" i="15"/>
  <c r="BS102" i="15"/>
  <c r="BS51" i="15"/>
  <c r="BS28" i="15"/>
  <c r="D1085" i="17"/>
  <c r="C1062" i="17"/>
  <c r="C1056" i="17"/>
  <c r="C1054" i="17"/>
  <c r="C1053" i="17"/>
  <c r="C1052" i="17"/>
  <c r="D1034" i="17"/>
  <c r="C1080" i="17"/>
  <c r="D1086" i="17"/>
  <c r="D1091" i="17"/>
  <c r="C1047" i="17"/>
  <c r="C1042" i="17"/>
  <c r="AL514" i="15"/>
  <c r="AL489" i="15"/>
  <c r="AL512" i="15"/>
  <c r="AP118" i="19"/>
  <c r="AL486" i="15"/>
  <c r="AP111" i="19"/>
  <c r="AP124" i="19"/>
  <c r="AL488" i="15"/>
  <c r="AP63" i="19"/>
  <c r="AP50" i="19"/>
  <c r="AP30" i="19"/>
  <c r="AH497" i="15"/>
  <c r="AL500" i="15"/>
  <c r="AL511" i="15" s="1"/>
  <c r="AL499" i="15"/>
  <c r="AL498" i="15"/>
  <c r="AL509" i="15" s="1"/>
  <c r="AL497" i="15"/>
  <c r="AL248" i="15"/>
  <c r="AL247" i="15"/>
  <c r="AL229" i="15"/>
  <c r="AL149" i="15"/>
  <c r="AL350" i="15"/>
  <c r="AL148" i="15"/>
  <c r="AL349" i="15"/>
  <c r="AL146" i="15"/>
  <c r="AL139" i="15"/>
  <c r="AL404" i="15"/>
  <c r="AL104" i="15"/>
  <c r="AL21" i="15"/>
  <c r="AL9" i="15"/>
  <c r="AL325" i="15"/>
  <c r="AL548" i="15"/>
  <c r="AL92" i="15"/>
  <c r="AL542" i="15"/>
  <c r="AL538" i="15"/>
  <c r="AL528" i="15"/>
  <c r="AL524" i="15"/>
  <c r="AL523" i="15"/>
  <c r="AL522" i="15"/>
  <c r="AL521" i="15"/>
  <c r="AL518" i="15"/>
  <c r="AL507" i="15"/>
  <c r="AL496" i="15"/>
  <c r="AL484" i="15"/>
  <c r="AL479" i="15"/>
  <c r="AL455" i="15"/>
  <c r="AL385" i="15"/>
  <c r="AL420" i="15"/>
  <c r="AL401" i="15"/>
  <c r="AL355" i="15"/>
  <c r="AL348" i="15"/>
  <c r="AL346" i="15"/>
  <c r="AL344" i="15"/>
  <c r="AL343" i="15"/>
  <c r="AL342" i="15"/>
  <c r="AL341" i="15"/>
  <c r="AL338" i="15"/>
  <c r="AL337" i="15"/>
  <c r="AL326" i="15"/>
  <c r="AL324" i="15"/>
  <c r="AL321" i="15"/>
  <c r="AL313" i="15"/>
  <c r="AL299" i="15"/>
  <c r="AL279" i="15"/>
  <c r="AL278" i="15"/>
  <c r="AL252" i="15"/>
  <c r="AL240" i="15"/>
  <c r="AL233" i="15"/>
  <c r="AL226" i="15"/>
  <c r="AL219" i="15"/>
  <c r="AL212" i="15"/>
  <c r="AL200" i="15"/>
  <c r="AL190" i="15"/>
  <c r="AL184" i="15"/>
  <c r="AL158" i="15"/>
  <c r="AL133" i="15"/>
  <c r="AL131" i="15"/>
  <c r="AL128" i="15"/>
  <c r="AL120" i="15"/>
  <c r="AL118" i="15"/>
  <c r="AL114" i="15"/>
  <c r="AL102" i="15"/>
  <c r="AL100" i="15"/>
  <c r="AL99" i="15"/>
  <c r="AL95" i="15"/>
  <c r="AL94" i="15"/>
  <c r="AL93" i="15"/>
  <c r="AL80" i="15"/>
  <c r="AL79" i="15"/>
  <c r="AL78" i="15"/>
  <c r="AL77" i="15"/>
  <c r="AL76" i="15"/>
  <c r="AL68" i="15"/>
  <c r="AL62" i="15"/>
  <c r="AL66" i="15"/>
  <c r="AL58" i="15"/>
  <c r="AL56" i="15"/>
  <c r="AL55" i="15"/>
  <c r="AM55" i="15"/>
  <c r="AL53" i="15"/>
  <c r="AL52" i="15"/>
  <c r="AL51" i="15"/>
  <c r="AL44" i="15"/>
  <c r="AL34" i="15"/>
  <c r="AL520" i="15"/>
  <c r="AL31" i="15"/>
  <c r="AL28" i="15"/>
  <c r="AL12" i="15"/>
  <c r="C1099" i="17"/>
  <c r="C1094" i="17"/>
  <c r="C1100" i="17" s="1"/>
  <c r="K382" i="15"/>
  <c r="K420" i="15"/>
  <c r="K149" i="15"/>
  <c r="K350" i="15"/>
  <c r="K141" i="15"/>
  <c r="K342" i="15"/>
  <c r="AK478" i="15"/>
  <c r="AK477" i="15"/>
  <c r="AK296" i="15"/>
  <c r="AK290" i="15"/>
  <c r="C1108" i="17"/>
  <c r="AK289" i="15"/>
  <c r="C1114" i="17"/>
  <c r="AK276" i="15"/>
  <c r="AK274" i="15"/>
  <c r="C1106" i="17"/>
  <c r="AK273" i="15"/>
  <c r="AK272" i="15"/>
  <c r="AK268" i="15"/>
  <c r="AK249" i="15"/>
  <c r="AK244" i="15"/>
  <c r="AK243" i="15"/>
  <c r="AK242" i="15"/>
  <c r="AK241" i="15"/>
  <c r="AK232" i="15"/>
  <c r="AK231" i="15"/>
  <c r="AK230" i="15"/>
  <c r="AK233" i="15"/>
  <c r="AL135" i="15"/>
  <c r="AK228" i="15"/>
  <c r="AK154" i="15"/>
  <c r="AK538" i="15"/>
  <c r="AK528" i="15"/>
  <c r="AK518" i="15"/>
  <c r="AK507" i="15"/>
  <c r="AK496" i="15"/>
  <c r="AK484" i="15"/>
  <c r="AK455" i="15"/>
  <c r="AK385" i="15"/>
  <c r="AK326" i="15"/>
  <c r="AK321" i="15"/>
  <c r="AK313" i="15"/>
  <c r="AK299" i="15"/>
  <c r="AK240" i="15"/>
  <c r="AK226" i="15"/>
  <c r="AK219" i="15"/>
  <c r="AK212" i="15"/>
  <c r="AK200" i="15"/>
  <c r="AK158" i="15"/>
  <c r="AK133" i="15"/>
  <c r="AK128" i="15"/>
  <c r="AK118" i="15"/>
  <c r="AK102" i="15"/>
  <c r="AK51" i="15"/>
  <c r="AK28" i="15"/>
  <c r="K500" i="15"/>
  <c r="K511" i="15" s="1"/>
  <c r="K499" i="15"/>
  <c r="K498" i="15"/>
  <c r="K497" i="15"/>
  <c r="AO101" i="19"/>
  <c r="AO102" i="19"/>
  <c r="AO103" i="19"/>
  <c r="AO104" i="19"/>
  <c r="AO105" i="19"/>
  <c r="AO100" i="19"/>
  <c r="AO95" i="19"/>
  <c r="AO94" i="19"/>
  <c r="AO91" i="19"/>
  <c r="AO90" i="19"/>
  <c r="AO89" i="19"/>
  <c r="AO88" i="19"/>
  <c r="AO87" i="19"/>
  <c r="AO84" i="19"/>
  <c r="AO83" i="19"/>
  <c r="AO82" i="19"/>
  <c r="AO81" i="19"/>
  <c r="AO80" i="19"/>
  <c r="AO74" i="19"/>
  <c r="AO75" i="19"/>
  <c r="AO76" i="19"/>
  <c r="AO77" i="19"/>
  <c r="AO73" i="19"/>
  <c r="AO57" i="19"/>
  <c r="AO56" i="19"/>
  <c r="AO55" i="19"/>
  <c r="AO54" i="19"/>
  <c r="AO60" i="19" s="1"/>
  <c r="AO26" i="19"/>
  <c r="AO25" i="19"/>
  <c r="AO22" i="19"/>
  <c r="AO21" i="19"/>
  <c r="AO20" i="19"/>
  <c r="AO19" i="19"/>
  <c r="AO18" i="19"/>
  <c r="AO17" i="19"/>
  <c r="AO16" i="19"/>
  <c r="AO11" i="19"/>
  <c r="AO12" i="19"/>
  <c r="AO13" i="19"/>
  <c r="AO10" i="19"/>
  <c r="AO63" i="19"/>
  <c r="AO50" i="19"/>
  <c r="AO30" i="19"/>
  <c r="L123" i="19"/>
  <c r="L118" i="19"/>
  <c r="K486" i="15"/>
  <c r="K509" i="15"/>
  <c r="L111" i="19"/>
  <c r="K485" i="15"/>
  <c r="L63" i="19"/>
  <c r="L50" i="19"/>
  <c r="L30" i="19"/>
  <c r="K252" i="15"/>
  <c r="K248" i="15"/>
  <c r="AK248" i="15"/>
  <c r="K229" i="15"/>
  <c r="AK229" i="15"/>
  <c r="K148" i="15"/>
  <c r="K349" i="15"/>
  <c r="K146" i="15"/>
  <c r="K347" i="15"/>
  <c r="K145" i="15"/>
  <c r="K346" i="15"/>
  <c r="K139" i="15"/>
  <c r="K340" i="15"/>
  <c r="K104" i="15"/>
  <c r="K89" i="15"/>
  <c r="K21" i="15"/>
  <c r="K84" i="15"/>
  <c r="K548" i="15"/>
  <c r="K542" i="15"/>
  <c r="K213" i="15"/>
  <c r="K538" i="15"/>
  <c r="K528" i="15"/>
  <c r="K524" i="15"/>
  <c r="K523" i="15"/>
  <c r="K522" i="15"/>
  <c r="K521" i="15"/>
  <c r="K518" i="15"/>
  <c r="K507" i="15"/>
  <c r="K496" i="15"/>
  <c r="K484" i="15"/>
  <c r="K479" i="15"/>
  <c r="K455" i="15"/>
  <c r="K385" i="15"/>
  <c r="K355" i="15"/>
  <c r="K348" i="15"/>
  <c r="K344" i="15"/>
  <c r="K343" i="15"/>
  <c r="K341" i="15"/>
  <c r="K338" i="15"/>
  <c r="K337" i="15"/>
  <c r="K326" i="15"/>
  <c r="K324" i="15"/>
  <c r="K321" i="15"/>
  <c r="K313" i="15"/>
  <c r="K299" i="15"/>
  <c r="K279" i="15"/>
  <c r="K278" i="15"/>
  <c r="K240" i="15"/>
  <c r="K233" i="15"/>
  <c r="L135" i="15"/>
  <c r="K226" i="15"/>
  <c r="K219" i="15"/>
  <c r="K212" i="15"/>
  <c r="K207" i="15"/>
  <c r="K461" i="15"/>
  <c r="K206" i="15"/>
  <c r="K460" i="15"/>
  <c r="K201" i="15"/>
  <c r="K456" i="15"/>
  <c r="K200" i="15"/>
  <c r="K190" i="15"/>
  <c r="K184" i="15"/>
  <c r="K158" i="15"/>
  <c r="K133" i="15"/>
  <c r="K131" i="15"/>
  <c r="K130" i="15"/>
  <c r="K128" i="15"/>
  <c r="K120" i="15"/>
  <c r="K118" i="15"/>
  <c r="K114" i="15"/>
  <c r="K102" i="15"/>
  <c r="K100" i="15"/>
  <c r="K99" i="15"/>
  <c r="K95" i="15"/>
  <c r="K94" i="15"/>
  <c r="K93" i="15"/>
  <c r="K82" i="15"/>
  <c r="K80" i="15"/>
  <c r="K79" i="15"/>
  <c r="K78" i="15"/>
  <c r="K77" i="15"/>
  <c r="K76" i="15"/>
  <c r="K68" i="15"/>
  <c r="K62" i="15"/>
  <c r="K66" i="15"/>
  <c r="K58" i="15"/>
  <c r="K56" i="15"/>
  <c r="K55" i="15"/>
  <c r="K53" i="15"/>
  <c r="K52" i="15"/>
  <c r="K51" i="15"/>
  <c r="K34" i="15"/>
  <c r="K31" i="15"/>
  <c r="K519" i="15"/>
  <c r="K28" i="15"/>
  <c r="K12" i="15"/>
  <c r="K9" i="15"/>
  <c r="K325" i="15"/>
  <c r="C1166" i="17"/>
  <c r="C1160" i="17"/>
  <c r="C1158" i="17"/>
  <c r="C1157" i="17"/>
  <c r="C1156" i="17"/>
  <c r="D1190" i="17"/>
  <c r="D1200" i="17"/>
  <c r="D1138" i="17"/>
  <c r="D1184" i="17"/>
  <c r="C1189" i="17"/>
  <c r="C1151" i="17"/>
  <c r="C1146" i="17"/>
  <c r="AM63" i="19"/>
  <c r="AM50" i="19"/>
  <c r="AM30" i="19"/>
  <c r="AJ247" i="15"/>
  <c r="AJ229" i="15"/>
  <c r="AI182" i="15"/>
  <c r="AJ182" i="15"/>
  <c r="AK182" i="15"/>
  <c r="AJ130" i="15"/>
  <c r="AJ538" i="15"/>
  <c r="AJ528" i="15"/>
  <c r="AJ518" i="15"/>
  <c r="AJ507" i="15"/>
  <c r="AJ496" i="15"/>
  <c r="AJ484" i="15"/>
  <c r="AJ479" i="15"/>
  <c r="AJ455" i="15"/>
  <c r="AJ420" i="15"/>
  <c r="AJ387" i="15"/>
  <c r="AJ385" i="15"/>
  <c r="AJ355" i="15"/>
  <c r="AJ326" i="15"/>
  <c r="AJ323" i="15"/>
  <c r="AJ322" i="15"/>
  <c r="AJ321" i="15"/>
  <c r="AJ313" i="15"/>
  <c r="AJ299" i="15"/>
  <c r="AJ279" i="15"/>
  <c r="AJ278" i="15"/>
  <c r="AJ252" i="15"/>
  <c r="AJ240" i="15"/>
  <c r="AJ233" i="15"/>
  <c r="AJ226" i="15"/>
  <c r="AJ219" i="15"/>
  <c r="AJ212" i="15"/>
  <c r="AJ200" i="15"/>
  <c r="AJ158" i="15"/>
  <c r="AJ133" i="15"/>
  <c r="AJ128" i="15"/>
  <c r="AJ118" i="15"/>
  <c r="AJ102" i="15"/>
  <c r="AJ51" i="15"/>
  <c r="AJ28" i="15"/>
  <c r="C1239" i="17"/>
  <c r="C1238" i="17"/>
  <c r="C1237" i="17"/>
  <c r="C1235" i="17"/>
  <c r="C1234" i="17"/>
  <c r="C1203" i="17"/>
  <c r="C1198" i="17"/>
  <c r="C1204" i="17" s="1"/>
  <c r="AI478" i="15"/>
  <c r="AI477" i="15"/>
  <c r="BZ548" i="15"/>
  <c r="BZ92" i="15"/>
  <c r="BZ538" i="15"/>
  <c r="BZ528" i="15"/>
  <c r="BZ524" i="15"/>
  <c r="BZ523" i="15"/>
  <c r="BZ522" i="15"/>
  <c r="BZ521" i="15"/>
  <c r="BZ518" i="15"/>
  <c r="BZ507" i="15"/>
  <c r="BZ496" i="15"/>
  <c r="BZ484" i="15"/>
  <c r="BR500" i="15"/>
  <c r="BR499" i="15"/>
  <c r="BR498" i="15"/>
  <c r="BR497" i="15"/>
  <c r="BZ500" i="15"/>
  <c r="BZ499" i="15"/>
  <c r="BZ498" i="15"/>
  <c r="BZ497" i="15"/>
  <c r="BZ489" i="15"/>
  <c r="BZ512" i="15"/>
  <c r="BZ479" i="15"/>
  <c r="AL125" i="19"/>
  <c r="AL122" i="19"/>
  <c r="AM122" i="19"/>
  <c r="AL121" i="19"/>
  <c r="AL120" i="19"/>
  <c r="AM120" i="19"/>
  <c r="AL119" i="19"/>
  <c r="AM119" i="19"/>
  <c r="AO119" i="19"/>
  <c r="AL117" i="19"/>
  <c r="AL116" i="19"/>
  <c r="AM116" i="19"/>
  <c r="AO116" i="19"/>
  <c r="AL114" i="19"/>
  <c r="AN114" i="19"/>
  <c r="AN136" i="19"/>
  <c r="AL113" i="19"/>
  <c r="AM113" i="19"/>
  <c r="AL112" i="19"/>
  <c r="AL105" i="19"/>
  <c r="AL104" i="19"/>
  <c r="AL103" i="19"/>
  <c r="AL102" i="19"/>
  <c r="AL101" i="19"/>
  <c r="AL100" i="19"/>
  <c r="AL95" i="19"/>
  <c r="AL94" i="19"/>
  <c r="AL91" i="19"/>
  <c r="AL90" i="19"/>
  <c r="AL89" i="19"/>
  <c r="AL88" i="19"/>
  <c r="AL87" i="19"/>
  <c r="AL84" i="19"/>
  <c r="AL83" i="19"/>
  <c r="AL82" i="19"/>
  <c r="AL81" i="19"/>
  <c r="AL80" i="19"/>
  <c r="AL77" i="19"/>
  <c r="AL76" i="19"/>
  <c r="AL75" i="19"/>
  <c r="AL74" i="19"/>
  <c r="AL73" i="19"/>
  <c r="AL70" i="19"/>
  <c r="AL69" i="19"/>
  <c r="AL68" i="19"/>
  <c r="AL67" i="19"/>
  <c r="AL66" i="19"/>
  <c r="AL57" i="19"/>
  <c r="AL56" i="19"/>
  <c r="AL55" i="19"/>
  <c r="AL54" i="19"/>
  <c r="AL26" i="19"/>
  <c r="AL25" i="19"/>
  <c r="AL22" i="19"/>
  <c r="AL21" i="19"/>
  <c r="AL20" i="19"/>
  <c r="AL19" i="19"/>
  <c r="AL18" i="19"/>
  <c r="AL17" i="19"/>
  <c r="AL16" i="19"/>
  <c r="AL13" i="19"/>
  <c r="AL12" i="19"/>
  <c r="AL11" i="19"/>
  <c r="AL10" i="19"/>
  <c r="AL63" i="19"/>
  <c r="AL50" i="19"/>
  <c r="AL30" i="19"/>
  <c r="BW124" i="19"/>
  <c r="BZ488" i="15"/>
  <c r="BZ511" i="15"/>
  <c r="BP124" i="19"/>
  <c r="BR488" i="15"/>
  <c r="BR511" i="15"/>
  <c r="BW118" i="19"/>
  <c r="BW111" i="19"/>
  <c r="BW63" i="19"/>
  <c r="BW50" i="19"/>
  <c r="BW30" i="19"/>
  <c r="BP118" i="19"/>
  <c r="BP111" i="19"/>
  <c r="BR485" i="15"/>
  <c r="BP63" i="19"/>
  <c r="BP50" i="19"/>
  <c r="BP30" i="19"/>
  <c r="BZ9" i="15"/>
  <c r="BZ493" i="15"/>
  <c r="AI381" i="15"/>
  <c r="AI296" i="15"/>
  <c r="AI290" i="15"/>
  <c r="C1212" i="17"/>
  <c r="AI289" i="15"/>
  <c r="C1218" i="17"/>
  <c r="AI276" i="15"/>
  <c r="AI274" i="15"/>
  <c r="AI273" i="15"/>
  <c r="AI272" i="15"/>
  <c r="AI268" i="15"/>
  <c r="AI267" i="15"/>
  <c r="AI249" i="15"/>
  <c r="AI244" i="15"/>
  <c r="AI243" i="15"/>
  <c r="AI242" i="15"/>
  <c r="AI241" i="15"/>
  <c r="AI232" i="15"/>
  <c r="AI231" i="15"/>
  <c r="AI230" i="15"/>
  <c r="AI228" i="15"/>
  <c r="BR247" i="15"/>
  <c r="BR255" i="15"/>
  <c r="BR248" i="15"/>
  <c r="AI248" i="15"/>
  <c r="BR207" i="15"/>
  <c r="BR461" i="15"/>
  <c r="BR206" i="15"/>
  <c r="BR460" i="15"/>
  <c r="BR201" i="15"/>
  <c r="BZ148" i="15"/>
  <c r="BZ149" i="15"/>
  <c r="BZ146" i="15"/>
  <c r="BZ145" i="15"/>
  <c r="BZ141" i="15"/>
  <c r="BZ139" i="15"/>
  <c r="BZ130" i="15"/>
  <c r="BR130" i="15"/>
  <c r="BZ104" i="15"/>
  <c r="BZ89" i="15"/>
  <c r="BZ21" i="15"/>
  <c r="BR9" i="15"/>
  <c r="BR493" i="15"/>
  <c r="BZ542" i="15"/>
  <c r="BZ190" i="15"/>
  <c r="BZ184" i="15"/>
  <c r="BZ154" i="15"/>
  <c r="BZ133" i="15"/>
  <c r="BZ131" i="15"/>
  <c r="BZ128" i="15"/>
  <c r="BZ120" i="15"/>
  <c r="BZ118" i="15"/>
  <c r="BZ114" i="15"/>
  <c r="BZ102" i="15"/>
  <c r="BZ100" i="15"/>
  <c r="BZ99" i="15"/>
  <c r="BZ94" i="15"/>
  <c r="BZ93" i="15"/>
  <c r="BZ80" i="15"/>
  <c r="BZ79" i="15"/>
  <c r="BZ78" i="15"/>
  <c r="BZ77" i="15"/>
  <c r="BZ76" i="15"/>
  <c r="BZ68" i="15"/>
  <c r="BZ62" i="15"/>
  <c r="BZ66" i="15"/>
  <c r="BZ58" i="15"/>
  <c r="BZ56" i="15"/>
  <c r="BZ55" i="15"/>
  <c r="BZ53" i="15"/>
  <c r="BZ52" i="15"/>
  <c r="BZ51" i="15"/>
  <c r="BZ44" i="15"/>
  <c r="BZ34" i="15"/>
  <c r="BZ520" i="15"/>
  <c r="BZ31" i="15"/>
  <c r="BZ519" i="15"/>
  <c r="BZ28" i="15"/>
  <c r="BZ12" i="15"/>
  <c r="BR146" i="15"/>
  <c r="BR229" i="15"/>
  <c r="AI229" i="15"/>
  <c r="BR148" i="15"/>
  <c r="BR145" i="15"/>
  <c r="AI145" i="15"/>
  <c r="BR149" i="15"/>
  <c r="BR140" i="15"/>
  <c r="AI140" i="15"/>
  <c r="BR141" i="15"/>
  <c r="AI141" i="15"/>
  <c r="BR139" i="15"/>
  <c r="AI195" i="15"/>
  <c r="AJ195" i="15"/>
  <c r="AK195" i="15"/>
  <c r="AI189" i="15"/>
  <c r="AI188" i="15"/>
  <c r="AI187" i="15"/>
  <c r="AJ187" i="15"/>
  <c r="AK187" i="15"/>
  <c r="AI186" i="15"/>
  <c r="AJ186" i="15"/>
  <c r="AI183" i="15"/>
  <c r="AJ183" i="15"/>
  <c r="AK183" i="15"/>
  <c r="AI181" i="15"/>
  <c r="AI180" i="15"/>
  <c r="AI179" i="15"/>
  <c r="AJ179" i="15"/>
  <c r="AI176" i="15"/>
  <c r="AJ176" i="15"/>
  <c r="AK176" i="15"/>
  <c r="AI175" i="15"/>
  <c r="AJ175" i="15"/>
  <c r="AK175" i="15"/>
  <c r="AI174" i="15"/>
  <c r="AJ174" i="15"/>
  <c r="AK174" i="15"/>
  <c r="AI173" i="15"/>
  <c r="AJ173" i="15"/>
  <c r="AK173" i="15"/>
  <c r="AI172" i="15"/>
  <c r="AJ172" i="15"/>
  <c r="AK172" i="15"/>
  <c r="AI171" i="15"/>
  <c r="AJ171" i="15"/>
  <c r="AK171" i="15"/>
  <c r="AI169" i="15"/>
  <c r="AK169" i="15"/>
  <c r="AI165" i="15"/>
  <c r="AJ165" i="15"/>
  <c r="AK165" i="15"/>
  <c r="AI164" i="15"/>
  <c r="AJ164" i="15"/>
  <c r="AK164" i="15"/>
  <c r="AI163" i="15"/>
  <c r="AJ163" i="15"/>
  <c r="AK163" i="15"/>
  <c r="AI162" i="15"/>
  <c r="AJ162" i="15"/>
  <c r="AK162" i="15"/>
  <c r="AI161" i="15"/>
  <c r="AJ161" i="15"/>
  <c r="AK161" i="15"/>
  <c r="AI154" i="15"/>
  <c r="AI147" i="15"/>
  <c r="AI348" i="15"/>
  <c r="AI143" i="15"/>
  <c r="AI142" i="15"/>
  <c r="AI343" i="15"/>
  <c r="AI137" i="15"/>
  <c r="AI136" i="15"/>
  <c r="AJ136" i="15"/>
  <c r="AI129" i="15"/>
  <c r="AI112" i="15"/>
  <c r="BR104" i="15"/>
  <c r="BR21" i="15"/>
  <c r="AI70" i="15"/>
  <c r="AK70" i="15"/>
  <c r="AI65" i="15"/>
  <c r="AK65" i="15"/>
  <c r="AI64" i="15"/>
  <c r="AK64" i="15"/>
  <c r="AI63" i="15"/>
  <c r="AK63" i="15"/>
  <c r="AI48" i="15"/>
  <c r="AJ48" i="15"/>
  <c r="AK48" i="15"/>
  <c r="AI46" i="15"/>
  <c r="AJ46" i="15"/>
  <c r="AK46" i="15"/>
  <c r="AI43" i="15"/>
  <c r="AI42" i="15"/>
  <c r="AI41" i="15"/>
  <c r="AJ41" i="15"/>
  <c r="AI40" i="15"/>
  <c r="AI38" i="15"/>
  <c r="AI37" i="15"/>
  <c r="AI36" i="15"/>
  <c r="AI35" i="15"/>
  <c r="AI33" i="15"/>
  <c r="AI32" i="15"/>
  <c r="AI34" i="15"/>
  <c r="AI520" i="15"/>
  <c r="AI30" i="15"/>
  <c r="AJ30" i="15"/>
  <c r="AK30" i="15"/>
  <c r="AI29" i="15"/>
  <c r="AI23" i="15"/>
  <c r="AJ23" i="15"/>
  <c r="AI20" i="15"/>
  <c r="AJ20" i="15"/>
  <c r="AK20" i="15"/>
  <c r="AI19" i="15"/>
  <c r="AI17" i="15"/>
  <c r="AI16" i="15"/>
  <c r="AJ16" i="15"/>
  <c r="AI15" i="15"/>
  <c r="AI14" i="15"/>
  <c r="AJ14" i="15"/>
  <c r="AK14" i="15"/>
  <c r="AI11" i="15"/>
  <c r="AI8" i="15"/>
  <c r="AI76" i="15" s="1"/>
  <c r="AI538" i="15"/>
  <c r="AI528" i="15"/>
  <c r="AI518" i="15"/>
  <c r="AI507" i="15"/>
  <c r="AI496" i="15"/>
  <c r="AI484" i="15"/>
  <c r="AI455" i="15"/>
  <c r="AI385" i="15"/>
  <c r="AI326" i="15"/>
  <c r="AI323" i="15"/>
  <c r="AI322" i="15"/>
  <c r="AI321" i="15"/>
  <c r="AI313" i="15"/>
  <c r="AI299" i="15"/>
  <c r="AI240" i="15"/>
  <c r="AI226" i="15"/>
  <c r="AI219" i="15"/>
  <c r="AI212" i="15"/>
  <c r="AI200" i="15"/>
  <c r="AI158" i="15"/>
  <c r="AI133" i="15"/>
  <c r="AI128" i="15"/>
  <c r="AI118" i="15"/>
  <c r="AI102" i="15"/>
  <c r="AI51" i="15"/>
  <c r="AI28" i="15"/>
  <c r="BR548" i="15"/>
  <c r="BR542" i="15"/>
  <c r="BR538" i="15"/>
  <c r="BR528" i="15"/>
  <c r="BR524" i="15"/>
  <c r="BR523" i="15"/>
  <c r="BR522" i="15"/>
  <c r="BR521" i="15"/>
  <c r="BR518" i="15"/>
  <c r="BR507" i="15"/>
  <c r="BR496" i="15"/>
  <c r="BR489" i="15"/>
  <c r="BR512" i="15"/>
  <c r="BR484" i="15"/>
  <c r="BR479" i="15"/>
  <c r="BR455" i="15"/>
  <c r="BR385" i="15"/>
  <c r="BR321" i="15"/>
  <c r="BR313" i="15"/>
  <c r="BR299" i="15"/>
  <c r="BR279" i="15"/>
  <c r="BR278" i="15"/>
  <c r="BR252" i="15"/>
  <c r="BR240" i="15"/>
  <c r="BR233" i="15"/>
  <c r="BR234" i="15"/>
  <c r="BR226" i="15"/>
  <c r="BR219" i="15"/>
  <c r="BR212" i="15"/>
  <c r="BR200" i="15"/>
  <c r="BR190" i="15"/>
  <c r="BR184" i="15"/>
  <c r="BR158" i="15"/>
  <c r="BR133" i="15"/>
  <c r="BR131" i="15"/>
  <c r="BR128" i="15"/>
  <c r="BR120" i="15"/>
  <c r="BR118" i="15"/>
  <c r="BR114" i="15"/>
  <c r="BR102" i="15"/>
  <c r="BR100" i="15"/>
  <c r="BR99" i="15"/>
  <c r="BR95" i="15"/>
  <c r="BR94" i="15"/>
  <c r="BR93" i="15"/>
  <c r="BR82" i="15"/>
  <c r="BR80" i="15"/>
  <c r="BR79" i="15"/>
  <c r="BR78" i="15"/>
  <c r="BR77" i="15"/>
  <c r="BR76" i="15"/>
  <c r="BR68" i="15"/>
  <c r="BR62" i="15"/>
  <c r="BR58" i="15"/>
  <c r="BR56" i="15"/>
  <c r="BR55" i="15"/>
  <c r="BR53" i="15"/>
  <c r="BR52" i="15"/>
  <c r="BR51" i="15"/>
  <c r="BR44" i="15"/>
  <c r="BR34" i="15"/>
  <c r="BR520" i="15"/>
  <c r="BR31" i="15"/>
  <c r="BR28" i="15"/>
  <c r="BR12" i="15"/>
  <c r="BR13" i="15"/>
  <c r="C1256" i="17"/>
  <c r="AH499" i="15"/>
  <c r="AH500" i="15"/>
  <c r="AH498" i="15"/>
  <c r="AI498" i="15"/>
  <c r="AJ498" i="15"/>
  <c r="AK498" i="15"/>
  <c r="AK123" i="19"/>
  <c r="AK124" i="19"/>
  <c r="AH489" i="15"/>
  <c r="AH512" i="15"/>
  <c r="BL542" i="15"/>
  <c r="T10" i="19"/>
  <c r="V10" i="19"/>
  <c r="X10" i="19"/>
  <c r="Z10" i="19"/>
  <c r="AB10" i="19"/>
  <c r="AD10" i="19"/>
  <c r="AE10" i="19"/>
  <c r="AH10" i="19"/>
  <c r="AJ10" i="19"/>
  <c r="T11" i="19"/>
  <c r="V11" i="19"/>
  <c r="X11" i="19"/>
  <c r="Z11" i="19"/>
  <c r="AB11" i="19"/>
  <c r="AD11" i="19"/>
  <c r="AE11" i="19"/>
  <c r="AH11" i="19"/>
  <c r="AJ11" i="19"/>
  <c r="T12" i="19"/>
  <c r="V12" i="19"/>
  <c r="X12" i="19"/>
  <c r="Z12" i="19"/>
  <c r="AB12" i="19"/>
  <c r="AD12" i="19"/>
  <c r="AE12" i="19"/>
  <c r="AH12" i="19"/>
  <c r="AJ12" i="19"/>
  <c r="T13" i="19"/>
  <c r="V13" i="19"/>
  <c r="X13" i="19"/>
  <c r="Z13" i="19"/>
  <c r="AB13" i="19"/>
  <c r="AD13" i="19"/>
  <c r="AE13" i="19"/>
  <c r="AH13" i="19"/>
  <c r="AJ13" i="19"/>
  <c r="T16" i="19"/>
  <c r="V16" i="19"/>
  <c r="X16" i="19"/>
  <c r="Z16" i="19"/>
  <c r="AB16" i="19"/>
  <c r="AD16" i="19"/>
  <c r="AE16" i="19"/>
  <c r="AH16" i="19"/>
  <c r="AJ16" i="19"/>
  <c r="T17" i="19"/>
  <c r="V17" i="19"/>
  <c r="X17" i="19"/>
  <c r="Z17" i="19"/>
  <c r="AB17" i="19"/>
  <c r="AD17" i="19"/>
  <c r="AE17" i="19"/>
  <c r="AH17" i="19"/>
  <c r="AJ17" i="19"/>
  <c r="T18" i="19"/>
  <c r="V18" i="19"/>
  <c r="X18" i="19"/>
  <c r="Z18" i="19"/>
  <c r="AB18" i="19"/>
  <c r="AD18" i="19"/>
  <c r="AE18" i="19"/>
  <c r="AH18" i="19"/>
  <c r="AJ18" i="19"/>
  <c r="T19" i="19"/>
  <c r="V19" i="19"/>
  <c r="X19" i="19"/>
  <c r="Z19" i="19"/>
  <c r="AB19" i="19"/>
  <c r="AD19" i="19"/>
  <c r="AE19" i="19"/>
  <c r="AH19" i="19"/>
  <c r="AJ19" i="19"/>
  <c r="T20" i="19"/>
  <c r="V20" i="19"/>
  <c r="X20" i="19"/>
  <c r="Z20" i="19"/>
  <c r="AB20" i="19"/>
  <c r="AD20" i="19"/>
  <c r="AE20" i="19"/>
  <c r="AH20" i="19"/>
  <c r="AJ20" i="19"/>
  <c r="T21" i="19"/>
  <c r="V21" i="19"/>
  <c r="X21" i="19"/>
  <c r="Z21" i="19"/>
  <c r="AB21" i="19"/>
  <c r="AD21" i="19"/>
  <c r="AE21" i="19"/>
  <c r="AH21" i="19"/>
  <c r="AJ21" i="19"/>
  <c r="AD22" i="19"/>
  <c r="AE22" i="19"/>
  <c r="AH22" i="19"/>
  <c r="AJ22" i="19"/>
  <c r="T25" i="19"/>
  <c r="V25" i="19"/>
  <c r="X25" i="19"/>
  <c r="Z25" i="19"/>
  <c r="AB25" i="19"/>
  <c r="AD25" i="19"/>
  <c r="AE25" i="19"/>
  <c r="AH25" i="19"/>
  <c r="AJ25" i="19"/>
  <c r="T26" i="19"/>
  <c r="V26" i="19"/>
  <c r="X26" i="19"/>
  <c r="Z26" i="19"/>
  <c r="AB26" i="19"/>
  <c r="AD26" i="19"/>
  <c r="AE26" i="19"/>
  <c r="AH26" i="19"/>
  <c r="AJ26" i="19"/>
  <c r="G30" i="19"/>
  <c r="H30" i="19"/>
  <c r="I30" i="19"/>
  <c r="J30" i="19"/>
  <c r="K30" i="19"/>
  <c r="AA30" i="19"/>
  <c r="AB30" i="19"/>
  <c r="AC30" i="19"/>
  <c r="AD30" i="19"/>
  <c r="AE30" i="19"/>
  <c r="AF30" i="19"/>
  <c r="AG30" i="19"/>
  <c r="AH30" i="19"/>
  <c r="AI30" i="19"/>
  <c r="AJ30" i="19"/>
  <c r="AK30" i="19"/>
  <c r="BN30" i="19"/>
  <c r="BO30" i="19"/>
  <c r="G50" i="19"/>
  <c r="H50" i="19"/>
  <c r="I50" i="19"/>
  <c r="J50" i="19"/>
  <c r="K50" i="19"/>
  <c r="AA50" i="19"/>
  <c r="AB50" i="19"/>
  <c r="AC50" i="19"/>
  <c r="AD50" i="19"/>
  <c r="AE50" i="19"/>
  <c r="AF50" i="19"/>
  <c r="AG50" i="19"/>
  <c r="AH50" i="19"/>
  <c r="AI50" i="19"/>
  <c r="AJ50" i="19"/>
  <c r="AK50" i="19"/>
  <c r="BM50" i="19"/>
  <c r="BN50" i="19"/>
  <c r="BO50" i="19"/>
  <c r="T54" i="19"/>
  <c r="V54" i="19"/>
  <c r="X54" i="19"/>
  <c r="Z54" i="19"/>
  <c r="AB54" i="19"/>
  <c r="AD54" i="19"/>
  <c r="AE54" i="19"/>
  <c r="AH54" i="19"/>
  <c r="AJ54" i="19"/>
  <c r="T55" i="19"/>
  <c r="V55" i="19"/>
  <c r="X55" i="19"/>
  <c r="Z55" i="19"/>
  <c r="AB55" i="19"/>
  <c r="AD55" i="19"/>
  <c r="AE55" i="19"/>
  <c r="AH55" i="19"/>
  <c r="AJ55" i="19"/>
  <c r="T56" i="19"/>
  <c r="V56" i="19"/>
  <c r="X56" i="19"/>
  <c r="Z56" i="19"/>
  <c r="AB56" i="19"/>
  <c r="AD56" i="19"/>
  <c r="AE56" i="19"/>
  <c r="AH56" i="19"/>
  <c r="AJ56" i="19"/>
  <c r="T57" i="19"/>
  <c r="T60" i="19" s="1"/>
  <c r="V57" i="19"/>
  <c r="X57" i="19"/>
  <c r="Z57" i="19"/>
  <c r="AB57" i="19"/>
  <c r="AD57" i="19"/>
  <c r="AD60" i="19" s="1"/>
  <c r="AE57" i="19"/>
  <c r="AH57" i="19"/>
  <c r="AH60" i="19" s="1"/>
  <c r="AJ57" i="19"/>
  <c r="G63" i="19"/>
  <c r="H63" i="19"/>
  <c r="I63" i="19"/>
  <c r="J63" i="19"/>
  <c r="K63" i="19"/>
  <c r="AA63" i="19"/>
  <c r="AB63" i="19"/>
  <c r="AC63" i="19"/>
  <c r="AD63" i="19"/>
  <c r="AE63" i="19"/>
  <c r="AF63" i="19"/>
  <c r="AG63" i="19"/>
  <c r="AH63" i="19"/>
  <c r="AI63" i="19"/>
  <c r="AJ63" i="19"/>
  <c r="AK63" i="19"/>
  <c r="BL63" i="19"/>
  <c r="BM63" i="19"/>
  <c r="BN63" i="19"/>
  <c r="BO63" i="19"/>
  <c r="T66" i="19"/>
  <c r="V66" i="19"/>
  <c r="X66" i="19"/>
  <c r="Z66" i="19"/>
  <c r="AB66" i="19"/>
  <c r="AD66" i="19"/>
  <c r="AE66" i="19"/>
  <c r="AH66" i="19"/>
  <c r="AJ66" i="19"/>
  <c r="T67" i="19"/>
  <c r="V67" i="19"/>
  <c r="X67" i="19"/>
  <c r="Z67" i="19"/>
  <c r="AB67" i="19"/>
  <c r="AD67" i="19"/>
  <c r="AE67" i="19"/>
  <c r="AH67" i="19"/>
  <c r="AJ67" i="19"/>
  <c r="T68" i="19"/>
  <c r="V68" i="19"/>
  <c r="X68" i="19"/>
  <c r="Z68" i="19"/>
  <c r="AB68" i="19"/>
  <c r="AD68" i="19"/>
  <c r="AE68" i="19"/>
  <c r="AH68" i="19"/>
  <c r="AJ68" i="19"/>
  <c r="T69" i="19"/>
  <c r="V69" i="19"/>
  <c r="X69" i="19"/>
  <c r="Z69" i="19"/>
  <c r="AB69" i="19"/>
  <c r="AD69" i="19"/>
  <c r="AE69" i="19"/>
  <c r="AH69" i="19"/>
  <c r="AJ69" i="19"/>
  <c r="T70" i="19"/>
  <c r="V70" i="19"/>
  <c r="X70" i="19"/>
  <c r="Z70" i="19"/>
  <c r="AB70" i="19"/>
  <c r="AD70" i="19"/>
  <c r="AE70" i="19"/>
  <c r="AH70" i="19"/>
  <c r="AJ70" i="19"/>
  <c r="T73" i="19"/>
  <c r="V73" i="19"/>
  <c r="X73" i="19"/>
  <c r="Z73" i="19"/>
  <c r="AB73" i="19"/>
  <c r="AD73" i="19"/>
  <c r="AE73" i="19"/>
  <c r="AH73" i="19"/>
  <c r="AJ73" i="19"/>
  <c r="T74" i="19"/>
  <c r="V74" i="19"/>
  <c r="X74" i="19"/>
  <c r="Z74" i="19"/>
  <c r="AB74" i="19"/>
  <c r="AD74" i="19"/>
  <c r="AE74" i="19"/>
  <c r="AH74" i="19"/>
  <c r="AJ74" i="19"/>
  <c r="T75" i="19"/>
  <c r="V75" i="19"/>
  <c r="X75" i="19"/>
  <c r="Z75" i="19"/>
  <c r="AB75" i="19"/>
  <c r="AD75" i="19"/>
  <c r="AE75" i="19"/>
  <c r="AH75" i="19"/>
  <c r="AJ75" i="19"/>
  <c r="T76" i="19"/>
  <c r="V76" i="19"/>
  <c r="X76" i="19"/>
  <c r="Z76" i="19"/>
  <c r="AB76" i="19"/>
  <c r="AD76" i="19"/>
  <c r="AE76" i="19"/>
  <c r="AH76" i="19"/>
  <c r="AJ76" i="19"/>
  <c r="T77" i="19"/>
  <c r="V77" i="19"/>
  <c r="X77" i="19"/>
  <c r="Z77" i="19"/>
  <c r="AB77" i="19"/>
  <c r="AD77" i="19"/>
  <c r="AE77" i="19"/>
  <c r="AH77" i="19"/>
  <c r="AJ77" i="19"/>
  <c r="T80" i="19"/>
  <c r="V80" i="19"/>
  <c r="X80" i="19"/>
  <c r="Z80" i="19"/>
  <c r="AB80" i="19"/>
  <c r="AD80" i="19"/>
  <c r="AE80" i="19"/>
  <c r="AH80" i="19"/>
  <c r="AJ80" i="19"/>
  <c r="T81" i="19"/>
  <c r="V81" i="19"/>
  <c r="X81" i="19"/>
  <c r="Z81" i="19"/>
  <c r="AB81" i="19"/>
  <c r="AD81" i="19"/>
  <c r="AE81" i="19"/>
  <c r="AH81" i="19"/>
  <c r="AJ81" i="19"/>
  <c r="T82" i="19"/>
  <c r="V82" i="19"/>
  <c r="X82" i="19"/>
  <c r="Z82" i="19"/>
  <c r="AB82" i="19"/>
  <c r="AD82" i="19"/>
  <c r="AE82" i="19"/>
  <c r="AH82" i="19"/>
  <c r="AJ82" i="19"/>
  <c r="T83" i="19"/>
  <c r="V83" i="19"/>
  <c r="X83" i="19"/>
  <c r="Z83" i="19"/>
  <c r="AB83" i="19"/>
  <c r="AD83" i="19"/>
  <c r="AE83" i="19"/>
  <c r="AH83" i="19"/>
  <c r="AJ83" i="19"/>
  <c r="T84" i="19"/>
  <c r="V84" i="19"/>
  <c r="X84" i="19"/>
  <c r="Z84" i="19"/>
  <c r="AB84" i="19"/>
  <c r="AD84" i="19"/>
  <c r="AE84" i="19"/>
  <c r="AH84" i="19"/>
  <c r="AJ84" i="19"/>
  <c r="T87" i="19"/>
  <c r="V87" i="19"/>
  <c r="X87" i="19"/>
  <c r="Z87" i="19"/>
  <c r="AB87" i="19"/>
  <c r="AD87" i="19"/>
  <c r="AE87" i="19"/>
  <c r="AH87" i="19"/>
  <c r="AJ87" i="19"/>
  <c r="T88" i="19"/>
  <c r="V88" i="19"/>
  <c r="X88" i="19"/>
  <c r="Z88" i="19"/>
  <c r="AB88" i="19"/>
  <c r="AD88" i="19"/>
  <c r="AE88" i="19"/>
  <c r="AH88" i="19"/>
  <c r="AJ88" i="19"/>
  <c r="T89" i="19"/>
  <c r="V89" i="19"/>
  <c r="X89" i="19"/>
  <c r="Z89" i="19"/>
  <c r="AB89" i="19"/>
  <c r="AD89" i="19"/>
  <c r="AE89" i="19"/>
  <c r="AH89" i="19"/>
  <c r="AJ89" i="19"/>
  <c r="T90" i="19"/>
  <c r="V90" i="19"/>
  <c r="X90" i="19"/>
  <c r="Z90" i="19"/>
  <c r="AB90" i="19"/>
  <c r="AD90" i="19"/>
  <c r="AE90" i="19"/>
  <c r="AH90" i="19"/>
  <c r="AJ90" i="19"/>
  <c r="T91" i="19"/>
  <c r="V91" i="19"/>
  <c r="X91" i="19"/>
  <c r="Z91" i="19"/>
  <c r="AB91" i="19"/>
  <c r="AD91" i="19"/>
  <c r="AE91" i="19"/>
  <c r="AH91" i="19"/>
  <c r="AJ91" i="19"/>
  <c r="T94" i="19"/>
  <c r="V94" i="19"/>
  <c r="X94" i="19"/>
  <c r="Z94" i="19"/>
  <c r="AB94" i="19"/>
  <c r="AD94" i="19"/>
  <c r="AE94" i="19"/>
  <c r="AH94" i="19"/>
  <c r="AJ94" i="19"/>
  <c r="T95" i="19"/>
  <c r="V95" i="19"/>
  <c r="X95" i="19"/>
  <c r="Z95" i="19"/>
  <c r="AB95" i="19"/>
  <c r="AD95" i="19"/>
  <c r="AE95" i="19"/>
  <c r="AH95" i="19"/>
  <c r="AJ95" i="19"/>
  <c r="Z100" i="19"/>
  <c r="AB100" i="19"/>
  <c r="AD100" i="19"/>
  <c r="AE100" i="19"/>
  <c r="AH100" i="19"/>
  <c r="AJ100" i="19"/>
  <c r="Z101" i="19"/>
  <c r="AB101" i="19"/>
  <c r="AD101" i="19"/>
  <c r="AE101" i="19"/>
  <c r="AH101" i="19"/>
  <c r="AJ101" i="19"/>
  <c r="Z102" i="19"/>
  <c r="AB102" i="19"/>
  <c r="AD102" i="19"/>
  <c r="AE102" i="19"/>
  <c r="AH102" i="19"/>
  <c r="AJ102" i="19"/>
  <c r="Z103" i="19"/>
  <c r="AB103" i="19"/>
  <c r="AD103" i="19"/>
  <c r="AE103" i="19"/>
  <c r="AH103" i="19"/>
  <c r="AJ103" i="19"/>
  <c r="Z104" i="19"/>
  <c r="AB104" i="19"/>
  <c r="AD104" i="19"/>
  <c r="AE104" i="19"/>
  <c r="AH104" i="19"/>
  <c r="AJ104" i="19"/>
  <c r="Z105" i="19"/>
  <c r="AB105" i="19"/>
  <c r="AD105" i="19"/>
  <c r="AE105" i="19"/>
  <c r="AH105" i="19"/>
  <c r="AJ105" i="19"/>
  <c r="D111" i="19"/>
  <c r="E111" i="19"/>
  <c r="F111" i="19"/>
  <c r="G111" i="19"/>
  <c r="F485" i="15"/>
  <c r="H111" i="19"/>
  <c r="G485" i="15"/>
  <c r="I111" i="19"/>
  <c r="J111" i="19"/>
  <c r="K111" i="19"/>
  <c r="S112" i="19"/>
  <c r="S113" i="19"/>
  <c r="S114" i="19"/>
  <c r="U114" i="19"/>
  <c r="T116" i="19"/>
  <c r="T117" i="19"/>
  <c r="U117" i="19"/>
  <c r="W112" i="19"/>
  <c r="W113" i="19"/>
  <c r="Y113" i="19"/>
  <c r="W114" i="19"/>
  <c r="X116" i="19"/>
  <c r="X117" i="19"/>
  <c r="Y117" i="19"/>
  <c r="Z117" i="19"/>
  <c r="AA111" i="19"/>
  <c r="Z485" i="15"/>
  <c r="AB112" i="19"/>
  <c r="AC112" i="19"/>
  <c r="AB113" i="19"/>
  <c r="AB114" i="19"/>
  <c r="AC114" i="19"/>
  <c r="AE114" i="19"/>
  <c r="AB115" i="19"/>
  <c r="AC115" i="19"/>
  <c r="AE115" i="19"/>
  <c r="AB116" i="19"/>
  <c r="AC116" i="19"/>
  <c r="AD116" i="19"/>
  <c r="AB117" i="19"/>
  <c r="AC117" i="19"/>
  <c r="AF111" i="19"/>
  <c r="AD485" i="15"/>
  <c r="AG111" i="19"/>
  <c r="AH112" i="19"/>
  <c r="AI112" i="19"/>
  <c r="AH113" i="19"/>
  <c r="AI113" i="19"/>
  <c r="AH114" i="19"/>
  <c r="AH116" i="19"/>
  <c r="AH117" i="19"/>
  <c r="AI117" i="19"/>
  <c r="AJ117" i="19"/>
  <c r="AK111" i="19"/>
  <c r="BL111" i="19"/>
  <c r="BM111" i="19"/>
  <c r="BN111" i="19"/>
  <c r="BP485" i="15"/>
  <c r="BO111" i="19"/>
  <c r="BQ485" i="15"/>
  <c r="D118" i="19"/>
  <c r="E118" i="19"/>
  <c r="F118" i="19"/>
  <c r="G118" i="19"/>
  <c r="H118" i="19"/>
  <c r="G486" i="15"/>
  <c r="I118" i="19"/>
  <c r="H486" i="15"/>
  <c r="J118" i="19"/>
  <c r="I486" i="15"/>
  <c r="K118" i="19"/>
  <c r="S119" i="19"/>
  <c r="U119" i="19"/>
  <c r="S120" i="19"/>
  <c r="S121" i="19"/>
  <c r="T122" i="19"/>
  <c r="U122" i="19"/>
  <c r="V122" i="19"/>
  <c r="W119" i="19"/>
  <c r="W120" i="19"/>
  <c r="W121" i="19"/>
  <c r="Y121" i="19"/>
  <c r="X122" i="19"/>
  <c r="X118" i="19"/>
  <c r="W486" i="15"/>
  <c r="AA118" i="19"/>
  <c r="AB119" i="19"/>
  <c r="AB120" i="19"/>
  <c r="AB121" i="19"/>
  <c r="AC121" i="19"/>
  <c r="AB122" i="19"/>
  <c r="AC122" i="19"/>
  <c r="AF118" i="19"/>
  <c r="AD486" i="15"/>
  <c r="AG118" i="19"/>
  <c r="AH119" i="19"/>
  <c r="AI119" i="19"/>
  <c r="AJ119" i="19"/>
  <c r="AH120" i="19"/>
  <c r="AI120" i="19"/>
  <c r="AH121" i="19"/>
  <c r="AH122" i="19"/>
  <c r="AK118" i="19"/>
  <c r="BL118" i="19"/>
  <c r="BM118" i="19"/>
  <c r="BN118" i="19"/>
  <c r="BO118" i="19"/>
  <c r="BQ486" i="15"/>
  <c r="D123" i="19"/>
  <c r="E123" i="19"/>
  <c r="F123" i="19"/>
  <c r="K123" i="19"/>
  <c r="J487" i="15"/>
  <c r="S123" i="19"/>
  <c r="R487" i="15"/>
  <c r="W123" i="19"/>
  <c r="V487" i="15"/>
  <c r="V510" i="15"/>
  <c r="BM123" i="19"/>
  <c r="AA123" i="19"/>
  <c r="Z487" i="15"/>
  <c r="Z510" i="15"/>
  <c r="BN123" i="19"/>
  <c r="BP487" i="15"/>
  <c r="AF123" i="19"/>
  <c r="AD487" i="15"/>
  <c r="AG123" i="19"/>
  <c r="D124" i="19"/>
  <c r="E124" i="19"/>
  <c r="F124" i="19"/>
  <c r="G124" i="19"/>
  <c r="F488" i="15"/>
  <c r="H124" i="19"/>
  <c r="G488" i="15"/>
  <c r="K124" i="19"/>
  <c r="J488" i="15"/>
  <c r="S124" i="19"/>
  <c r="BL124" i="19"/>
  <c r="W124" i="19"/>
  <c r="V488" i="15"/>
  <c r="BM124" i="19"/>
  <c r="BM128" i="19"/>
  <c r="AA124" i="19"/>
  <c r="Z488" i="15"/>
  <c r="BN124" i="19"/>
  <c r="AF124" i="19"/>
  <c r="AG124" i="19"/>
  <c r="BO124" i="19"/>
  <c r="BQ488" i="15"/>
  <c r="S125" i="19"/>
  <c r="U125" i="19"/>
  <c r="T489" i="15"/>
  <c r="W125" i="19"/>
  <c r="AB125" i="19"/>
  <c r="AA489" i="15"/>
  <c r="AH125" i="19"/>
  <c r="AE489" i="15"/>
  <c r="S8" i="15"/>
  <c r="W8" i="15"/>
  <c r="AA8" i="15"/>
  <c r="AE8" i="15"/>
  <c r="BI8" i="15"/>
  <c r="C9" i="15"/>
  <c r="C389" i="15"/>
  <c r="D9" i="15"/>
  <c r="D325" i="15"/>
  <c r="E9" i="15"/>
  <c r="E325" i="15"/>
  <c r="F9" i="15"/>
  <c r="F325" i="15"/>
  <c r="H9" i="15"/>
  <c r="H325" i="15"/>
  <c r="I9" i="15"/>
  <c r="I325" i="15"/>
  <c r="J9" i="15"/>
  <c r="J325" i="15"/>
  <c r="R9" i="15"/>
  <c r="V9" i="15"/>
  <c r="V325" i="15"/>
  <c r="Z9" i="15"/>
  <c r="AD9" i="15"/>
  <c r="AH9" i="15"/>
  <c r="BH9" i="15"/>
  <c r="BL9" i="15"/>
  <c r="BL325" i="15"/>
  <c r="BN9" i="15"/>
  <c r="BN493" i="15"/>
  <c r="BO9" i="15"/>
  <c r="BP9" i="15"/>
  <c r="BP493" i="15"/>
  <c r="BQ9" i="15"/>
  <c r="BQ493" i="15"/>
  <c r="BY9" i="15"/>
  <c r="S11" i="15"/>
  <c r="W11" i="15"/>
  <c r="AA11" i="15"/>
  <c r="AE11" i="15"/>
  <c r="BI11" i="15"/>
  <c r="C12" i="15"/>
  <c r="D12" i="15"/>
  <c r="E12" i="15"/>
  <c r="F12" i="15"/>
  <c r="F18" i="15"/>
  <c r="G12" i="15"/>
  <c r="G13" i="15"/>
  <c r="H12" i="15"/>
  <c r="H13" i="15"/>
  <c r="I12" i="15"/>
  <c r="J12" i="15"/>
  <c r="J18" i="15"/>
  <c r="R12" i="15"/>
  <c r="R13" i="15"/>
  <c r="V12" i="15"/>
  <c r="V13" i="15"/>
  <c r="Z12" i="15"/>
  <c r="Z13" i="15"/>
  <c r="AD12" i="15"/>
  <c r="AH12" i="15"/>
  <c r="BH12" i="15"/>
  <c r="BL12" i="15"/>
  <c r="BN12" i="15"/>
  <c r="BO12" i="15"/>
  <c r="BP12" i="15"/>
  <c r="BQ12" i="15"/>
  <c r="BY12" i="15"/>
  <c r="BY18" i="15"/>
  <c r="C14" i="15"/>
  <c r="D14" i="15"/>
  <c r="E14" i="15"/>
  <c r="E58" i="15"/>
  <c r="R14" i="15"/>
  <c r="R77" i="15"/>
  <c r="BN14" i="15"/>
  <c r="V14" i="15"/>
  <c r="BO14" i="15"/>
  <c r="AA14" i="15"/>
  <c r="AE14" i="15"/>
  <c r="BI14" i="15"/>
  <c r="S15" i="15"/>
  <c r="W15" i="15"/>
  <c r="AA15" i="15"/>
  <c r="AE15" i="15"/>
  <c r="BI15" i="15"/>
  <c r="BJ15" i="15"/>
  <c r="S16" i="15"/>
  <c r="W16" i="15"/>
  <c r="AA16" i="15"/>
  <c r="AE16" i="15"/>
  <c r="BI16" i="15"/>
  <c r="S17" i="15"/>
  <c r="W17" i="15"/>
  <c r="AA17" i="15"/>
  <c r="AB17" i="15"/>
  <c r="AE17" i="15"/>
  <c r="BI17" i="15"/>
  <c r="S19" i="15"/>
  <c r="T19" i="15"/>
  <c r="W19" i="15"/>
  <c r="X19" i="15"/>
  <c r="Y19" i="15"/>
  <c r="AA19" i="15"/>
  <c r="AB19" i="15"/>
  <c r="BK19" i="15"/>
  <c r="AE19" i="15"/>
  <c r="BI19" i="15"/>
  <c r="BJ19" i="15"/>
  <c r="S20" i="15"/>
  <c r="T20" i="15"/>
  <c r="U20" i="15"/>
  <c r="W20" i="15"/>
  <c r="AA20" i="15"/>
  <c r="AB20" i="15"/>
  <c r="AE20" i="15"/>
  <c r="AF20" i="15"/>
  <c r="AG20" i="15"/>
  <c r="BI20" i="15"/>
  <c r="BJ20" i="15"/>
  <c r="C84" i="15"/>
  <c r="D21" i="15"/>
  <c r="D84" i="15"/>
  <c r="E21" i="15"/>
  <c r="E84" i="15"/>
  <c r="F21" i="15"/>
  <c r="F84" i="15"/>
  <c r="G21" i="15"/>
  <c r="G84" i="15"/>
  <c r="H21" i="15"/>
  <c r="I21" i="15"/>
  <c r="J21" i="15"/>
  <c r="J84" i="15"/>
  <c r="R21" i="15"/>
  <c r="R84" i="15"/>
  <c r="BN21" i="15"/>
  <c r="V21" i="15"/>
  <c r="V84" i="15"/>
  <c r="BO21" i="15"/>
  <c r="BO84" i="15"/>
  <c r="Z21" i="15"/>
  <c r="BP21" i="15"/>
  <c r="AD21" i="15"/>
  <c r="BQ21" i="15"/>
  <c r="BQ84" i="15"/>
  <c r="AH21" i="15"/>
  <c r="AH84" i="15"/>
  <c r="BH21" i="15"/>
  <c r="BY21" i="15"/>
  <c r="BL21" i="15"/>
  <c r="BL84" i="15"/>
  <c r="S23" i="15"/>
  <c r="W23" i="15"/>
  <c r="X23" i="15"/>
  <c r="AA23" i="15"/>
  <c r="AB23" i="15"/>
  <c r="AE23" i="15"/>
  <c r="AF23" i="15"/>
  <c r="AG23" i="15"/>
  <c r="BI23" i="15"/>
  <c r="T25" i="15"/>
  <c r="U25" i="15"/>
  <c r="W25" i="15"/>
  <c r="X25" i="15"/>
  <c r="Y25" i="15"/>
  <c r="Z25" i="15"/>
  <c r="AA25" i="15"/>
  <c r="CC26" i="15"/>
  <c r="CD26" i="15"/>
  <c r="CD73" i="15"/>
  <c r="CE26" i="15"/>
  <c r="CE73" i="15"/>
  <c r="G28" i="15"/>
  <c r="H28" i="15"/>
  <c r="I28" i="15"/>
  <c r="J28" i="15"/>
  <c r="Z28" i="15"/>
  <c r="AA28" i="15"/>
  <c r="AB28" i="15"/>
  <c r="AC28" i="15"/>
  <c r="AD28" i="15"/>
  <c r="AE28" i="15"/>
  <c r="AF28" i="15"/>
  <c r="AG28" i="15"/>
  <c r="AH28" i="15"/>
  <c r="BH28" i="15"/>
  <c r="BI28" i="15"/>
  <c r="BJ28" i="15"/>
  <c r="BK28" i="15"/>
  <c r="BL28" i="15"/>
  <c r="BP28" i="15"/>
  <c r="BQ28" i="15"/>
  <c r="BY28" i="15"/>
  <c r="S29" i="15"/>
  <c r="W29" i="15"/>
  <c r="AA29" i="15"/>
  <c r="AE29" i="15"/>
  <c r="BI29" i="15"/>
  <c r="S30" i="15"/>
  <c r="T30" i="15"/>
  <c r="U30" i="15"/>
  <c r="W30" i="15"/>
  <c r="AA30" i="15"/>
  <c r="AB30" i="15"/>
  <c r="AE30" i="15"/>
  <c r="AF30" i="15"/>
  <c r="BI30" i="15"/>
  <c r="BJ30" i="15"/>
  <c r="C31" i="15"/>
  <c r="D31" i="15"/>
  <c r="D519" i="15"/>
  <c r="E31" i="15"/>
  <c r="F31" i="15"/>
  <c r="G31" i="15"/>
  <c r="G519" i="15"/>
  <c r="H31" i="15"/>
  <c r="I31" i="15"/>
  <c r="I519" i="15"/>
  <c r="J31" i="15"/>
  <c r="R31" i="15"/>
  <c r="R519" i="15"/>
  <c r="V31" i="15"/>
  <c r="Z31" i="15"/>
  <c r="Z519" i="15"/>
  <c r="AD31" i="15"/>
  <c r="AH31" i="15"/>
  <c r="AH519" i="15"/>
  <c r="BH31" i="15"/>
  <c r="BL31" i="15"/>
  <c r="BN31" i="15"/>
  <c r="BO31" i="15"/>
  <c r="BP31" i="15"/>
  <c r="BQ31" i="15"/>
  <c r="BY31" i="15"/>
  <c r="CC31" i="15"/>
  <c r="S32" i="15"/>
  <c r="W32" i="15"/>
  <c r="AA32" i="15"/>
  <c r="AB32" i="15"/>
  <c r="AE32" i="15"/>
  <c r="BI32" i="15"/>
  <c r="S33" i="15"/>
  <c r="W33" i="15"/>
  <c r="AA33" i="15"/>
  <c r="AE33" i="15"/>
  <c r="BI33" i="15"/>
  <c r="C34" i="15"/>
  <c r="C520" i="15"/>
  <c r="D34" i="15"/>
  <c r="E34" i="15"/>
  <c r="F34" i="15"/>
  <c r="G34" i="15"/>
  <c r="H34" i="15"/>
  <c r="I34" i="15"/>
  <c r="J34" i="15"/>
  <c r="J520" i="15"/>
  <c r="R34" i="15"/>
  <c r="V34" i="15"/>
  <c r="Z34" i="15"/>
  <c r="AD34" i="15"/>
  <c r="AH34" i="15"/>
  <c r="BH34" i="15"/>
  <c r="BL34" i="15"/>
  <c r="BN34" i="15"/>
  <c r="BN520" i="15"/>
  <c r="BO34" i="15"/>
  <c r="BO520" i="15"/>
  <c r="BP34" i="15"/>
  <c r="BP520" i="15"/>
  <c r="BQ34" i="15"/>
  <c r="BY34" i="15"/>
  <c r="CC34" i="15"/>
  <c r="S35" i="15"/>
  <c r="W35" i="15"/>
  <c r="AA35" i="15"/>
  <c r="AA522" i="15"/>
  <c r="AE35" i="15"/>
  <c r="BI35" i="15"/>
  <c r="BJ35" i="15"/>
  <c r="S36" i="15"/>
  <c r="W36" i="15"/>
  <c r="AA36" i="15"/>
  <c r="AE36" i="15"/>
  <c r="BI36" i="15"/>
  <c r="BJ36" i="15"/>
  <c r="S37" i="15"/>
  <c r="W37" i="15"/>
  <c r="AA37" i="15"/>
  <c r="AE37" i="15"/>
  <c r="BI37" i="15"/>
  <c r="BJ37" i="15"/>
  <c r="S38" i="15"/>
  <c r="W38" i="15"/>
  <c r="AA38" i="15"/>
  <c r="AE38" i="15"/>
  <c r="BI38" i="15"/>
  <c r="BJ38" i="15"/>
  <c r="S40" i="15"/>
  <c r="W40" i="15"/>
  <c r="AA40" i="15"/>
  <c r="AE40" i="15"/>
  <c r="BI40" i="15"/>
  <c r="S41" i="15"/>
  <c r="W41" i="15"/>
  <c r="AA41" i="15"/>
  <c r="AE41" i="15"/>
  <c r="BI41" i="15"/>
  <c r="S42" i="15"/>
  <c r="T42" i="15"/>
  <c r="U42" i="15"/>
  <c r="W42" i="15"/>
  <c r="X42" i="15"/>
  <c r="AA42" i="15"/>
  <c r="AE42" i="15"/>
  <c r="AE120" i="15"/>
  <c r="BI42" i="15"/>
  <c r="S43" i="15"/>
  <c r="T43" i="15"/>
  <c r="W43" i="15"/>
  <c r="X43" i="15"/>
  <c r="Y43" i="15"/>
  <c r="AA43" i="15"/>
  <c r="AB43" i="15"/>
  <c r="AE43" i="15"/>
  <c r="BI43" i="15"/>
  <c r="BJ43" i="15"/>
  <c r="C44" i="15"/>
  <c r="D44" i="15"/>
  <c r="E44" i="15"/>
  <c r="F44" i="15"/>
  <c r="G44" i="15"/>
  <c r="H44" i="15"/>
  <c r="I44" i="15"/>
  <c r="J44" i="15"/>
  <c r="R44" i="15"/>
  <c r="V44" i="15"/>
  <c r="Z44" i="15"/>
  <c r="AD44" i="15"/>
  <c r="AH44" i="15"/>
  <c r="BH44" i="15"/>
  <c r="BL44" i="15"/>
  <c r="BN44" i="15"/>
  <c r="BO44" i="15"/>
  <c r="BP44" i="15"/>
  <c r="BQ44" i="15"/>
  <c r="BY44" i="15"/>
  <c r="CC44" i="15"/>
  <c r="S46" i="15"/>
  <c r="T46" i="15"/>
  <c r="W46" i="15"/>
  <c r="X46" i="15"/>
  <c r="Y46" i="15"/>
  <c r="AA46" i="15"/>
  <c r="AB46" i="15"/>
  <c r="AE46" i="15"/>
  <c r="AF46" i="15"/>
  <c r="AG46" i="15"/>
  <c r="BI46" i="15"/>
  <c r="BJ46" i="15"/>
  <c r="S48" i="15"/>
  <c r="T48" i="15"/>
  <c r="U48" i="15"/>
  <c r="W48" i="15"/>
  <c r="X48" i="15"/>
  <c r="AA48" i="15"/>
  <c r="AB48" i="15"/>
  <c r="AE48" i="15"/>
  <c r="AF48" i="15"/>
  <c r="BI48" i="15"/>
  <c r="G51" i="15"/>
  <c r="H51" i="15"/>
  <c r="I51" i="15"/>
  <c r="J51" i="15"/>
  <c r="Z51" i="15"/>
  <c r="AA51" i="15"/>
  <c r="AB51" i="15"/>
  <c r="AC51" i="15"/>
  <c r="AD51" i="15"/>
  <c r="AE51" i="15"/>
  <c r="AF51" i="15"/>
  <c r="AG51" i="15"/>
  <c r="AH51" i="15"/>
  <c r="BH51" i="15"/>
  <c r="BI51" i="15"/>
  <c r="BJ51" i="15"/>
  <c r="BK51" i="15"/>
  <c r="BL51" i="15"/>
  <c r="BP51" i="15"/>
  <c r="BQ51" i="15"/>
  <c r="BY51" i="15"/>
  <c r="C52" i="15"/>
  <c r="D52" i="15"/>
  <c r="E52" i="15"/>
  <c r="F52" i="15"/>
  <c r="G52" i="15"/>
  <c r="H52" i="15"/>
  <c r="I52" i="15"/>
  <c r="J52" i="15"/>
  <c r="R52" i="15"/>
  <c r="BN52" i="15"/>
  <c r="V52" i="15"/>
  <c r="BO52" i="15"/>
  <c r="Z52" i="15"/>
  <c r="BP52" i="15"/>
  <c r="AD52" i="15"/>
  <c r="BQ52" i="15"/>
  <c r="AH52" i="15"/>
  <c r="BH52" i="15"/>
  <c r="BL52" i="15"/>
  <c r="BY52" i="15"/>
  <c r="C53" i="15"/>
  <c r="D53" i="15"/>
  <c r="E53" i="15"/>
  <c r="F53" i="15"/>
  <c r="G53" i="15"/>
  <c r="H53" i="15"/>
  <c r="H54" i="15" s="1"/>
  <c r="I53" i="15"/>
  <c r="J53" i="15"/>
  <c r="R53" i="15"/>
  <c r="BN53" i="15"/>
  <c r="BN54" i="15"/>
  <c r="V53" i="15"/>
  <c r="BO53" i="15"/>
  <c r="Z53" i="15"/>
  <c r="BP53" i="15"/>
  <c r="AD53" i="15"/>
  <c r="BQ53" i="15"/>
  <c r="AH53" i="15"/>
  <c r="BH53" i="15"/>
  <c r="BL53" i="15"/>
  <c r="BY53" i="15"/>
  <c r="C55" i="15"/>
  <c r="D55" i="15"/>
  <c r="E55" i="15"/>
  <c r="F55" i="15"/>
  <c r="G55" i="15"/>
  <c r="H55" i="15"/>
  <c r="I55" i="15"/>
  <c r="J55" i="15"/>
  <c r="R55" i="15"/>
  <c r="BN55" i="15"/>
  <c r="V55" i="15"/>
  <c r="BO55" i="15"/>
  <c r="Z55" i="15"/>
  <c r="BP55" i="15"/>
  <c r="AD55" i="15"/>
  <c r="BQ55" i="15"/>
  <c r="AH55" i="15"/>
  <c r="BH55" i="15"/>
  <c r="BL55" i="15"/>
  <c r="BY55" i="15"/>
  <c r="C56" i="15"/>
  <c r="D56" i="15"/>
  <c r="E56" i="15"/>
  <c r="F56" i="15"/>
  <c r="G56" i="15"/>
  <c r="H56" i="15"/>
  <c r="I56" i="15"/>
  <c r="J56" i="15"/>
  <c r="R56" i="15"/>
  <c r="BN56" i="15"/>
  <c r="V56" i="15"/>
  <c r="BO56" i="15"/>
  <c r="Z56" i="15"/>
  <c r="BP56" i="15"/>
  <c r="AD56" i="15"/>
  <c r="BQ56" i="15"/>
  <c r="AH56" i="15"/>
  <c r="BH56" i="15"/>
  <c r="BL56" i="15"/>
  <c r="BY56" i="15"/>
  <c r="F58" i="15"/>
  <c r="G58" i="15"/>
  <c r="H58" i="15"/>
  <c r="I58" i="15"/>
  <c r="J58" i="15"/>
  <c r="Z58" i="15"/>
  <c r="BP58" i="15"/>
  <c r="AD58" i="15"/>
  <c r="BQ58" i="15"/>
  <c r="AH58" i="15"/>
  <c r="AI58" i="15"/>
  <c r="BH58" i="15"/>
  <c r="BL58" i="15"/>
  <c r="BY58" i="15"/>
  <c r="C60" i="15"/>
  <c r="D60" i="15"/>
  <c r="E60" i="15"/>
  <c r="F104" i="15"/>
  <c r="G104" i="15"/>
  <c r="G60" i="15"/>
  <c r="H104" i="15"/>
  <c r="I104" i="15"/>
  <c r="J104" i="15"/>
  <c r="R60" i="15"/>
  <c r="BN60" i="15"/>
  <c r="S104" i="15"/>
  <c r="V60" i="15"/>
  <c r="BO60" i="15"/>
  <c r="W104" i="15"/>
  <c r="Z60" i="15"/>
  <c r="BP60" i="15"/>
  <c r="AA60" i="15" s="1"/>
  <c r="AA104" i="15"/>
  <c r="AB104" i="15"/>
  <c r="AD104" i="15"/>
  <c r="BQ104" i="15"/>
  <c r="AH104" i="15"/>
  <c r="BH104" i="15"/>
  <c r="BY104" i="15"/>
  <c r="BL104" i="15"/>
  <c r="BL89" i="15"/>
  <c r="C62" i="15"/>
  <c r="C66" i="15"/>
  <c r="D62" i="15"/>
  <c r="D66" i="15"/>
  <c r="E62" i="15"/>
  <c r="E66" i="15"/>
  <c r="F62" i="15"/>
  <c r="F66" i="15"/>
  <c r="G62" i="15"/>
  <c r="G66" i="15"/>
  <c r="H62" i="15"/>
  <c r="H66" i="15"/>
  <c r="I62" i="15"/>
  <c r="I66" i="15"/>
  <c r="J62" i="15"/>
  <c r="J66" i="15"/>
  <c r="R62" i="15"/>
  <c r="BN62" i="15"/>
  <c r="BN66" i="15"/>
  <c r="V62" i="15"/>
  <c r="BO62" i="15"/>
  <c r="Z62" i="15"/>
  <c r="Z66" i="15"/>
  <c r="BP62" i="15"/>
  <c r="AD62" i="15"/>
  <c r="BQ62" i="15"/>
  <c r="BQ66" i="15"/>
  <c r="AH62" i="15"/>
  <c r="AH66" i="15"/>
  <c r="BH62" i="15"/>
  <c r="BH66" i="15"/>
  <c r="BL62" i="15"/>
  <c r="BL66" i="15"/>
  <c r="BY62" i="15"/>
  <c r="BY66" i="15"/>
  <c r="S63" i="15"/>
  <c r="U63" i="15"/>
  <c r="W63" i="15"/>
  <c r="Y63" i="15"/>
  <c r="AA63" i="15"/>
  <c r="AE63" i="15"/>
  <c r="AG63" i="15"/>
  <c r="BI63" i="15"/>
  <c r="S64" i="15"/>
  <c r="U64" i="15"/>
  <c r="W64" i="15"/>
  <c r="Y64" i="15"/>
  <c r="AA64" i="15"/>
  <c r="AE64" i="15"/>
  <c r="AG64" i="15"/>
  <c r="BI64" i="15"/>
  <c r="S65" i="15"/>
  <c r="U65" i="15"/>
  <c r="W65" i="15"/>
  <c r="Y65" i="15"/>
  <c r="AA65" i="15"/>
  <c r="AC65" i="15"/>
  <c r="AE65" i="15"/>
  <c r="AG65" i="15"/>
  <c r="BI65" i="15"/>
  <c r="C68" i="15"/>
  <c r="D68" i="15"/>
  <c r="E68" i="15"/>
  <c r="F68" i="15"/>
  <c r="G68" i="15"/>
  <c r="H68" i="15"/>
  <c r="I68" i="15"/>
  <c r="J68" i="15"/>
  <c r="R68" i="15"/>
  <c r="BN68" i="15"/>
  <c r="V68" i="15"/>
  <c r="BO68" i="15"/>
  <c r="Z68" i="15"/>
  <c r="BP68" i="15"/>
  <c r="AD68" i="15"/>
  <c r="BQ68" i="15"/>
  <c r="AH68" i="15"/>
  <c r="BH68" i="15"/>
  <c r="BL68" i="15"/>
  <c r="BY68" i="15"/>
  <c r="S70" i="15"/>
  <c r="U70" i="15"/>
  <c r="W70" i="15"/>
  <c r="Y70" i="15"/>
  <c r="AA70" i="15"/>
  <c r="AC70" i="15"/>
  <c r="AE70" i="15"/>
  <c r="AG70" i="15"/>
  <c r="BI70" i="15"/>
  <c r="B76" i="15"/>
  <c r="B92" i="15"/>
  <c r="C76" i="15"/>
  <c r="D76" i="15"/>
  <c r="E76" i="15"/>
  <c r="F76" i="15"/>
  <c r="G76" i="15"/>
  <c r="H76" i="15"/>
  <c r="I76" i="15"/>
  <c r="J76" i="15"/>
  <c r="R76" i="15"/>
  <c r="V76" i="15"/>
  <c r="Z76" i="15"/>
  <c r="AD76" i="15"/>
  <c r="AH76" i="15"/>
  <c r="BH76" i="15"/>
  <c r="BL76" i="15"/>
  <c r="BN76" i="15"/>
  <c r="BO76" i="15"/>
  <c r="BP76" i="15"/>
  <c r="BQ76" i="15"/>
  <c r="BY76" i="15"/>
  <c r="B77" i="15"/>
  <c r="F77" i="15"/>
  <c r="G77" i="15"/>
  <c r="H77" i="15"/>
  <c r="I77" i="15"/>
  <c r="J77" i="15"/>
  <c r="Z77" i="15"/>
  <c r="AD77" i="15"/>
  <c r="AH77" i="15"/>
  <c r="BH77" i="15"/>
  <c r="BL77" i="15"/>
  <c r="BP77" i="15"/>
  <c r="BQ77" i="15"/>
  <c r="BY77" i="15"/>
  <c r="B78" i="15"/>
  <c r="C78" i="15"/>
  <c r="D78" i="15"/>
  <c r="E78" i="15"/>
  <c r="F78" i="15"/>
  <c r="G78" i="15"/>
  <c r="H78" i="15"/>
  <c r="I78" i="15"/>
  <c r="J78" i="15"/>
  <c r="R78" i="15"/>
  <c r="V78" i="15"/>
  <c r="Z78" i="15"/>
  <c r="AD78" i="15"/>
  <c r="AH78" i="15"/>
  <c r="BH78" i="15"/>
  <c r="BL78" i="15"/>
  <c r="BN78" i="15"/>
  <c r="BO78" i="15"/>
  <c r="BP78" i="15"/>
  <c r="BQ78" i="15"/>
  <c r="BY78" i="15"/>
  <c r="B79" i="15"/>
  <c r="C79" i="15"/>
  <c r="D79" i="15"/>
  <c r="E79" i="15"/>
  <c r="F79" i="15"/>
  <c r="G79" i="15"/>
  <c r="H79" i="15"/>
  <c r="I79" i="15"/>
  <c r="J79" i="15"/>
  <c r="R79" i="15"/>
  <c r="V79" i="15"/>
  <c r="Z79" i="15"/>
  <c r="AD79" i="15"/>
  <c r="AH79" i="15"/>
  <c r="BH79" i="15"/>
  <c r="BL79" i="15"/>
  <c r="BN79" i="15"/>
  <c r="BO79" i="15"/>
  <c r="BP79" i="15"/>
  <c r="BQ79" i="15"/>
  <c r="BY79" i="15"/>
  <c r="B80" i="15"/>
  <c r="C80" i="15"/>
  <c r="D80" i="15"/>
  <c r="E80" i="15"/>
  <c r="F80" i="15"/>
  <c r="G80" i="15"/>
  <c r="H80" i="15"/>
  <c r="I80" i="15"/>
  <c r="J80" i="15"/>
  <c r="R80" i="15"/>
  <c r="V80" i="15"/>
  <c r="Z80" i="15"/>
  <c r="AD80" i="15"/>
  <c r="AH80" i="15"/>
  <c r="BH80" i="15"/>
  <c r="BL80" i="15"/>
  <c r="BN80" i="15"/>
  <c r="BO80" i="15"/>
  <c r="BP80" i="15"/>
  <c r="BQ80" i="15"/>
  <c r="BY80" i="15"/>
  <c r="B81" i="15"/>
  <c r="C82" i="15"/>
  <c r="D82" i="15"/>
  <c r="E82" i="15"/>
  <c r="F82" i="15"/>
  <c r="G82" i="15"/>
  <c r="H82" i="15"/>
  <c r="I82" i="15"/>
  <c r="J82" i="15"/>
  <c r="U154" i="15"/>
  <c r="W154" i="15"/>
  <c r="Y154" i="15"/>
  <c r="Y355" i="15"/>
  <c r="AA154" i="15"/>
  <c r="AC154" i="15"/>
  <c r="AC355" i="15"/>
  <c r="AD82" i="15"/>
  <c r="AE154" i="15"/>
  <c r="AG154" i="15"/>
  <c r="BK154" i="15"/>
  <c r="BN82" i="15"/>
  <c r="BO82" i="15"/>
  <c r="BP82" i="15"/>
  <c r="BQ82" i="15"/>
  <c r="BY154" i="15"/>
  <c r="BY82" i="15"/>
  <c r="C248" i="15"/>
  <c r="C247" i="15"/>
  <c r="D248" i="15"/>
  <c r="E248" i="15"/>
  <c r="F248" i="15"/>
  <c r="Y248" i="15"/>
  <c r="G248" i="15"/>
  <c r="G247" i="15"/>
  <c r="H248" i="15"/>
  <c r="I248" i="15"/>
  <c r="I247" i="15"/>
  <c r="J247" i="15"/>
  <c r="J248" i="15"/>
  <c r="AG248" i="15"/>
  <c r="V248" i="15"/>
  <c r="V247" i="15"/>
  <c r="V255" i="15"/>
  <c r="X248" i="15"/>
  <c r="X247" i="15"/>
  <c r="X255" i="15"/>
  <c r="Z248" i="15"/>
  <c r="Z247" i="15"/>
  <c r="BP248" i="15"/>
  <c r="AB248" i="15"/>
  <c r="AB247" i="15"/>
  <c r="AD247" i="15"/>
  <c r="AD255" i="15"/>
  <c r="AD358" i="15"/>
  <c r="BQ247" i="15"/>
  <c r="BQ248" i="15"/>
  <c r="AE248" i="15"/>
  <c r="AF247" i="15"/>
  <c r="AF248" i="15"/>
  <c r="AH247" i="15"/>
  <c r="BL247" i="15"/>
  <c r="B84" i="15"/>
  <c r="B85" i="15"/>
  <c r="C139" i="15"/>
  <c r="D139" i="15"/>
  <c r="E139" i="15"/>
  <c r="E340" i="15"/>
  <c r="F139" i="15"/>
  <c r="G139" i="15"/>
  <c r="H139" i="15"/>
  <c r="I139" i="15"/>
  <c r="J139" i="15"/>
  <c r="J88" i="15"/>
  <c r="R139" i="15"/>
  <c r="V139" i="15"/>
  <c r="BO139" i="15"/>
  <c r="Z139" i="15"/>
  <c r="BP139" i="15"/>
  <c r="BP88" i="15"/>
  <c r="AD139" i="15"/>
  <c r="BQ139" i="15"/>
  <c r="AH139" i="15"/>
  <c r="BH139" i="15"/>
  <c r="BY139" i="15"/>
  <c r="BL139" i="15"/>
  <c r="C89" i="15"/>
  <c r="D89" i="15"/>
  <c r="E89" i="15"/>
  <c r="R89" i="15"/>
  <c r="V89" i="15"/>
  <c r="Z89" i="15"/>
  <c r="BN89" i="15"/>
  <c r="BO89" i="15"/>
  <c r="BP89" i="15"/>
  <c r="C548" i="15"/>
  <c r="C92" i="15"/>
  <c r="D548" i="15"/>
  <c r="D92" i="15"/>
  <c r="E548" i="15"/>
  <c r="F548" i="15"/>
  <c r="G548" i="15"/>
  <c r="H548" i="15"/>
  <c r="H92" i="15"/>
  <c r="I548" i="15"/>
  <c r="J548" i="15"/>
  <c r="J92" i="15"/>
  <c r="R548" i="15"/>
  <c r="R92" i="15"/>
  <c r="V548" i="15"/>
  <c r="V92" i="15"/>
  <c r="Z548" i="15"/>
  <c r="Z92" i="15"/>
  <c r="AD548" i="15"/>
  <c r="AH548" i="15"/>
  <c r="AH92" i="15"/>
  <c r="BH92" i="15"/>
  <c r="BL92" i="15"/>
  <c r="BN548" i="15"/>
  <c r="BN92" i="15"/>
  <c r="BO548" i="15"/>
  <c r="BP548" i="15"/>
  <c r="BP92" i="15"/>
  <c r="BQ548" i="15"/>
  <c r="BY92" i="15"/>
  <c r="B93" i="15"/>
  <c r="C93" i="15"/>
  <c r="D93" i="15"/>
  <c r="E93" i="15"/>
  <c r="F93" i="15"/>
  <c r="G93" i="15"/>
  <c r="H93" i="15"/>
  <c r="I93" i="15"/>
  <c r="J93" i="15"/>
  <c r="R93" i="15"/>
  <c r="V93" i="15"/>
  <c r="Z93" i="15"/>
  <c r="AD93" i="15"/>
  <c r="AH93" i="15"/>
  <c r="BH93" i="15"/>
  <c r="BL93" i="15"/>
  <c r="BN93" i="15"/>
  <c r="BO93" i="15"/>
  <c r="BP93" i="15"/>
  <c r="BQ93" i="15"/>
  <c r="BY93" i="15"/>
  <c r="B94" i="15"/>
  <c r="C94" i="15"/>
  <c r="D94" i="15"/>
  <c r="E94" i="15"/>
  <c r="F94" i="15"/>
  <c r="G94" i="15"/>
  <c r="H94" i="15"/>
  <c r="I94" i="15"/>
  <c r="J94" i="15"/>
  <c r="R94" i="15"/>
  <c r="V94" i="15"/>
  <c r="Z94" i="15"/>
  <c r="AD94" i="15"/>
  <c r="AH94" i="15"/>
  <c r="BH94" i="15"/>
  <c r="BL94" i="15"/>
  <c r="BN94" i="15"/>
  <c r="BO94" i="15"/>
  <c r="BP94" i="15"/>
  <c r="BQ94" i="15"/>
  <c r="BY94" i="15"/>
  <c r="C95" i="15"/>
  <c r="D95" i="15"/>
  <c r="E95" i="15"/>
  <c r="F95" i="15"/>
  <c r="G95" i="15"/>
  <c r="H95" i="15"/>
  <c r="I95" i="15"/>
  <c r="J95" i="15"/>
  <c r="R95" i="15"/>
  <c r="S241" i="15"/>
  <c r="U241" i="15"/>
  <c r="V95" i="15"/>
  <c r="W241" i="15"/>
  <c r="W95" i="15"/>
  <c r="Y241" i="15"/>
  <c r="Z95" i="15"/>
  <c r="AA241" i="15"/>
  <c r="AC241" i="15"/>
  <c r="AD95" i="15"/>
  <c r="AE241" i="15"/>
  <c r="AG241" i="15"/>
  <c r="AH95" i="15"/>
  <c r="BL95" i="15"/>
  <c r="BN95" i="15"/>
  <c r="BO95" i="15"/>
  <c r="BP95" i="15"/>
  <c r="BQ95" i="15"/>
  <c r="C99" i="15"/>
  <c r="D99" i="15"/>
  <c r="E99" i="15"/>
  <c r="F99" i="15"/>
  <c r="G99" i="15"/>
  <c r="H99" i="15"/>
  <c r="I99" i="15"/>
  <c r="J99" i="15"/>
  <c r="R99" i="15"/>
  <c r="S180" i="15"/>
  <c r="T180" i="15"/>
  <c r="U180" i="15"/>
  <c r="V99" i="15"/>
  <c r="W180" i="15"/>
  <c r="Z99" i="15"/>
  <c r="AA180" i="15"/>
  <c r="AB180" i="15"/>
  <c r="AD99" i="15"/>
  <c r="AE180" i="15"/>
  <c r="AH99" i="15"/>
  <c r="BH99" i="15"/>
  <c r="BI180" i="15"/>
  <c r="BL99" i="15"/>
  <c r="BN99" i="15"/>
  <c r="BO99" i="15"/>
  <c r="BP99" i="15"/>
  <c r="BQ99" i="15"/>
  <c r="BY99" i="15"/>
  <c r="C100" i="15"/>
  <c r="D100" i="15"/>
  <c r="E100" i="15"/>
  <c r="F100" i="15"/>
  <c r="G100" i="15"/>
  <c r="H100" i="15"/>
  <c r="I100" i="15"/>
  <c r="J100" i="15"/>
  <c r="R100" i="15"/>
  <c r="S161" i="15"/>
  <c r="V100" i="15"/>
  <c r="W161" i="15"/>
  <c r="X161" i="15"/>
  <c r="Y161" i="15"/>
  <c r="Z100" i="15"/>
  <c r="AA161" i="15"/>
  <c r="AB161" i="15"/>
  <c r="AD100" i="15"/>
  <c r="AE161" i="15"/>
  <c r="AF161" i="15"/>
  <c r="AG161" i="15"/>
  <c r="AH100" i="15"/>
  <c r="BH100" i="15"/>
  <c r="BI161" i="15"/>
  <c r="BJ161" i="15"/>
  <c r="BL100" i="15"/>
  <c r="BN100" i="15"/>
  <c r="BO100" i="15"/>
  <c r="BP100" i="15"/>
  <c r="BQ100" i="15"/>
  <c r="BY100" i="15"/>
  <c r="H102" i="15"/>
  <c r="I102" i="15"/>
  <c r="J102" i="15"/>
  <c r="Z102" i="15"/>
  <c r="AA102" i="15"/>
  <c r="AB102" i="15"/>
  <c r="AC102" i="15"/>
  <c r="AD102" i="15"/>
  <c r="AE102" i="15"/>
  <c r="AF102" i="15"/>
  <c r="AG102" i="15"/>
  <c r="AH102" i="15"/>
  <c r="BH102" i="15"/>
  <c r="BI102" i="15"/>
  <c r="BJ102" i="15"/>
  <c r="BK102" i="15"/>
  <c r="BL102" i="15"/>
  <c r="BP102" i="15"/>
  <c r="BQ102" i="15"/>
  <c r="BY102" i="15"/>
  <c r="CC103" i="15"/>
  <c r="CC105" i="15"/>
  <c r="CD103" i="15"/>
  <c r="CD105" i="15"/>
  <c r="CE103" i="15"/>
  <c r="CE105" i="15"/>
  <c r="G120" i="15"/>
  <c r="H120" i="15"/>
  <c r="I120" i="15"/>
  <c r="J120" i="15"/>
  <c r="R120" i="15"/>
  <c r="U120" i="15"/>
  <c r="V120" i="15"/>
  <c r="X120" i="15"/>
  <c r="Y120" i="15"/>
  <c r="W129" i="15"/>
  <c r="AA129" i="15"/>
  <c r="AA120" i="15"/>
  <c r="AB120" i="15"/>
  <c r="AD120" i="15"/>
  <c r="AE129" i="15"/>
  <c r="AH120" i="15"/>
  <c r="BH120" i="15"/>
  <c r="BI129" i="15"/>
  <c r="BL120" i="15"/>
  <c r="BQ120" i="15"/>
  <c r="BY120" i="15"/>
  <c r="CD119" i="15"/>
  <c r="CD121" i="15"/>
  <c r="CE119" i="15"/>
  <c r="CE121" i="15"/>
  <c r="D110" i="15"/>
  <c r="D332" i="15"/>
  <c r="E110" i="15"/>
  <c r="E332" i="15"/>
  <c r="BO110" i="15"/>
  <c r="BO396" i="15"/>
  <c r="C111" i="15"/>
  <c r="C333" i="15"/>
  <c r="D111" i="15"/>
  <c r="D333" i="15"/>
  <c r="E111" i="15"/>
  <c r="E333" i="15"/>
  <c r="BN111" i="15"/>
  <c r="BO111" i="15"/>
  <c r="S112" i="15"/>
  <c r="W112" i="15"/>
  <c r="AA112" i="15"/>
  <c r="AE112" i="15"/>
  <c r="BI112" i="15"/>
  <c r="C113" i="15"/>
  <c r="C205" i="15"/>
  <c r="D113" i="15"/>
  <c r="D205" i="15"/>
  <c r="E113" i="15"/>
  <c r="E426" i="15"/>
  <c r="BN113" i="15"/>
  <c r="BO113" i="15"/>
  <c r="C114" i="15"/>
  <c r="D114" i="15"/>
  <c r="E114" i="15"/>
  <c r="F114" i="15"/>
  <c r="G114" i="15"/>
  <c r="H114" i="15"/>
  <c r="I114" i="15"/>
  <c r="J114" i="15"/>
  <c r="R114" i="15"/>
  <c r="V114" i="15"/>
  <c r="Z114" i="15"/>
  <c r="AD114" i="15"/>
  <c r="AH114" i="15"/>
  <c r="BH114" i="15"/>
  <c r="BL114" i="15"/>
  <c r="BN114" i="15"/>
  <c r="BO114" i="15"/>
  <c r="BP114" i="15"/>
  <c r="BQ114" i="15"/>
  <c r="BY114" i="15"/>
  <c r="C116" i="15"/>
  <c r="D116" i="15"/>
  <c r="E116" i="15"/>
  <c r="BN116" i="15"/>
  <c r="BO116" i="15"/>
  <c r="F118" i="15"/>
  <c r="G118" i="15"/>
  <c r="H118" i="15"/>
  <c r="I118" i="15"/>
  <c r="J118" i="15"/>
  <c r="Z118" i="15"/>
  <c r="AA118" i="15"/>
  <c r="AB118" i="15"/>
  <c r="AC118" i="15"/>
  <c r="AD118" i="15"/>
  <c r="AE118" i="15"/>
  <c r="AF118" i="15"/>
  <c r="AG118" i="15"/>
  <c r="AH118" i="15"/>
  <c r="BH118" i="15"/>
  <c r="BI118" i="15"/>
  <c r="BJ118" i="15"/>
  <c r="BK118" i="15"/>
  <c r="BL118" i="15"/>
  <c r="BP118" i="15"/>
  <c r="BQ118" i="15"/>
  <c r="BY118" i="15"/>
  <c r="B119" i="15"/>
  <c r="C125" i="15"/>
  <c r="D125" i="15"/>
  <c r="E125" i="15"/>
  <c r="BN125" i="15"/>
  <c r="BO125" i="15"/>
  <c r="G128" i="15"/>
  <c r="H128" i="15"/>
  <c r="I128" i="15"/>
  <c r="J128" i="15"/>
  <c r="Z128" i="15"/>
  <c r="AA128" i="15"/>
  <c r="AB128" i="15"/>
  <c r="AC128" i="15"/>
  <c r="AD128" i="15"/>
  <c r="AE128" i="15"/>
  <c r="AF128" i="15"/>
  <c r="AG128" i="15"/>
  <c r="AH128" i="15"/>
  <c r="BH128" i="15"/>
  <c r="BI128" i="15"/>
  <c r="BJ128" i="15"/>
  <c r="BK128" i="15"/>
  <c r="BL128" i="15"/>
  <c r="BP128" i="15"/>
  <c r="BQ128" i="15"/>
  <c r="BY128" i="15"/>
  <c r="D130" i="15"/>
  <c r="E130" i="15"/>
  <c r="F130" i="15"/>
  <c r="H130" i="15"/>
  <c r="I130" i="15"/>
  <c r="J130" i="15"/>
  <c r="R130" i="15"/>
  <c r="S130" i="15"/>
  <c r="U130" i="15"/>
  <c r="V130" i="15"/>
  <c r="Z130" i="15"/>
  <c r="AD130" i="15"/>
  <c r="AF130" i="15"/>
  <c r="AH130" i="15"/>
  <c r="BH130" i="15"/>
  <c r="BL130" i="15"/>
  <c r="BN130" i="15"/>
  <c r="BO130" i="15"/>
  <c r="BP130" i="15"/>
  <c r="BQ130" i="15"/>
  <c r="BY130" i="15"/>
  <c r="C131" i="15"/>
  <c r="D131" i="15"/>
  <c r="E131" i="15"/>
  <c r="F131" i="15"/>
  <c r="G131" i="15"/>
  <c r="H131" i="15"/>
  <c r="I131" i="15"/>
  <c r="J131" i="15"/>
  <c r="R131" i="15"/>
  <c r="V131" i="15"/>
  <c r="Z131" i="15"/>
  <c r="AD131" i="15"/>
  <c r="AH131" i="15"/>
  <c r="BH131" i="15"/>
  <c r="BL131" i="15"/>
  <c r="BN131" i="15"/>
  <c r="BO131" i="15"/>
  <c r="BP131" i="15"/>
  <c r="BQ131" i="15"/>
  <c r="BY131" i="15"/>
  <c r="E133" i="15"/>
  <c r="F133" i="15"/>
  <c r="G133" i="15"/>
  <c r="H133" i="15"/>
  <c r="I133" i="15"/>
  <c r="J133" i="15"/>
  <c r="Z133" i="15"/>
  <c r="AA133" i="15"/>
  <c r="AB133" i="15"/>
  <c r="AC133" i="15"/>
  <c r="AD133" i="15"/>
  <c r="AE133" i="15"/>
  <c r="AF133" i="15"/>
  <c r="AG133" i="15"/>
  <c r="AH133" i="15"/>
  <c r="BH133" i="15"/>
  <c r="BI133" i="15"/>
  <c r="BJ133" i="15"/>
  <c r="BK133" i="15"/>
  <c r="BL133" i="15"/>
  <c r="BP133" i="15"/>
  <c r="BQ133" i="15"/>
  <c r="BY133" i="15"/>
  <c r="C134" i="15"/>
  <c r="D134" i="15"/>
  <c r="E134" i="15"/>
  <c r="BO134" i="15"/>
  <c r="BN134" i="15"/>
  <c r="C233" i="15"/>
  <c r="D233" i="15"/>
  <c r="D135" i="15" s="1"/>
  <c r="D336" i="15" s="1"/>
  <c r="E233" i="15"/>
  <c r="F233" i="15"/>
  <c r="G233" i="15"/>
  <c r="H233" i="15"/>
  <c r="I233" i="15"/>
  <c r="J233" i="15"/>
  <c r="J135" i="15" s="1"/>
  <c r="J336" i="15" s="1"/>
  <c r="K135" i="15"/>
  <c r="R233" i="15"/>
  <c r="S230" i="15"/>
  <c r="S231" i="15"/>
  <c r="S232" i="15"/>
  <c r="T233" i="15"/>
  <c r="V233" i="15"/>
  <c r="W230" i="15"/>
  <c r="W231" i="15"/>
  <c r="W232" i="15"/>
  <c r="X233" i="15"/>
  <c r="Z233" i="15"/>
  <c r="AA230" i="15"/>
  <c r="AA236" i="15" s="1"/>
  <c r="AA231" i="15"/>
  <c r="AA232" i="15"/>
  <c r="AB233" i="15"/>
  <c r="AB135" i="15"/>
  <c r="AC230" i="15"/>
  <c r="AC231" i="15"/>
  <c r="AC232" i="15"/>
  <c r="AD233" i="15"/>
  <c r="AE230" i="15"/>
  <c r="AE231" i="15"/>
  <c r="AE232" i="15"/>
  <c r="AF233" i="15"/>
  <c r="AG230" i="15"/>
  <c r="AG231" i="15"/>
  <c r="AG232" i="15"/>
  <c r="AH233" i="15"/>
  <c r="BL233" i="15"/>
  <c r="BL135" i="15"/>
  <c r="BN233" i="15"/>
  <c r="BO233" i="15"/>
  <c r="BP233" i="15"/>
  <c r="BQ233" i="15"/>
  <c r="CC233" i="15"/>
  <c r="CD233" i="15"/>
  <c r="CE233" i="15"/>
  <c r="S136" i="15"/>
  <c r="S337" i="15"/>
  <c r="W136" i="15"/>
  <c r="AA136" i="15"/>
  <c r="AE136" i="15"/>
  <c r="BI136" i="15"/>
  <c r="BJ136" i="15"/>
  <c r="S137" i="15"/>
  <c r="W137" i="15"/>
  <c r="AA137" i="15"/>
  <c r="AE137" i="15"/>
  <c r="AF137" i="15"/>
  <c r="AF402" i="15"/>
  <c r="BI137" i="15"/>
  <c r="BJ137" i="15"/>
  <c r="AF207" i="15"/>
  <c r="AF461" i="15"/>
  <c r="CC139" i="15"/>
  <c r="S140" i="15"/>
  <c r="T140" i="15"/>
  <c r="W140" i="15"/>
  <c r="AA140" i="15"/>
  <c r="AA341" i="15"/>
  <c r="AE140" i="15"/>
  <c r="BI140" i="15"/>
  <c r="BJ140" i="15"/>
  <c r="C141" i="15"/>
  <c r="C406" i="15"/>
  <c r="D141" i="15"/>
  <c r="D406" i="15"/>
  <c r="E141" i="15"/>
  <c r="H141" i="15"/>
  <c r="H342" i="15"/>
  <c r="I141" i="15"/>
  <c r="I342" i="15"/>
  <c r="J141" i="15"/>
  <c r="J342" i="15"/>
  <c r="R141" i="15"/>
  <c r="BN141" i="15"/>
  <c r="V141" i="15"/>
  <c r="Z141" i="15"/>
  <c r="AA141" i="15"/>
  <c r="AA342" i="15"/>
  <c r="BQ141" i="15"/>
  <c r="AE141" i="15"/>
  <c r="AE342" i="15"/>
  <c r="BI141" i="15"/>
  <c r="BJ141" i="15"/>
  <c r="CC141" i="15"/>
  <c r="CD141" i="15"/>
  <c r="CE141" i="15"/>
  <c r="C142" i="15"/>
  <c r="C343" i="15"/>
  <c r="S142" i="15"/>
  <c r="W142" i="15"/>
  <c r="W343" i="15"/>
  <c r="AA142" i="15"/>
  <c r="AE142" i="15"/>
  <c r="BI142" i="15"/>
  <c r="BJ142" i="15"/>
  <c r="S143" i="15"/>
  <c r="W143" i="15"/>
  <c r="W344" i="15"/>
  <c r="AA143" i="15"/>
  <c r="AE143" i="15"/>
  <c r="BI143" i="15"/>
  <c r="BJ143" i="15"/>
  <c r="C145" i="15"/>
  <c r="D145" i="15"/>
  <c r="D410" i="15"/>
  <c r="E145" i="15"/>
  <c r="F145" i="15"/>
  <c r="F346" i="15"/>
  <c r="G145" i="15"/>
  <c r="G346" i="15"/>
  <c r="H145" i="15"/>
  <c r="H346" i="15"/>
  <c r="I145" i="15"/>
  <c r="I346" i="15"/>
  <c r="J145" i="15"/>
  <c r="BN145" i="15"/>
  <c r="S145" i="15"/>
  <c r="W145" i="15"/>
  <c r="X145" i="15"/>
  <c r="X346" i="15"/>
  <c r="Z145" i="15"/>
  <c r="BP145" i="15"/>
  <c r="BQ145" i="15"/>
  <c r="AE145" i="15"/>
  <c r="BH145" i="15"/>
  <c r="BY145" i="15"/>
  <c r="CE145" i="15"/>
  <c r="D146" i="15"/>
  <c r="E146" i="15"/>
  <c r="F146" i="15"/>
  <c r="F347" i="15"/>
  <c r="G146" i="15"/>
  <c r="G347" i="15"/>
  <c r="R146" i="15"/>
  <c r="R347" i="15"/>
  <c r="BN146" i="15"/>
  <c r="S146" i="15"/>
  <c r="V146" i="15"/>
  <c r="BO146" i="15"/>
  <c r="Z146" i="15"/>
  <c r="BP146" i="15"/>
  <c r="AD146" i="15"/>
  <c r="BQ146" i="15"/>
  <c r="BH146" i="15"/>
  <c r="BY146" i="15"/>
  <c r="BI146" i="15"/>
  <c r="BJ146" i="15"/>
  <c r="BL146" i="15"/>
  <c r="S147" i="15"/>
  <c r="W147" i="15"/>
  <c r="AA147" i="15"/>
  <c r="AB147" i="15"/>
  <c r="AE147" i="15"/>
  <c r="BI147" i="15"/>
  <c r="BJ147" i="15"/>
  <c r="C148" i="15"/>
  <c r="C413" i="15"/>
  <c r="D148" i="15"/>
  <c r="D413" i="15"/>
  <c r="E148" i="15"/>
  <c r="F148" i="15"/>
  <c r="G148" i="15"/>
  <c r="G349" i="15"/>
  <c r="H148" i="15"/>
  <c r="H349" i="15"/>
  <c r="I148" i="15"/>
  <c r="J148" i="15"/>
  <c r="J349" i="15"/>
  <c r="R148" i="15"/>
  <c r="V148" i="15"/>
  <c r="Z148" i="15"/>
  <c r="BP148" i="15"/>
  <c r="AD148" i="15"/>
  <c r="BQ148" i="15"/>
  <c r="AH148" i="15"/>
  <c r="AI148" i="15" s="1"/>
  <c r="BH148" i="15"/>
  <c r="BY148" i="15"/>
  <c r="BL148" i="15"/>
  <c r="BL349" i="15"/>
  <c r="CD148" i="15"/>
  <c r="CE148" i="15"/>
  <c r="C149" i="15"/>
  <c r="D149" i="15"/>
  <c r="D350" i="15"/>
  <c r="E149" i="15"/>
  <c r="E350" i="15"/>
  <c r="F149" i="15"/>
  <c r="F350" i="15"/>
  <c r="G149" i="15"/>
  <c r="G350" i="15"/>
  <c r="H149" i="15"/>
  <c r="H350" i="15"/>
  <c r="I149" i="15"/>
  <c r="J149" i="15"/>
  <c r="J350" i="15"/>
  <c r="R149" i="15"/>
  <c r="BN149" i="15"/>
  <c r="V149" i="15"/>
  <c r="BO149" i="15"/>
  <c r="W149" i="15"/>
  <c r="Z149" i="15"/>
  <c r="BP149" i="15"/>
  <c r="AD149" i="15"/>
  <c r="BQ149" i="15"/>
  <c r="AH149" i="15"/>
  <c r="AH350" i="15"/>
  <c r="BH149" i="15"/>
  <c r="BY149" i="15"/>
  <c r="BL149" i="15"/>
  <c r="S154" i="15"/>
  <c r="S420" i="15"/>
  <c r="BN420" i="15"/>
  <c r="BH154" i="15"/>
  <c r="BJ154" i="15"/>
  <c r="G158" i="15"/>
  <c r="H158" i="15"/>
  <c r="I158" i="15"/>
  <c r="J158" i="15"/>
  <c r="Z158" i="15"/>
  <c r="AA158" i="15"/>
  <c r="AB158" i="15"/>
  <c r="AC158" i="15"/>
  <c r="AD158" i="15"/>
  <c r="AE158" i="15"/>
  <c r="AF158" i="15"/>
  <c r="AG158" i="15"/>
  <c r="AH158" i="15"/>
  <c r="BH158" i="15"/>
  <c r="BI158" i="15"/>
  <c r="BJ158" i="15"/>
  <c r="BK158" i="15"/>
  <c r="BL158" i="15"/>
  <c r="BP158" i="15"/>
  <c r="BQ158" i="15"/>
  <c r="S162" i="15"/>
  <c r="T162" i="15"/>
  <c r="W162" i="15"/>
  <c r="X162" i="15"/>
  <c r="Y162" i="15"/>
  <c r="AA162" i="15"/>
  <c r="AB162" i="15"/>
  <c r="AC162" i="15"/>
  <c r="AE162" i="15"/>
  <c r="AF162" i="15"/>
  <c r="AG162" i="15"/>
  <c r="BI162" i="15"/>
  <c r="BJ162" i="15"/>
  <c r="S163" i="15"/>
  <c r="T163" i="15"/>
  <c r="U163" i="15"/>
  <c r="W163" i="15"/>
  <c r="X163" i="15"/>
  <c r="Y163" i="15"/>
  <c r="AA163" i="15"/>
  <c r="AB163" i="15"/>
  <c r="AE163" i="15"/>
  <c r="AF163" i="15"/>
  <c r="AG163" i="15"/>
  <c r="BI163" i="15"/>
  <c r="BJ163" i="15"/>
  <c r="S164" i="15"/>
  <c r="T164" i="15"/>
  <c r="U164" i="15"/>
  <c r="W164" i="15"/>
  <c r="X164" i="15"/>
  <c r="Y164" i="15"/>
  <c r="AA164" i="15"/>
  <c r="AB164" i="15"/>
  <c r="AE164" i="15"/>
  <c r="AF164" i="15"/>
  <c r="AG164" i="15"/>
  <c r="BI164" i="15"/>
  <c r="BJ164" i="15"/>
  <c r="S165" i="15"/>
  <c r="T165" i="15"/>
  <c r="U165" i="15"/>
  <c r="W165" i="15"/>
  <c r="X165" i="15"/>
  <c r="Y165" i="15"/>
  <c r="AA165" i="15"/>
  <c r="AB165" i="15"/>
  <c r="AE165" i="15"/>
  <c r="AF165" i="15"/>
  <c r="AG165" i="15"/>
  <c r="BI165" i="15"/>
  <c r="BJ165" i="15"/>
  <c r="S169" i="15"/>
  <c r="U169" i="15"/>
  <c r="W169" i="15"/>
  <c r="Y169" i="15"/>
  <c r="AA169" i="15"/>
  <c r="AB169" i="15"/>
  <c r="AE169" i="15"/>
  <c r="AG169" i="15"/>
  <c r="S171" i="15"/>
  <c r="T171" i="15"/>
  <c r="W171" i="15"/>
  <c r="X171" i="15"/>
  <c r="Y171" i="15"/>
  <c r="AA171" i="15"/>
  <c r="AB171" i="15"/>
  <c r="AE171" i="15"/>
  <c r="AF171" i="15"/>
  <c r="AG171" i="15"/>
  <c r="BI171" i="15"/>
  <c r="BJ171" i="15"/>
  <c r="S172" i="15"/>
  <c r="T172" i="15"/>
  <c r="U172" i="15"/>
  <c r="W172" i="15"/>
  <c r="X172" i="15"/>
  <c r="Y172" i="15"/>
  <c r="AA172" i="15"/>
  <c r="AB172" i="15"/>
  <c r="BK172" i="15"/>
  <c r="AE172" i="15"/>
  <c r="AF172" i="15"/>
  <c r="AG172" i="15"/>
  <c r="BI172" i="15"/>
  <c r="BJ172" i="15"/>
  <c r="S173" i="15"/>
  <c r="T173" i="15"/>
  <c r="W173" i="15"/>
  <c r="X173" i="15"/>
  <c r="Y173" i="15"/>
  <c r="AA173" i="15"/>
  <c r="AB173" i="15"/>
  <c r="AE173" i="15"/>
  <c r="AF173" i="15"/>
  <c r="AG173" i="15"/>
  <c r="BI173" i="15"/>
  <c r="BJ173" i="15"/>
  <c r="S174" i="15"/>
  <c r="T174" i="15"/>
  <c r="U174" i="15"/>
  <c r="W174" i="15"/>
  <c r="X174" i="15"/>
  <c r="Y174" i="15"/>
  <c r="AA174" i="15"/>
  <c r="AB174" i="15"/>
  <c r="AE174" i="15"/>
  <c r="AF174" i="15"/>
  <c r="AG174" i="15"/>
  <c r="BI174" i="15"/>
  <c r="BJ174" i="15"/>
  <c r="S175" i="15"/>
  <c r="T175" i="15"/>
  <c r="W175" i="15"/>
  <c r="X175" i="15"/>
  <c r="Y175" i="15"/>
  <c r="AA175" i="15"/>
  <c r="AB175" i="15"/>
  <c r="AE175" i="15"/>
  <c r="AF175" i="15"/>
  <c r="AG175" i="15"/>
  <c r="BI175" i="15"/>
  <c r="BJ175" i="15"/>
  <c r="S176" i="15"/>
  <c r="T176" i="15"/>
  <c r="U176" i="15"/>
  <c r="W176" i="15"/>
  <c r="X176" i="15"/>
  <c r="Y176" i="15"/>
  <c r="AA176" i="15"/>
  <c r="AB176" i="15"/>
  <c r="AE176" i="15"/>
  <c r="AF176" i="15"/>
  <c r="AG176" i="15"/>
  <c r="BI176" i="15"/>
  <c r="BJ176" i="15"/>
  <c r="S179" i="15"/>
  <c r="T179" i="15"/>
  <c r="U179" i="15"/>
  <c r="W179" i="15"/>
  <c r="AA179" i="15"/>
  <c r="AB179" i="15"/>
  <c r="AC179" i="15"/>
  <c r="AE179" i="15"/>
  <c r="AF179" i="15"/>
  <c r="AG179" i="15"/>
  <c r="BI179" i="15"/>
  <c r="S181" i="15"/>
  <c r="W181" i="15"/>
  <c r="Y181" i="15"/>
  <c r="AA181" i="15"/>
  <c r="AB181" i="15"/>
  <c r="AC181" i="15"/>
  <c r="AE181" i="15"/>
  <c r="BI181" i="15"/>
  <c r="BJ181" i="15"/>
  <c r="S182" i="15"/>
  <c r="T182" i="15"/>
  <c r="W182" i="15"/>
  <c r="X182" i="15"/>
  <c r="Y182" i="15"/>
  <c r="AA182" i="15"/>
  <c r="AE182" i="15"/>
  <c r="BI182" i="15"/>
  <c r="BJ182" i="15"/>
  <c r="S183" i="15"/>
  <c r="W183" i="15"/>
  <c r="X183" i="15"/>
  <c r="Y183" i="15"/>
  <c r="AA183" i="15"/>
  <c r="AB183" i="15"/>
  <c r="BK183" i="15"/>
  <c r="AE183" i="15"/>
  <c r="BI183" i="15"/>
  <c r="BJ183" i="15"/>
  <c r="C184" i="15"/>
  <c r="D184" i="15"/>
  <c r="E184" i="15"/>
  <c r="F184" i="15"/>
  <c r="G184" i="15"/>
  <c r="H184" i="15"/>
  <c r="I184" i="15"/>
  <c r="J184" i="15"/>
  <c r="R184" i="15"/>
  <c r="V184" i="15"/>
  <c r="Z184" i="15"/>
  <c r="AD184" i="15"/>
  <c r="AH184" i="15"/>
  <c r="BH184" i="15"/>
  <c r="BL184" i="15"/>
  <c r="BN184" i="15"/>
  <c r="BO184" i="15"/>
  <c r="BP184" i="15"/>
  <c r="BQ184" i="15"/>
  <c r="BY184" i="15"/>
  <c r="S186" i="15"/>
  <c r="W186" i="15"/>
  <c r="AA186" i="15"/>
  <c r="AB186" i="15"/>
  <c r="BK186" i="15"/>
  <c r="AE186" i="15"/>
  <c r="BI186" i="15"/>
  <c r="BJ186" i="15"/>
  <c r="AA187" i="15"/>
  <c r="AE187" i="15"/>
  <c r="AF187" i="15"/>
  <c r="AG187" i="15"/>
  <c r="BI187" i="15"/>
  <c r="BJ187" i="15"/>
  <c r="S188" i="15"/>
  <c r="W188" i="15"/>
  <c r="X188" i="15"/>
  <c r="Y188" i="15"/>
  <c r="AA188" i="15"/>
  <c r="AE188" i="15"/>
  <c r="AF188" i="15"/>
  <c r="AG188" i="15"/>
  <c r="BI188" i="15"/>
  <c r="S189" i="15"/>
  <c r="W189" i="15"/>
  <c r="X189" i="15"/>
  <c r="Y189" i="15"/>
  <c r="AA189" i="15"/>
  <c r="AE189" i="15"/>
  <c r="AF189" i="15"/>
  <c r="AG189" i="15"/>
  <c r="BI189" i="15"/>
  <c r="BJ189" i="15"/>
  <c r="C190" i="15"/>
  <c r="D190" i="15"/>
  <c r="E190" i="15"/>
  <c r="F190" i="15"/>
  <c r="G190" i="15"/>
  <c r="H190" i="15"/>
  <c r="I190" i="15"/>
  <c r="J190" i="15"/>
  <c r="R190" i="15"/>
  <c r="V190" i="15"/>
  <c r="Z190" i="15"/>
  <c r="AD190" i="15"/>
  <c r="AH190" i="15"/>
  <c r="BH190" i="15"/>
  <c r="BL190" i="15"/>
  <c r="BN190" i="15"/>
  <c r="BO190" i="15"/>
  <c r="BP190" i="15"/>
  <c r="BQ190" i="15"/>
  <c r="BY190" i="15"/>
  <c r="S195" i="15"/>
  <c r="T195" i="15"/>
  <c r="U195" i="15"/>
  <c r="W195" i="15"/>
  <c r="X195" i="15"/>
  <c r="Y195" i="15"/>
  <c r="AA195" i="15"/>
  <c r="AB195" i="15"/>
  <c r="BK195" i="15"/>
  <c r="AE195" i="15"/>
  <c r="AF195" i="15"/>
  <c r="AG195" i="15"/>
  <c r="BI195" i="15"/>
  <c r="BJ195" i="15"/>
  <c r="E200" i="15"/>
  <c r="F200" i="15"/>
  <c r="G200" i="15"/>
  <c r="H200" i="15"/>
  <c r="I200" i="15"/>
  <c r="J200" i="15"/>
  <c r="Z200" i="15"/>
  <c r="AA200" i="15"/>
  <c r="AB200" i="15"/>
  <c r="AC200" i="15"/>
  <c r="AD200" i="15"/>
  <c r="AE200" i="15"/>
  <c r="AF200" i="15"/>
  <c r="AG200" i="15"/>
  <c r="AH200" i="15"/>
  <c r="BL200" i="15"/>
  <c r="BP200" i="15"/>
  <c r="BQ200" i="15"/>
  <c r="B201" i="15"/>
  <c r="B456" i="15"/>
  <c r="C201" i="15"/>
  <c r="D201" i="15"/>
  <c r="D456" i="15"/>
  <c r="E201" i="15"/>
  <c r="F201" i="15"/>
  <c r="G201" i="15"/>
  <c r="H201" i="15"/>
  <c r="H456" i="15"/>
  <c r="I201" i="15"/>
  <c r="J201" i="15"/>
  <c r="R201" i="15"/>
  <c r="R456" i="15"/>
  <c r="S201" i="15"/>
  <c r="BN201" i="15"/>
  <c r="BN234" i="15"/>
  <c r="AD201" i="15"/>
  <c r="AD456" i="15"/>
  <c r="BQ201" i="15"/>
  <c r="BO201" i="15"/>
  <c r="BP201" i="15"/>
  <c r="C204" i="15"/>
  <c r="D204" i="15"/>
  <c r="E204" i="15"/>
  <c r="BO204" i="15"/>
  <c r="BO457" i="15"/>
  <c r="C206" i="15"/>
  <c r="D206" i="15"/>
  <c r="E206" i="15"/>
  <c r="E262" i="15"/>
  <c r="F206" i="15"/>
  <c r="G206" i="15"/>
  <c r="H206" i="15"/>
  <c r="H460" i="15"/>
  <c r="I206" i="15"/>
  <c r="J206" i="15"/>
  <c r="R206" i="15"/>
  <c r="S206" i="15"/>
  <c r="AD206" i="15"/>
  <c r="BQ206" i="15"/>
  <c r="BO206" i="15"/>
  <c r="BO460" i="15"/>
  <c r="BP206" i="15"/>
  <c r="C207" i="15"/>
  <c r="C461" i="15"/>
  <c r="D207" i="15"/>
  <c r="D461" i="15"/>
  <c r="E207" i="15"/>
  <c r="E461" i="15"/>
  <c r="F207" i="15"/>
  <c r="F461" i="15"/>
  <c r="G207" i="15"/>
  <c r="G461" i="15"/>
  <c r="H207" i="15"/>
  <c r="H461" i="15"/>
  <c r="I207" i="15"/>
  <c r="I461" i="15"/>
  <c r="J207" i="15"/>
  <c r="J461" i="15"/>
  <c r="R207" i="15"/>
  <c r="R461" i="15"/>
  <c r="S207" i="15"/>
  <c r="AD207" i="15"/>
  <c r="AD461" i="15"/>
  <c r="BQ207" i="15"/>
  <c r="BO207" i="15"/>
  <c r="BO461" i="15"/>
  <c r="BP207" i="15"/>
  <c r="BP461" i="15"/>
  <c r="E212" i="15"/>
  <c r="F212" i="15"/>
  <c r="G212" i="15"/>
  <c r="H212" i="15"/>
  <c r="I212" i="15"/>
  <c r="J212" i="15"/>
  <c r="Z212" i="15"/>
  <c r="AA212" i="15"/>
  <c r="AB212" i="15"/>
  <c r="AC212" i="15"/>
  <c r="AD212" i="15"/>
  <c r="AE212" i="15"/>
  <c r="AF212" i="15"/>
  <c r="AG212" i="15"/>
  <c r="AH212" i="15"/>
  <c r="BL212" i="15"/>
  <c r="BP212" i="15"/>
  <c r="BQ212" i="15"/>
  <c r="C542" i="15"/>
  <c r="C213" i="15"/>
  <c r="D542" i="15"/>
  <c r="D554" i="15"/>
  <c r="D566" i="15"/>
  <c r="E542" i="15"/>
  <c r="F542" i="15"/>
  <c r="F213" i="15"/>
  <c r="G542" i="15"/>
  <c r="H542" i="15"/>
  <c r="I542" i="15"/>
  <c r="I213" i="15"/>
  <c r="J542" i="15"/>
  <c r="J213" i="15"/>
  <c r="J220" i="15"/>
  <c r="R542" i="15"/>
  <c r="CC542" i="15"/>
  <c r="BN542" i="15"/>
  <c r="CD542" i="15"/>
  <c r="CE542" i="15"/>
  <c r="V542" i="15"/>
  <c r="Z542" i="15"/>
  <c r="AD542" i="15"/>
  <c r="BH542" i="15"/>
  <c r="BQ542" i="15"/>
  <c r="BY542" i="15"/>
  <c r="AH542" i="15"/>
  <c r="AH554" i="15"/>
  <c r="AH566" i="15"/>
  <c r="BO542" i="15"/>
  <c r="BP542" i="15"/>
  <c r="CD560" i="15"/>
  <c r="CE560" i="15"/>
  <c r="E219" i="15"/>
  <c r="F219" i="15"/>
  <c r="G219" i="15"/>
  <c r="H219" i="15"/>
  <c r="I219" i="15"/>
  <c r="J219" i="15"/>
  <c r="Z219" i="15"/>
  <c r="AA219" i="15"/>
  <c r="AB219" i="15"/>
  <c r="AC219" i="15"/>
  <c r="AD219" i="15"/>
  <c r="AE219" i="15"/>
  <c r="AF219" i="15"/>
  <c r="AG219" i="15"/>
  <c r="AH219" i="15"/>
  <c r="BL219" i="15"/>
  <c r="BP219" i="15"/>
  <c r="BQ219" i="15"/>
  <c r="D226" i="15"/>
  <c r="E226" i="15"/>
  <c r="F226" i="15"/>
  <c r="G226" i="15"/>
  <c r="H226" i="15"/>
  <c r="I226" i="15"/>
  <c r="J226" i="15"/>
  <c r="Z226" i="15"/>
  <c r="AA226" i="15"/>
  <c r="AB226" i="15"/>
  <c r="AC226" i="15"/>
  <c r="AD226" i="15"/>
  <c r="AE226" i="15"/>
  <c r="AF226" i="15"/>
  <c r="AG226" i="15"/>
  <c r="AH226" i="15"/>
  <c r="BL226" i="15"/>
  <c r="BP226" i="15"/>
  <c r="BQ226" i="15"/>
  <c r="S228" i="15"/>
  <c r="U228" i="15"/>
  <c r="W228" i="15"/>
  <c r="Y228" i="15"/>
  <c r="AA228" i="15"/>
  <c r="AC228" i="15"/>
  <c r="AE228" i="15"/>
  <c r="AG228" i="15"/>
  <c r="C229" i="15"/>
  <c r="D229" i="15"/>
  <c r="E229" i="15"/>
  <c r="U229" i="15"/>
  <c r="F229" i="15"/>
  <c r="Y229" i="15"/>
  <c r="G229" i="15"/>
  <c r="I229" i="15"/>
  <c r="J229" i="15"/>
  <c r="AG229" i="15"/>
  <c r="R229" i="15"/>
  <c r="BN229" i="15"/>
  <c r="S229" i="15"/>
  <c r="T229" i="15"/>
  <c r="V229" i="15"/>
  <c r="BO229" i="15"/>
  <c r="W229" i="15"/>
  <c r="X229" i="15"/>
  <c r="Z229" i="15"/>
  <c r="BP229" i="15"/>
  <c r="AA229" i="15"/>
  <c r="AB229" i="15"/>
  <c r="AD229" i="15"/>
  <c r="BQ229" i="15"/>
  <c r="AE229" i="15"/>
  <c r="AF229" i="15"/>
  <c r="AH229" i="15"/>
  <c r="BL229" i="15"/>
  <c r="U230" i="15"/>
  <c r="Y230" i="15"/>
  <c r="U231" i="15"/>
  <c r="Y231" i="15"/>
  <c r="U232" i="15"/>
  <c r="Y232" i="15"/>
  <c r="F240" i="15"/>
  <c r="G240" i="15"/>
  <c r="H240" i="15"/>
  <c r="I240" i="15"/>
  <c r="J240" i="15"/>
  <c r="Z240" i="15"/>
  <c r="AA240" i="15"/>
  <c r="AB240" i="15"/>
  <c r="AC240" i="15"/>
  <c r="AD240" i="15"/>
  <c r="AE240" i="15"/>
  <c r="AF240" i="15"/>
  <c r="AG240" i="15"/>
  <c r="AH240" i="15"/>
  <c r="BL240" i="15"/>
  <c r="BP240" i="15"/>
  <c r="BQ240" i="15"/>
  <c r="S242" i="15"/>
  <c r="U242" i="15"/>
  <c r="W242" i="15"/>
  <c r="Y242" i="15"/>
  <c r="AA242" i="15"/>
  <c r="AC242" i="15"/>
  <c r="AE242" i="15"/>
  <c r="AG242" i="15"/>
  <c r="S243" i="15"/>
  <c r="U243" i="15"/>
  <c r="W243" i="15"/>
  <c r="Y243" i="15"/>
  <c r="AA243" i="15"/>
  <c r="AC243" i="15"/>
  <c r="AE243" i="15"/>
  <c r="AG243" i="15"/>
  <c r="S244" i="15"/>
  <c r="U244" i="15"/>
  <c r="W244" i="15"/>
  <c r="Y244" i="15"/>
  <c r="AA244" i="15"/>
  <c r="AC244" i="15"/>
  <c r="AE244" i="15"/>
  <c r="AG244" i="15"/>
  <c r="T247" i="15"/>
  <c r="T255" i="15"/>
  <c r="BN249" i="15"/>
  <c r="S249" i="15"/>
  <c r="U249" i="15"/>
  <c r="W249" i="15"/>
  <c r="Y249" i="15"/>
  <c r="AA249" i="15"/>
  <c r="AC249" i="15"/>
  <c r="AE249" i="15"/>
  <c r="AG249" i="15"/>
  <c r="C252" i="15"/>
  <c r="C464" i="15"/>
  <c r="D252" i="15"/>
  <c r="D464" i="15"/>
  <c r="E252" i="15"/>
  <c r="E464" i="15"/>
  <c r="F252" i="15"/>
  <c r="G252" i="15"/>
  <c r="H252" i="15"/>
  <c r="H464" i="15"/>
  <c r="I252" i="15"/>
  <c r="J252" i="15"/>
  <c r="R252" i="15"/>
  <c r="T252" i="15"/>
  <c r="V252" i="15"/>
  <c r="V464" i="15"/>
  <c r="X252" i="15"/>
  <c r="C1707" i="17"/>
  <c r="C1708" i="17"/>
  <c r="X464" i="15"/>
  <c r="Z252" i="15"/>
  <c r="Z464" i="15"/>
  <c r="AB252" i="15"/>
  <c r="AD252" i="15"/>
  <c r="AD464" i="15"/>
  <c r="AF252" i="15"/>
  <c r="AH252" i="15"/>
  <c r="BL252" i="15"/>
  <c r="BN252" i="15"/>
  <c r="BN464" i="15"/>
  <c r="BO252" i="15"/>
  <c r="BO464" i="15"/>
  <c r="BQ252" i="15"/>
  <c r="BQ464" i="15"/>
  <c r="S267" i="15"/>
  <c r="W267" i="15"/>
  <c r="AA267" i="15"/>
  <c r="AE267" i="15"/>
  <c r="F268" i="15"/>
  <c r="Y268" i="15"/>
  <c r="R268" i="15"/>
  <c r="BN268" i="15"/>
  <c r="S268" i="15"/>
  <c r="T268" i="15"/>
  <c r="U268" i="15"/>
  <c r="W268" i="15"/>
  <c r="AA268" i="15"/>
  <c r="AC268" i="15"/>
  <c r="AE268" i="15"/>
  <c r="AG268" i="15"/>
  <c r="E272" i="15"/>
  <c r="Y272" i="15"/>
  <c r="AA272" i="15"/>
  <c r="AC272" i="15"/>
  <c r="C1530" i="17"/>
  <c r="AE272" i="15"/>
  <c r="AG272" i="15"/>
  <c r="C1314" i="17"/>
  <c r="BN272" i="15"/>
  <c r="BO272" i="15"/>
  <c r="E273" i="15"/>
  <c r="E278" i="15" s="1"/>
  <c r="Y273" i="15"/>
  <c r="AA273" i="15"/>
  <c r="AC273" i="15"/>
  <c r="C1531" i="17"/>
  <c r="AE273" i="15"/>
  <c r="C1423" i="17"/>
  <c r="AG273" i="15"/>
  <c r="C1315" i="17"/>
  <c r="BN273" i="15"/>
  <c r="BO273" i="15"/>
  <c r="AE274" i="15"/>
  <c r="C1424" i="17"/>
  <c r="AG274" i="15"/>
  <c r="U276" i="15"/>
  <c r="U278" i="15"/>
  <c r="Y276" i="15"/>
  <c r="AA276" i="15"/>
  <c r="AA278" i="15" s="1"/>
  <c r="AC276" i="15"/>
  <c r="AE276" i="15"/>
  <c r="AG276" i="15"/>
  <c r="BN276" i="15"/>
  <c r="BO276" i="15"/>
  <c r="C278" i="15"/>
  <c r="D278" i="15"/>
  <c r="F278" i="15"/>
  <c r="G278" i="15"/>
  <c r="H278" i="15"/>
  <c r="I278" i="15"/>
  <c r="J278" i="15"/>
  <c r="R278" i="15"/>
  <c r="S278" i="15"/>
  <c r="T278" i="15"/>
  <c r="V278" i="15"/>
  <c r="W278" i="15"/>
  <c r="X278" i="15"/>
  <c r="Z278" i="15"/>
  <c r="AB278" i="15"/>
  <c r="AD278" i="15"/>
  <c r="AF278" i="15"/>
  <c r="AH278" i="15"/>
  <c r="BL278" i="15"/>
  <c r="BP278" i="15"/>
  <c r="BQ278" i="15"/>
  <c r="C279" i="15"/>
  <c r="D279" i="15"/>
  <c r="F279" i="15"/>
  <c r="G279" i="15"/>
  <c r="H279" i="15"/>
  <c r="I279" i="15"/>
  <c r="J279" i="15"/>
  <c r="R279" i="15"/>
  <c r="R283" i="15"/>
  <c r="R291" i="15"/>
  <c r="S279" i="15"/>
  <c r="T279" i="15"/>
  <c r="U279" i="15"/>
  <c r="V279" i="15"/>
  <c r="W279" i="15"/>
  <c r="X279" i="15"/>
  <c r="X283" i="15"/>
  <c r="X291" i="15"/>
  <c r="Z279" i="15"/>
  <c r="AB279" i="15"/>
  <c r="AD279" i="15"/>
  <c r="AF279" i="15"/>
  <c r="AH279" i="15"/>
  <c r="BL279" i="15"/>
  <c r="BP279" i="15"/>
  <c r="BQ279" i="15"/>
  <c r="R289" i="15"/>
  <c r="S289" i="15"/>
  <c r="T289" i="15"/>
  <c r="U289" i="15"/>
  <c r="Y289" i="15"/>
  <c r="AC289" i="15"/>
  <c r="C1539" i="17"/>
  <c r="AE289" i="15"/>
  <c r="C1432" i="17"/>
  <c r="AG289" i="15"/>
  <c r="C1324" i="17"/>
  <c r="BP289" i="15"/>
  <c r="S290" i="15"/>
  <c r="U290" i="15"/>
  <c r="W290" i="15"/>
  <c r="Y290" i="15"/>
  <c r="AA290" i="15"/>
  <c r="AC290" i="15"/>
  <c r="C1533" i="17"/>
  <c r="AE290" i="15"/>
  <c r="C1426" i="17"/>
  <c r="AG290" i="15"/>
  <c r="C1318" i="17"/>
  <c r="B295" i="15"/>
  <c r="S296" i="15"/>
  <c r="U296" i="15"/>
  <c r="Y296" i="15"/>
  <c r="AA296" i="15"/>
  <c r="AC296" i="15"/>
  <c r="J1517" i="17"/>
  <c r="AE296" i="15"/>
  <c r="AG296" i="15"/>
  <c r="F299" i="15"/>
  <c r="G299" i="15"/>
  <c r="H299" i="15"/>
  <c r="I299" i="15"/>
  <c r="J299" i="15"/>
  <c r="Y299" i="15"/>
  <c r="Z299" i="15"/>
  <c r="AA299" i="15"/>
  <c r="AB299" i="15"/>
  <c r="AC299" i="15"/>
  <c r="AD299" i="15"/>
  <c r="AE299" i="15"/>
  <c r="AF299" i="15"/>
  <c r="AG299" i="15"/>
  <c r="AH299" i="15"/>
  <c r="BL299" i="15"/>
  <c r="BP299" i="15"/>
  <c r="BQ299" i="15"/>
  <c r="F313" i="15"/>
  <c r="G313" i="15"/>
  <c r="H313" i="15"/>
  <c r="I313" i="15"/>
  <c r="J313" i="15"/>
  <c r="AB313" i="15"/>
  <c r="AC313" i="15"/>
  <c r="AD313" i="15"/>
  <c r="AE313" i="15"/>
  <c r="AF313" i="15"/>
  <c r="AG313" i="15"/>
  <c r="AH313" i="15"/>
  <c r="BL313" i="15"/>
  <c r="BP313" i="15"/>
  <c r="BQ313" i="15"/>
  <c r="F321" i="15"/>
  <c r="G321" i="15"/>
  <c r="H321" i="15"/>
  <c r="I321" i="15"/>
  <c r="J321" i="15"/>
  <c r="Z321" i="15"/>
  <c r="AA321" i="15"/>
  <c r="AB321" i="15"/>
  <c r="AC321" i="15"/>
  <c r="AD321" i="15"/>
  <c r="AE321" i="15"/>
  <c r="AF321" i="15"/>
  <c r="AG321" i="15"/>
  <c r="AH321" i="15"/>
  <c r="BL321" i="15"/>
  <c r="BP321" i="15"/>
  <c r="BQ321" i="15"/>
  <c r="AE322" i="15"/>
  <c r="AF322" i="15"/>
  <c r="AE323" i="15"/>
  <c r="AF323" i="15"/>
  <c r="B324" i="15"/>
  <c r="C324" i="15"/>
  <c r="D324" i="15"/>
  <c r="E324" i="15"/>
  <c r="F324" i="15"/>
  <c r="G324" i="15"/>
  <c r="H324" i="15"/>
  <c r="I324" i="15"/>
  <c r="J324" i="15"/>
  <c r="R324" i="15"/>
  <c r="V324" i="15"/>
  <c r="Z324" i="15"/>
  <c r="AD324" i="15"/>
  <c r="AH324" i="15"/>
  <c r="BL324" i="15"/>
  <c r="B325" i="15"/>
  <c r="G325" i="15"/>
  <c r="B326" i="15"/>
  <c r="C326" i="15"/>
  <c r="D326" i="15"/>
  <c r="E326" i="15"/>
  <c r="F326" i="15"/>
  <c r="G326" i="15"/>
  <c r="H326" i="15"/>
  <c r="I326" i="15"/>
  <c r="J326" i="15"/>
  <c r="R326" i="15"/>
  <c r="S326" i="15"/>
  <c r="T326" i="15"/>
  <c r="U326" i="15"/>
  <c r="V326" i="15"/>
  <c r="W326" i="15"/>
  <c r="X326" i="15"/>
  <c r="Y326" i="15"/>
  <c r="Z326" i="15"/>
  <c r="AA326" i="15"/>
  <c r="AB326" i="15"/>
  <c r="AC326" i="15"/>
  <c r="AD326" i="15"/>
  <c r="AE326" i="15"/>
  <c r="AF326" i="15"/>
  <c r="AG326" i="15"/>
  <c r="AH326" i="15"/>
  <c r="BL326" i="15"/>
  <c r="B327" i="15"/>
  <c r="B328" i="15"/>
  <c r="B329" i="15"/>
  <c r="B331" i="15"/>
  <c r="C331" i="15"/>
  <c r="D331" i="15"/>
  <c r="E331" i="15"/>
  <c r="B332" i="15"/>
  <c r="C332" i="15"/>
  <c r="B333" i="15"/>
  <c r="B335" i="15"/>
  <c r="B336" i="15"/>
  <c r="B337" i="15"/>
  <c r="C337" i="15"/>
  <c r="D337" i="15"/>
  <c r="E337" i="15"/>
  <c r="F337" i="15"/>
  <c r="G337" i="15"/>
  <c r="H337" i="15"/>
  <c r="I337" i="15"/>
  <c r="J337" i="15"/>
  <c r="R337" i="15"/>
  <c r="V337" i="15"/>
  <c r="Z337" i="15"/>
  <c r="AD337" i="15"/>
  <c r="AH337" i="15"/>
  <c r="BL337" i="15"/>
  <c r="B338" i="15"/>
  <c r="C338" i="15"/>
  <c r="D338" i="15"/>
  <c r="E338" i="15"/>
  <c r="F338" i="15"/>
  <c r="G338" i="15"/>
  <c r="H338" i="15"/>
  <c r="I338" i="15"/>
  <c r="J338" i="15"/>
  <c r="R338" i="15"/>
  <c r="V338" i="15"/>
  <c r="Z338" i="15"/>
  <c r="AD338" i="15"/>
  <c r="AH338" i="15"/>
  <c r="BL338" i="15"/>
  <c r="B339" i="15"/>
  <c r="B340" i="15"/>
  <c r="B341" i="15"/>
  <c r="C341" i="15"/>
  <c r="D341" i="15"/>
  <c r="E341" i="15"/>
  <c r="F341" i="15"/>
  <c r="G341" i="15"/>
  <c r="H341" i="15"/>
  <c r="I341" i="15"/>
  <c r="J341" i="15"/>
  <c r="R341" i="15"/>
  <c r="V341" i="15"/>
  <c r="Z341" i="15"/>
  <c r="AD341" i="15"/>
  <c r="AH341" i="15"/>
  <c r="BL341" i="15"/>
  <c r="B342" i="15"/>
  <c r="F342" i="15"/>
  <c r="G342" i="15"/>
  <c r="AD342" i="15"/>
  <c r="AH342" i="15"/>
  <c r="BL342" i="15"/>
  <c r="B343" i="15"/>
  <c r="D343" i="15"/>
  <c r="E343" i="15"/>
  <c r="F343" i="15"/>
  <c r="G343" i="15"/>
  <c r="H343" i="15"/>
  <c r="I343" i="15"/>
  <c r="J343" i="15"/>
  <c r="R343" i="15"/>
  <c r="V343" i="15"/>
  <c r="Z343" i="15"/>
  <c r="AD343" i="15"/>
  <c r="AH343" i="15"/>
  <c r="BL343" i="15"/>
  <c r="B344" i="15"/>
  <c r="C344" i="15"/>
  <c r="D344" i="15"/>
  <c r="E344" i="15"/>
  <c r="F344" i="15"/>
  <c r="G344" i="15"/>
  <c r="H344" i="15"/>
  <c r="I344" i="15"/>
  <c r="J344" i="15"/>
  <c r="R344" i="15"/>
  <c r="V344" i="15"/>
  <c r="Z344" i="15"/>
  <c r="AD344" i="15"/>
  <c r="AH344" i="15"/>
  <c r="BL344" i="15"/>
  <c r="B345" i="15"/>
  <c r="B346" i="15"/>
  <c r="R346" i="15"/>
  <c r="V346" i="15"/>
  <c r="AD346" i="15"/>
  <c r="AH346" i="15"/>
  <c r="BL346" i="15"/>
  <c r="B347" i="15"/>
  <c r="B348" i="15"/>
  <c r="C348" i="15"/>
  <c r="D348" i="15"/>
  <c r="E348" i="15"/>
  <c r="F348" i="15"/>
  <c r="G348" i="15"/>
  <c r="H348" i="15"/>
  <c r="I348" i="15"/>
  <c r="J348" i="15"/>
  <c r="R348" i="15"/>
  <c r="T348" i="15"/>
  <c r="V348" i="15"/>
  <c r="Z348" i="15"/>
  <c r="AD348" i="15"/>
  <c r="AH348" i="15"/>
  <c r="BL348" i="15"/>
  <c r="B349" i="15"/>
  <c r="B350" i="15"/>
  <c r="B351" i="15"/>
  <c r="B352" i="15"/>
  <c r="B353" i="15"/>
  <c r="B355" i="15"/>
  <c r="C355" i="15"/>
  <c r="D355" i="15"/>
  <c r="E355" i="15"/>
  <c r="F355" i="15"/>
  <c r="G355" i="15"/>
  <c r="H355" i="15"/>
  <c r="I355" i="15"/>
  <c r="J355" i="15"/>
  <c r="R355" i="15"/>
  <c r="T355" i="15"/>
  <c r="V355" i="15"/>
  <c r="X355" i="15"/>
  <c r="Z355" i="15"/>
  <c r="AB355" i="15"/>
  <c r="AD355" i="15"/>
  <c r="AF355" i="15"/>
  <c r="AH355" i="15"/>
  <c r="BL355" i="15"/>
  <c r="B369" i="15"/>
  <c r="B370" i="15"/>
  <c r="B372" i="15"/>
  <c r="B373" i="15"/>
  <c r="B375" i="15"/>
  <c r="B376" i="15"/>
  <c r="B378" i="15"/>
  <c r="B379" i="15"/>
  <c r="V381" i="15"/>
  <c r="W381" i="15"/>
  <c r="W414" i="15" s="1"/>
  <c r="X381" i="15"/>
  <c r="Y381" i="15"/>
  <c r="Z381" i="15"/>
  <c r="Z414" i="15"/>
  <c r="AA381" i="15"/>
  <c r="AA401" i="15" s="1"/>
  <c r="AB381" i="15"/>
  <c r="AD381" i="15"/>
  <c r="AE381" i="15"/>
  <c r="AE410" i="15"/>
  <c r="AG381" i="15"/>
  <c r="R381" i="15"/>
  <c r="S381" i="15"/>
  <c r="T381" i="15"/>
  <c r="T412" i="15"/>
  <c r="U381" i="15"/>
  <c r="AH381" i="15"/>
  <c r="AH401" i="15"/>
  <c r="BL381" i="15"/>
  <c r="BL410" i="15"/>
  <c r="CC381" i="15"/>
  <c r="CD381" i="15"/>
  <c r="CD388" i="15"/>
  <c r="CE381" i="15"/>
  <c r="CE388" i="15"/>
  <c r="J382" i="15"/>
  <c r="J420" i="15"/>
  <c r="AF382" i="15"/>
  <c r="AG382" i="15"/>
  <c r="D1296" i="17"/>
  <c r="D1307" i="17"/>
  <c r="AH382" i="15"/>
  <c r="F385" i="15"/>
  <c r="G385" i="15"/>
  <c r="H385" i="15"/>
  <c r="I385" i="15"/>
  <c r="J385" i="15"/>
  <c r="Z385" i="15"/>
  <c r="AA385" i="15"/>
  <c r="AB385" i="15"/>
  <c r="AC385" i="15"/>
  <c r="AD385" i="15"/>
  <c r="AE385" i="15"/>
  <c r="AF385" i="15"/>
  <c r="AG385" i="15"/>
  <c r="AH385" i="15"/>
  <c r="BL385" i="15"/>
  <c r="BP385" i="15"/>
  <c r="BQ385" i="15"/>
  <c r="AF387" i="15"/>
  <c r="B388" i="15"/>
  <c r="C388" i="15"/>
  <c r="D388" i="15"/>
  <c r="E388" i="15"/>
  <c r="B389" i="15"/>
  <c r="B391" i="15"/>
  <c r="B392" i="15"/>
  <c r="B393" i="15"/>
  <c r="B395" i="15"/>
  <c r="C395" i="15"/>
  <c r="C397" i="15"/>
  <c r="D395" i="15"/>
  <c r="E395" i="15"/>
  <c r="B396" i="15"/>
  <c r="B397" i="15"/>
  <c r="B399" i="15"/>
  <c r="B400" i="15"/>
  <c r="B401" i="15"/>
  <c r="C401" i="15"/>
  <c r="D401" i="15"/>
  <c r="E401" i="15"/>
  <c r="B402" i="15"/>
  <c r="C402" i="15"/>
  <c r="D402" i="15"/>
  <c r="E402" i="15"/>
  <c r="B403" i="15"/>
  <c r="B404" i="15"/>
  <c r="B405" i="15"/>
  <c r="C405" i="15"/>
  <c r="D405" i="15"/>
  <c r="E405" i="15"/>
  <c r="B406" i="15"/>
  <c r="B407" i="15"/>
  <c r="D407" i="15"/>
  <c r="E407" i="15"/>
  <c r="B408" i="15"/>
  <c r="C408" i="15"/>
  <c r="D408" i="15"/>
  <c r="E408" i="15"/>
  <c r="B409" i="15"/>
  <c r="B410" i="15"/>
  <c r="B411" i="15"/>
  <c r="B412" i="15"/>
  <c r="C412" i="15"/>
  <c r="D412" i="15"/>
  <c r="E412" i="15"/>
  <c r="B413" i="15"/>
  <c r="B414" i="15"/>
  <c r="B415" i="15"/>
  <c r="B417" i="15"/>
  <c r="B418" i="15"/>
  <c r="B420" i="15"/>
  <c r="C420" i="15"/>
  <c r="D420" i="15"/>
  <c r="E420" i="15"/>
  <c r="F420" i="15"/>
  <c r="G420" i="15"/>
  <c r="H420" i="15"/>
  <c r="I420" i="15"/>
  <c r="R420" i="15"/>
  <c r="T420" i="15"/>
  <c r="V420" i="15"/>
  <c r="X420" i="15"/>
  <c r="Z420" i="15"/>
  <c r="AB420" i="15"/>
  <c r="AD420" i="15"/>
  <c r="BL420" i="15"/>
  <c r="B437" i="15"/>
  <c r="B438" i="15"/>
  <c r="B440" i="15"/>
  <c r="B441" i="15"/>
  <c r="B443" i="15"/>
  <c r="B444" i="15"/>
  <c r="B446" i="15"/>
  <c r="B447" i="15"/>
  <c r="F455" i="15"/>
  <c r="G455" i="15"/>
  <c r="H455" i="15"/>
  <c r="I455" i="15"/>
  <c r="J455" i="15"/>
  <c r="Z455" i="15"/>
  <c r="AA455" i="15"/>
  <c r="AB455" i="15"/>
  <c r="AC455" i="15"/>
  <c r="AD455" i="15"/>
  <c r="AE455" i="15"/>
  <c r="AF455" i="15"/>
  <c r="AG455" i="15"/>
  <c r="AH455" i="15"/>
  <c r="BL455" i="15"/>
  <c r="BP455" i="15"/>
  <c r="BQ455" i="15"/>
  <c r="B457" i="15"/>
  <c r="B458" i="15"/>
  <c r="B460" i="15"/>
  <c r="B461" i="15"/>
  <c r="B462" i="15"/>
  <c r="B463" i="15"/>
  <c r="BP464" i="15"/>
  <c r="S477" i="15"/>
  <c r="U477" i="15"/>
  <c r="W477" i="15"/>
  <c r="Y477" i="15"/>
  <c r="AA477" i="15"/>
  <c r="AC477" i="15"/>
  <c r="AE477" i="15"/>
  <c r="AG477" i="15"/>
  <c r="S478" i="15"/>
  <c r="S479" i="15"/>
  <c r="U478" i="15"/>
  <c r="W478" i="15"/>
  <c r="W479" i="15"/>
  <c r="Y478" i="15"/>
  <c r="AA478" i="15"/>
  <c r="AC478" i="15"/>
  <c r="AE478" i="15"/>
  <c r="AG478" i="15"/>
  <c r="C479" i="15"/>
  <c r="D479" i="15"/>
  <c r="E479" i="15"/>
  <c r="F479" i="15"/>
  <c r="Y479" i="15"/>
  <c r="G479" i="15"/>
  <c r="H479" i="15"/>
  <c r="I479" i="15"/>
  <c r="J479" i="15"/>
  <c r="R479" i="15"/>
  <c r="T479" i="15"/>
  <c r="V479" i="15"/>
  <c r="X479" i="15"/>
  <c r="Z479" i="15"/>
  <c r="AB479" i="15"/>
  <c r="AD479" i="15"/>
  <c r="AF479" i="15"/>
  <c r="AH479" i="15"/>
  <c r="BL479" i="15"/>
  <c r="BN479" i="15"/>
  <c r="BO479" i="15"/>
  <c r="BP479" i="15"/>
  <c r="BQ479" i="15"/>
  <c r="F484" i="15"/>
  <c r="G484" i="15"/>
  <c r="H484" i="15"/>
  <c r="I484" i="15"/>
  <c r="J484" i="15"/>
  <c r="Z484" i="15"/>
  <c r="AA484" i="15"/>
  <c r="AB484" i="15"/>
  <c r="AC484" i="15"/>
  <c r="AD484" i="15"/>
  <c r="AE484" i="15"/>
  <c r="AF484" i="15"/>
  <c r="AG484" i="15"/>
  <c r="AH484" i="15"/>
  <c r="BQ484" i="15"/>
  <c r="F489" i="15"/>
  <c r="F512" i="15"/>
  <c r="G489" i="15"/>
  <c r="G512" i="15"/>
  <c r="H489" i="15"/>
  <c r="I489" i="15"/>
  <c r="I512" i="15"/>
  <c r="J489" i="15"/>
  <c r="J512" i="15"/>
  <c r="S489" i="15"/>
  <c r="W489" i="15"/>
  <c r="Z489" i="15"/>
  <c r="Z512" i="15"/>
  <c r="AD489" i="15"/>
  <c r="AD512" i="15"/>
  <c r="BP489" i="15"/>
  <c r="BP512" i="15"/>
  <c r="BQ489" i="15"/>
  <c r="BQ512" i="15"/>
  <c r="C541" i="15"/>
  <c r="BN492" i="15"/>
  <c r="BN541" i="15"/>
  <c r="BO492" i="15"/>
  <c r="F496" i="15"/>
  <c r="G496" i="15"/>
  <c r="H496" i="15"/>
  <c r="I496" i="15"/>
  <c r="J496" i="15"/>
  <c r="Z496" i="15"/>
  <c r="AA496" i="15"/>
  <c r="AB496" i="15"/>
  <c r="AC496" i="15"/>
  <c r="AD496" i="15"/>
  <c r="AE496" i="15"/>
  <c r="AF496" i="15"/>
  <c r="AG496" i="15"/>
  <c r="AH496" i="15"/>
  <c r="BP496" i="15"/>
  <c r="BQ496" i="15"/>
  <c r="F497" i="15"/>
  <c r="H497" i="15"/>
  <c r="I497" i="15"/>
  <c r="J497" i="15"/>
  <c r="V497" i="15"/>
  <c r="W497" i="15"/>
  <c r="Z497" i="15"/>
  <c r="BP497" i="15"/>
  <c r="AD497" i="15"/>
  <c r="BQ497" i="15"/>
  <c r="F498" i="15"/>
  <c r="G498" i="15"/>
  <c r="H498" i="15"/>
  <c r="I498" i="15"/>
  <c r="R498" i="15"/>
  <c r="S498" i="15"/>
  <c r="T498" i="15"/>
  <c r="V498" i="15"/>
  <c r="W498" i="15"/>
  <c r="W509" i="15" s="1"/>
  <c r="Z498" i="15"/>
  <c r="BP498" i="15"/>
  <c r="AD498" i="15"/>
  <c r="BQ498" i="15"/>
  <c r="F499" i="15"/>
  <c r="Y499" i="15"/>
  <c r="G499" i="15"/>
  <c r="G510" i="15" s="1"/>
  <c r="H499" i="15"/>
  <c r="H510" i="15" s="1"/>
  <c r="I499" i="15"/>
  <c r="I510" i="15" s="1"/>
  <c r="J499" i="15"/>
  <c r="BP499" i="15"/>
  <c r="BP510" i="15" s="1"/>
  <c r="AD499" i="15"/>
  <c r="BQ499" i="15"/>
  <c r="F500" i="15"/>
  <c r="G500" i="15"/>
  <c r="G511" i="15" s="1"/>
  <c r="H500" i="15"/>
  <c r="I500" i="15"/>
  <c r="I511" i="15" s="1"/>
  <c r="J500" i="15"/>
  <c r="V500" i="15"/>
  <c r="W500" i="15"/>
  <c r="X500" i="15"/>
  <c r="Z500" i="15"/>
  <c r="AD500" i="15"/>
  <c r="BQ500" i="15"/>
  <c r="BQ511" i="15" s="1"/>
  <c r="R501" i="15"/>
  <c r="V501" i="15"/>
  <c r="AA501" i="15"/>
  <c r="AE501" i="15"/>
  <c r="AF501" i="15"/>
  <c r="AG501" i="15"/>
  <c r="BN504" i="15"/>
  <c r="BO504" i="15"/>
  <c r="F507" i="15"/>
  <c r="G507" i="15"/>
  <c r="H507" i="15"/>
  <c r="I507" i="15"/>
  <c r="J507" i="15"/>
  <c r="Z507" i="15"/>
  <c r="AA507" i="15"/>
  <c r="AB507" i="15"/>
  <c r="AC507" i="15"/>
  <c r="AD507" i="15"/>
  <c r="AE507" i="15"/>
  <c r="AF507" i="15"/>
  <c r="AG507" i="15"/>
  <c r="AH507" i="15"/>
  <c r="BP507" i="15"/>
  <c r="BQ507" i="15"/>
  <c r="C508" i="15"/>
  <c r="D508" i="15"/>
  <c r="E508" i="15"/>
  <c r="BN508" i="15"/>
  <c r="BO508" i="15"/>
  <c r="C509" i="15"/>
  <c r="D509" i="15"/>
  <c r="E509" i="15"/>
  <c r="BN509" i="15"/>
  <c r="BO509" i="15"/>
  <c r="C510" i="15"/>
  <c r="D510" i="15"/>
  <c r="E510" i="15"/>
  <c r="BN510" i="15"/>
  <c r="BO510" i="15"/>
  <c r="C511" i="15"/>
  <c r="D511" i="15"/>
  <c r="E511" i="15"/>
  <c r="BN511" i="15"/>
  <c r="BO511" i="15"/>
  <c r="C512" i="15"/>
  <c r="D512" i="15"/>
  <c r="D515" i="15" s="1"/>
  <c r="D516" i="15" s="1"/>
  <c r="E512" i="15"/>
  <c r="BN512" i="15"/>
  <c r="BO512" i="15"/>
  <c r="F518" i="15"/>
  <c r="G518" i="15"/>
  <c r="H518" i="15"/>
  <c r="I518" i="15"/>
  <c r="J518" i="15"/>
  <c r="Z518" i="15"/>
  <c r="AA518" i="15"/>
  <c r="AB518" i="15"/>
  <c r="AC518" i="15"/>
  <c r="AD518" i="15"/>
  <c r="AE518" i="15"/>
  <c r="AF518" i="15"/>
  <c r="AG518" i="15"/>
  <c r="AH518" i="15"/>
  <c r="BP518" i="15"/>
  <c r="BQ518" i="15"/>
  <c r="C521" i="15"/>
  <c r="D521" i="15"/>
  <c r="E521" i="15"/>
  <c r="F521" i="15"/>
  <c r="G521" i="15"/>
  <c r="H521" i="15"/>
  <c r="I521" i="15"/>
  <c r="J521" i="15"/>
  <c r="R521" i="15"/>
  <c r="V521" i="15"/>
  <c r="Z521" i="15"/>
  <c r="AD521" i="15"/>
  <c r="AH521" i="15"/>
  <c r="BN521" i="15"/>
  <c r="BO521" i="15"/>
  <c r="BP521" i="15"/>
  <c r="BQ521" i="15"/>
  <c r="C522" i="15"/>
  <c r="D522" i="15"/>
  <c r="E522" i="15"/>
  <c r="F522" i="15"/>
  <c r="G522" i="15"/>
  <c r="H522" i="15"/>
  <c r="I522" i="15"/>
  <c r="J522" i="15"/>
  <c r="R522" i="15"/>
  <c r="V522" i="15"/>
  <c r="Z522" i="15"/>
  <c r="AD522" i="15"/>
  <c r="AH522" i="15"/>
  <c r="BN522" i="15"/>
  <c r="BO522" i="15"/>
  <c r="BP522" i="15"/>
  <c r="BQ522" i="15"/>
  <c r="C523" i="15"/>
  <c r="D523" i="15"/>
  <c r="E523" i="15"/>
  <c r="F523" i="15"/>
  <c r="G523" i="15"/>
  <c r="H523" i="15"/>
  <c r="I523" i="15"/>
  <c r="J523" i="15"/>
  <c r="R523" i="15"/>
  <c r="V523" i="15"/>
  <c r="Z523" i="15"/>
  <c r="AD523" i="15"/>
  <c r="AH523" i="15"/>
  <c r="BN523" i="15"/>
  <c r="BO523" i="15"/>
  <c r="BP523" i="15"/>
  <c r="BQ523" i="15"/>
  <c r="C524" i="15"/>
  <c r="D524" i="15"/>
  <c r="E524" i="15"/>
  <c r="F524" i="15"/>
  <c r="G524" i="15"/>
  <c r="H524" i="15"/>
  <c r="I524" i="15"/>
  <c r="J524" i="15"/>
  <c r="R524" i="15"/>
  <c r="V524" i="15"/>
  <c r="Z524" i="15"/>
  <c r="AD524" i="15"/>
  <c r="AH524" i="15"/>
  <c r="BN524" i="15"/>
  <c r="BO524" i="15"/>
  <c r="BP524" i="15"/>
  <c r="BQ524" i="15"/>
  <c r="F528" i="15"/>
  <c r="G528" i="15"/>
  <c r="H528" i="15"/>
  <c r="I528" i="15"/>
  <c r="J528" i="15"/>
  <c r="Z528" i="15"/>
  <c r="AA528" i="15"/>
  <c r="AB528" i="15"/>
  <c r="AC528" i="15"/>
  <c r="AD528" i="15"/>
  <c r="AE528" i="15"/>
  <c r="AF528" i="15"/>
  <c r="AG528" i="15"/>
  <c r="AH528" i="15"/>
  <c r="BQ528" i="15"/>
  <c r="C530" i="15"/>
  <c r="C532" i="15"/>
  <c r="C533" i="15"/>
  <c r="D530" i="15"/>
  <c r="D536" i="15"/>
  <c r="E530" i="15"/>
  <c r="E536" i="15"/>
  <c r="BN530" i="15"/>
  <c r="BO530" i="15"/>
  <c r="AA532" i="15"/>
  <c r="S533" i="15"/>
  <c r="T533" i="15"/>
  <c r="Z533" i="15"/>
  <c r="AB533" i="15"/>
  <c r="BP533" i="15"/>
  <c r="C535" i="15"/>
  <c r="D535" i="15"/>
  <c r="E535" i="15"/>
  <c r="BN535" i="15"/>
  <c r="BO535" i="15"/>
  <c r="G538" i="15"/>
  <c r="H538" i="15"/>
  <c r="I538" i="15"/>
  <c r="J538" i="15"/>
  <c r="Y538" i="15"/>
  <c r="Z538" i="15"/>
  <c r="AA538" i="15"/>
  <c r="AB538" i="15"/>
  <c r="AC538" i="15"/>
  <c r="AD538" i="15"/>
  <c r="AE538" i="15"/>
  <c r="AF538" i="15"/>
  <c r="AG538" i="15"/>
  <c r="AH538" i="15"/>
  <c r="BP538" i="15"/>
  <c r="BQ538" i="15"/>
  <c r="CC548" i="15"/>
  <c r="CD548" i="15"/>
  <c r="CE548" i="15"/>
  <c r="CE554" i="15"/>
  <c r="C1251" i="17"/>
  <c r="C1261" i="17"/>
  <c r="C1262" i="17"/>
  <c r="C1263" i="17"/>
  <c r="C1265" i="17"/>
  <c r="C1271" i="17"/>
  <c r="C1294" i="17"/>
  <c r="C1309" i="17"/>
  <c r="C1304" i="17"/>
  <c r="C1310" i="17"/>
  <c r="C1347" i="17"/>
  <c r="C1363" i="17"/>
  <c r="C1358" i="17"/>
  <c r="C1364" i="17" s="1"/>
  <c r="J1354" i="17" s="1"/>
  <c r="C1368" i="17"/>
  <c r="C1369" i="17"/>
  <c r="C1370" i="17"/>
  <c r="C1372" i="17"/>
  <c r="C1378" i="17"/>
  <c r="C1401" i="17"/>
  <c r="D1404" i="17"/>
  <c r="D1416" i="17"/>
  <c r="C1417" i="17"/>
  <c r="C1412" i="17"/>
  <c r="C1455" i="17"/>
  <c r="D1458" i="17"/>
  <c r="D1507" i="17"/>
  <c r="C1471" i="17"/>
  <c r="C1466" i="17"/>
  <c r="C1472" i="17"/>
  <c r="J1462" i="17"/>
  <c r="C1476" i="17"/>
  <c r="C1477" i="17"/>
  <c r="C1478" i="17"/>
  <c r="C1480" i="17"/>
  <c r="C1486" i="17"/>
  <c r="C1509" i="17"/>
  <c r="D1512" i="17"/>
  <c r="K1517" i="17" s="1"/>
  <c r="D1557" i="17"/>
  <c r="C1520" i="17"/>
  <c r="C1525" i="17"/>
  <c r="C1526" i="17"/>
  <c r="C1562" i="17"/>
  <c r="D1567" i="17"/>
  <c r="D1614" i="17"/>
  <c r="C1575" i="17"/>
  <c r="C1580" i="17"/>
  <c r="J1572" i="17"/>
  <c r="C1585" i="17"/>
  <c r="C1586" i="17"/>
  <c r="C1588" i="17"/>
  <c r="D1588" i="17"/>
  <c r="C1594" i="17"/>
  <c r="C1617" i="17"/>
  <c r="D1619" i="17"/>
  <c r="C1630" i="17"/>
  <c r="C1668" i="17"/>
  <c r="D1671" i="17"/>
  <c r="C1697" i="17"/>
  <c r="C1720" i="17"/>
  <c r="BR262" i="15"/>
  <c r="D1137" i="17"/>
  <c r="AL402" i="15"/>
  <c r="AL405" i="15"/>
  <c r="AL406" i="15"/>
  <c r="AL388" i="15"/>
  <c r="AL407" i="15"/>
  <c r="AL408" i="15"/>
  <c r="AL410" i="15"/>
  <c r="AL412" i="15"/>
  <c r="AM346" i="15"/>
  <c r="AJ188" i="15"/>
  <c r="AK188" i="15"/>
  <c r="AM410" i="15"/>
  <c r="G18" i="15"/>
  <c r="AP408" i="15"/>
  <c r="BT262" i="15"/>
  <c r="E335" i="15"/>
  <c r="E399" i="15"/>
  <c r="E428" i="15"/>
  <c r="C1208" i="17"/>
  <c r="AP405" i="15"/>
  <c r="AP401" i="15"/>
  <c r="C1105" i="17"/>
  <c r="AP340" i="15"/>
  <c r="AQ338" i="15"/>
  <c r="X8" i="15"/>
  <c r="AF180" i="15"/>
  <c r="AG180" i="15"/>
  <c r="AD60" i="15"/>
  <c r="AR137" i="15"/>
  <c r="AQ402" i="15"/>
  <c r="L103" i="15"/>
  <c r="R342" i="15"/>
  <c r="BY88" i="15"/>
  <c r="AO420" i="15"/>
  <c r="BU420" i="15"/>
  <c r="AJ33" i="15"/>
  <c r="AK33" i="15"/>
  <c r="AN137" i="15"/>
  <c r="BY84" i="15"/>
  <c r="H84" i="15"/>
  <c r="V88" i="15"/>
  <c r="V340" i="15"/>
  <c r="E209" i="15"/>
  <c r="E462" i="15"/>
  <c r="E404" i="15"/>
  <c r="E88" i="15"/>
  <c r="AQ514" i="15"/>
  <c r="BH88" i="15"/>
  <c r="AM514" i="15"/>
  <c r="AP89" i="15"/>
  <c r="AP60" i="15"/>
  <c r="C996" i="17"/>
  <c r="K60" i="15"/>
  <c r="AQ405" i="15"/>
  <c r="AM524" i="15"/>
  <c r="AN38" i="15"/>
  <c r="AN524" i="15"/>
  <c r="F209" i="15"/>
  <c r="F462" i="15"/>
  <c r="BI148" i="15"/>
  <c r="BJ148" i="15"/>
  <c r="BZ54" i="15"/>
  <c r="AB140" i="15"/>
  <c r="AC140" i="15"/>
  <c r="C493" i="15"/>
  <c r="K88" i="15"/>
  <c r="K209" i="15"/>
  <c r="K462" i="15"/>
  <c r="I84" i="15"/>
  <c r="AT340" i="15"/>
  <c r="AT559" i="15"/>
  <c r="AT412" i="15"/>
  <c r="AT405" i="15"/>
  <c r="AT413" i="15"/>
  <c r="AR20" i="15"/>
  <c r="AS20" i="15"/>
  <c r="AT406" i="15"/>
  <c r="AT414" i="15"/>
  <c r="AT388" i="15"/>
  <c r="AT407" i="15"/>
  <c r="AT13" i="15"/>
  <c r="AT408" i="15"/>
  <c r="AT401" i="15"/>
  <c r="AT402" i="15"/>
  <c r="AH407" i="15"/>
  <c r="AU408" i="15"/>
  <c r="BU262" i="15"/>
  <c r="AS233" i="15"/>
  <c r="AT135" i="15"/>
  <c r="C1209" i="17"/>
  <c r="AU29" i="15"/>
  <c r="AU522" i="15"/>
  <c r="AW276" i="15"/>
  <c r="N128" i="19"/>
  <c r="N129" i="19"/>
  <c r="AE522" i="15"/>
  <c r="AF35" i="15"/>
  <c r="AF522" i="15"/>
  <c r="X20" i="15"/>
  <c r="Y20" i="15"/>
  <c r="AV145" i="15"/>
  <c r="AU346" i="15"/>
  <c r="AE95" i="15"/>
  <c r="R58" i="15"/>
  <c r="AL493" i="15"/>
  <c r="AM412" i="15"/>
  <c r="AR188" i="15"/>
  <c r="AS188" i="15"/>
  <c r="C776" i="17"/>
  <c r="AG30" i="15"/>
  <c r="AE31" i="15"/>
  <c r="AE519" i="15"/>
  <c r="R66" i="15"/>
  <c r="AK252" i="15"/>
  <c r="AQ62" i="15"/>
  <c r="AQ521" i="15"/>
  <c r="AR37" i="15"/>
  <c r="S500" i="15"/>
  <c r="T500" i="15"/>
  <c r="U500" i="15"/>
  <c r="BI52" i="15"/>
  <c r="BI9" i="15"/>
  <c r="BJ8" i="15"/>
  <c r="BJ114" i="15"/>
  <c r="AO129" i="15"/>
  <c r="N402" i="15"/>
  <c r="N410" i="15"/>
  <c r="N412" i="15"/>
  <c r="N405" i="15"/>
  <c r="N406" i="15"/>
  <c r="N388" i="15"/>
  <c r="N408" i="15"/>
  <c r="BQ89" i="15"/>
  <c r="BQ60" i="15"/>
  <c r="BZ60" i="15"/>
  <c r="D247" i="15"/>
  <c r="D255" i="15"/>
  <c r="BN248" i="15"/>
  <c r="AC63" i="15"/>
  <c r="BK63" i="15"/>
  <c r="AM149" i="15"/>
  <c r="AV38" i="15"/>
  <c r="AV95" i="15"/>
  <c r="BL255" i="15"/>
  <c r="BL423" i="15"/>
  <c r="AB41" i="15"/>
  <c r="AJ147" i="15"/>
  <c r="AK147" i="15"/>
  <c r="AQ21" i="15"/>
  <c r="AR21" i="15"/>
  <c r="D342" i="15"/>
  <c r="BS84" i="15"/>
  <c r="AM104" i="15"/>
  <c r="AM89" i="15"/>
  <c r="BS89" i="15"/>
  <c r="AA348" i="15"/>
  <c r="AL255" i="15"/>
  <c r="AF464" i="15"/>
  <c r="J1355" i="17"/>
  <c r="AB15" i="15"/>
  <c r="BP18" i="15"/>
  <c r="BP22" i="15"/>
  <c r="BP13" i="15"/>
  <c r="AN29" i="15"/>
  <c r="AP92" i="15"/>
  <c r="AU498" i="15"/>
  <c r="AV498" i="15"/>
  <c r="AW498" i="15"/>
  <c r="D13" i="15"/>
  <c r="AJ11" i="15"/>
  <c r="AV136" i="15"/>
  <c r="AW136" i="15"/>
  <c r="AV464" i="15"/>
  <c r="AV11" i="15"/>
  <c r="AV238" i="15"/>
  <c r="AC420" i="15"/>
  <c r="AC252" i="15"/>
  <c r="AC64" i="15"/>
  <c r="BK64" i="15"/>
  <c r="V519" i="15"/>
  <c r="H520" i="15"/>
  <c r="BI62" i="15"/>
  <c r="BI66" i="15"/>
  <c r="C342" i="15"/>
  <c r="BI120" i="15"/>
  <c r="BU66" i="15"/>
  <c r="BU56" i="15"/>
  <c r="AU56" i="15"/>
  <c r="AU30" i="15"/>
  <c r="AV30" i="15"/>
  <c r="AW30" i="15"/>
  <c r="AU402" i="15"/>
  <c r="AU338" i="15"/>
  <c r="AV137" i="15"/>
  <c r="AW137" i="15"/>
  <c r="AV15" i="15"/>
  <c r="AW15" i="15"/>
  <c r="AU401" i="15"/>
  <c r="M456" i="15"/>
  <c r="AS252" i="15"/>
  <c r="J653" i="17"/>
  <c r="AQ252" i="15"/>
  <c r="J761" i="17" s="1"/>
  <c r="AQ355" i="15"/>
  <c r="AQ420" i="15"/>
  <c r="BW420" i="15"/>
  <c r="H18" i="15"/>
  <c r="AI56" i="15"/>
  <c r="X186" i="15"/>
  <c r="G92" i="15"/>
  <c r="AB35" i="15"/>
  <c r="AB522" i="15"/>
  <c r="BJ42" i="15"/>
  <c r="BJ120" i="15"/>
  <c r="AT325" i="15"/>
  <c r="AN183" i="15"/>
  <c r="K262" i="15"/>
  <c r="AF29" i="15"/>
  <c r="N340" i="15"/>
  <c r="N404" i="15"/>
  <c r="N88" i="15"/>
  <c r="F92" i="15"/>
  <c r="AE53" i="15"/>
  <c r="AX542" i="15"/>
  <c r="AX93" i="15"/>
  <c r="AU344" i="15"/>
  <c r="M340" i="15"/>
  <c r="AW17" i="15"/>
  <c r="N58" i="15"/>
  <c r="J436" i="17"/>
  <c r="N464" i="15"/>
  <c r="AU521" i="15"/>
  <c r="AB188" i="15"/>
  <c r="X112" i="15"/>
  <c r="Y112" i="15"/>
  <c r="AN40" i="15"/>
  <c r="AR423" i="15"/>
  <c r="AR283" i="15"/>
  <c r="AR291" i="15"/>
  <c r="AF255" i="15"/>
  <c r="AH520" i="15"/>
  <c r="AY464" i="15"/>
  <c r="N79" i="15"/>
  <c r="AW65" i="15"/>
  <c r="S56" i="15"/>
  <c r="M510" i="15"/>
  <c r="M515" i="15" s="1"/>
  <c r="M516" i="15" s="1"/>
  <c r="L54" i="15"/>
  <c r="L57" i="15"/>
  <c r="L59" i="15"/>
  <c r="AR179" i="15"/>
  <c r="AS179" i="15"/>
  <c r="Y48" i="15"/>
  <c r="J464" i="15"/>
  <c r="V58" i="15"/>
  <c r="V18" i="15"/>
  <c r="V77" i="15"/>
  <c r="AH18" i="15"/>
  <c r="AH81" i="15"/>
  <c r="AH13" i="15"/>
  <c r="X37" i="15"/>
  <c r="Y37" i="15"/>
  <c r="Y521" i="15"/>
  <c r="W521" i="15"/>
  <c r="BT89" i="15"/>
  <c r="BT60" i="15"/>
  <c r="AQ104" i="15"/>
  <c r="BO66" i="15"/>
  <c r="AX411" i="15"/>
  <c r="AE55" i="15"/>
  <c r="N95" i="15"/>
  <c r="AW241" i="15"/>
  <c r="AX405" i="15"/>
  <c r="AX402" i="15"/>
  <c r="AX401" i="15"/>
  <c r="AX412" i="15"/>
  <c r="AX410" i="15"/>
  <c r="AX407" i="15"/>
  <c r="AX94" i="15"/>
  <c r="AS155" i="19"/>
  <c r="AZ358" i="15"/>
  <c r="AZ254" i="15"/>
  <c r="AA248" i="15"/>
  <c r="BP247" i="15"/>
  <c r="D547" i="15"/>
  <c r="D550" i="15"/>
  <c r="BJ135" i="15"/>
  <c r="T136" i="15"/>
  <c r="U136" i="15"/>
  <c r="BL407" i="15"/>
  <c r="BI154" i="15"/>
  <c r="AH412" i="15"/>
  <c r="AH405" i="15"/>
  <c r="D88" i="15"/>
  <c r="AC279" i="15"/>
  <c r="J1463" i="17"/>
  <c r="K1463" i="17" s="1"/>
  <c r="AF42" i="15"/>
  <c r="AG42" i="15"/>
  <c r="M60" i="15"/>
  <c r="R349" i="15"/>
  <c r="AN346" i="15"/>
  <c r="AY78" i="15"/>
  <c r="AZ407" i="15"/>
  <c r="AY233" i="15"/>
  <c r="BV66" i="15"/>
  <c r="C343" i="17"/>
  <c r="J330" i="17"/>
  <c r="BV260" i="15"/>
  <c r="BV465" i="15"/>
  <c r="AY522" i="15"/>
  <c r="AV33" i="15"/>
  <c r="AW33" i="15"/>
  <c r="R423" i="15"/>
  <c r="R260" i="15"/>
  <c r="R364" i="15"/>
  <c r="R432" i="15"/>
  <c r="F464" i="15"/>
  <c r="AV41" i="15"/>
  <c r="AW41" i="15"/>
  <c r="BA278" i="15"/>
  <c r="AS129" i="15"/>
  <c r="AQ130" i="15"/>
  <c r="AU130" i="15"/>
  <c r="AV337" i="15"/>
  <c r="R460" i="15"/>
  <c r="R262" i="15"/>
  <c r="BS460" i="15"/>
  <c r="BS262" i="15"/>
  <c r="AQ341" i="15"/>
  <c r="AR140" i="15"/>
  <c r="AR341" i="15"/>
  <c r="BU456" i="15"/>
  <c r="AV140" i="15"/>
  <c r="AU341" i="15"/>
  <c r="AU405" i="15"/>
  <c r="D213" i="15"/>
  <c r="D220" i="15"/>
  <c r="S456" i="15"/>
  <c r="AI238" i="15"/>
  <c r="AM341" i="15"/>
  <c r="AN140" i="15"/>
  <c r="AN405" i="15"/>
  <c r="AM405" i="15"/>
  <c r="Z406" i="15"/>
  <c r="AL60" i="15"/>
  <c r="AM60" i="15"/>
  <c r="AL89" i="15"/>
  <c r="C997" i="17"/>
  <c r="L209" i="15"/>
  <c r="L462" i="15"/>
  <c r="L340" i="15"/>
  <c r="L88" i="15"/>
  <c r="AO355" i="15"/>
  <c r="AO252" i="15"/>
  <c r="BQ254" i="15"/>
  <c r="D349" i="15"/>
  <c r="X16" i="15"/>
  <c r="AB11" i="15"/>
  <c r="AC11" i="15"/>
  <c r="AA238" i="15"/>
  <c r="AE206" i="15"/>
  <c r="BP456" i="15"/>
  <c r="BP234" i="15"/>
  <c r="AC183" i="15"/>
  <c r="BL350" i="15"/>
  <c r="D520" i="15"/>
  <c r="D39" i="15"/>
  <c r="AM420" i="15"/>
  <c r="BS420" i="15"/>
  <c r="AM252" i="15"/>
  <c r="J982" i="17"/>
  <c r="V412" i="15"/>
  <c r="BK65" i="15"/>
  <c r="R520" i="15"/>
  <c r="R39" i="15"/>
  <c r="R525" i="15"/>
  <c r="N255" i="15"/>
  <c r="AY348" i="15"/>
  <c r="AY77" i="15"/>
  <c r="O279" i="15"/>
  <c r="K54" i="15"/>
  <c r="L146" i="19" s="1"/>
  <c r="AY237" i="15"/>
  <c r="O278" i="15"/>
  <c r="W410" i="15"/>
  <c r="W346" i="15"/>
  <c r="T112" i="15"/>
  <c r="U112" i="15"/>
  <c r="V66" i="15"/>
  <c r="W62" i="15"/>
  <c r="BN13" i="15"/>
  <c r="J13" i="15"/>
  <c r="BJ11" i="15"/>
  <c r="BJ17" i="15"/>
  <c r="BI80" i="15"/>
  <c r="AD88" i="15"/>
  <c r="D77" i="15"/>
  <c r="D58" i="15"/>
  <c r="I464" i="15"/>
  <c r="AQ29" i="15"/>
  <c r="BT93" i="15"/>
  <c r="BT542" i="15"/>
  <c r="BT53" i="15"/>
  <c r="BT94" i="15"/>
  <c r="BT131" i="15"/>
  <c r="BT99" i="15"/>
  <c r="C885" i="17"/>
  <c r="AN8" i="15"/>
  <c r="AN388" i="15"/>
  <c r="AN142" i="15"/>
  <c r="AN407" i="15"/>
  <c r="AZ36" i="15"/>
  <c r="BA36" i="15"/>
  <c r="BA523" i="15"/>
  <c r="AY523" i="15"/>
  <c r="C290" i="17"/>
  <c r="BI149" i="15"/>
  <c r="BJ149" i="15"/>
  <c r="AY410" i="15"/>
  <c r="AY346" i="15"/>
  <c r="AX131" i="15"/>
  <c r="AX100" i="15"/>
  <c r="AX53" i="15"/>
  <c r="R18" i="15"/>
  <c r="AY514" i="15"/>
  <c r="AZ503" i="15"/>
  <c r="AZ514" i="15"/>
  <c r="O347" i="15"/>
  <c r="AT54" i="15"/>
  <c r="AT57" i="15"/>
  <c r="AT59" i="15"/>
  <c r="O66" i="15"/>
  <c r="O184" i="15"/>
  <c r="BA252" i="15"/>
  <c r="AY497" i="15"/>
  <c r="AZ464" i="15"/>
  <c r="BA420" i="15"/>
  <c r="AY146" i="15"/>
  <c r="AY347" i="15"/>
  <c r="AZ20" i="15"/>
  <c r="BV559" i="15"/>
  <c r="CE125" i="15"/>
  <c r="CE109" i="15"/>
  <c r="CE113" i="15"/>
  <c r="R358" i="15"/>
  <c r="BL336" i="15"/>
  <c r="X142" i="15"/>
  <c r="O542" i="15"/>
  <c r="O213" i="15"/>
  <c r="O220" i="15"/>
  <c r="O100" i="15"/>
  <c r="O93" i="15"/>
  <c r="O80" i="15"/>
  <c r="C450" i="17"/>
  <c r="AW273" i="15"/>
  <c r="AZ41" i="15"/>
  <c r="BA41" i="15"/>
  <c r="O18" i="15"/>
  <c r="O103" i="15"/>
  <c r="O105" i="15"/>
  <c r="O456" i="15"/>
  <c r="AY79" i="15"/>
  <c r="O343" i="15"/>
  <c r="AY343" i="15"/>
  <c r="AY407" i="15"/>
  <c r="AZ8" i="15"/>
  <c r="BA8" i="15"/>
  <c r="AY406" i="15"/>
  <c r="AY95" i="15"/>
  <c r="AZ38" i="15"/>
  <c r="AZ524" i="15"/>
  <c r="C287" i="17"/>
  <c r="D287" i="17"/>
  <c r="D310" i="17"/>
  <c r="D311" i="17"/>
  <c r="O114" i="15"/>
  <c r="AX99" i="15"/>
  <c r="AX408" i="15"/>
  <c r="AY420" i="15"/>
  <c r="AY342" i="15"/>
  <c r="BV13" i="15"/>
  <c r="AY355" i="15"/>
  <c r="AO179" i="15"/>
  <c r="AN338" i="15"/>
  <c r="AO137" i="15"/>
  <c r="AP207" i="15"/>
  <c r="AP461" i="15"/>
  <c r="AN402" i="15"/>
  <c r="AZ17" i="15"/>
  <c r="AY80" i="15"/>
  <c r="AZ37" i="15"/>
  <c r="AY521" i="15"/>
  <c r="AY344" i="15"/>
  <c r="AY408" i="15"/>
  <c r="AZ143" i="15"/>
  <c r="AZ408" i="15"/>
  <c r="AZ188" i="15"/>
  <c r="AY190" i="15"/>
  <c r="X30" i="15"/>
  <c r="BH84" i="15"/>
  <c r="BI21" i="15"/>
  <c r="AD13" i="15"/>
  <c r="AD18" i="15"/>
  <c r="BR519" i="15"/>
  <c r="BR39" i="15"/>
  <c r="AJ143" i="15"/>
  <c r="AI344" i="15"/>
  <c r="AJ180" i="15"/>
  <c r="AK180" i="15"/>
  <c r="BR88" i="15"/>
  <c r="BZ13" i="15"/>
  <c r="BZ18" i="15"/>
  <c r="AI247" i="15"/>
  <c r="K520" i="15"/>
  <c r="K39" i="15"/>
  <c r="AM523" i="15"/>
  <c r="AN36" i="15"/>
  <c r="AM343" i="15"/>
  <c r="AM407" i="15"/>
  <c r="L350" i="15"/>
  <c r="L414" i="15"/>
  <c r="L401" i="15"/>
  <c r="L413" i="15"/>
  <c r="L405" i="15"/>
  <c r="L402" i="15"/>
  <c r="L408" i="15"/>
  <c r="L388" i="15"/>
  <c r="L410" i="15"/>
  <c r="L404" i="15"/>
  <c r="L407" i="15"/>
  <c r="AP88" i="15"/>
  <c r="AP404" i="15"/>
  <c r="AQ139" i="15"/>
  <c r="AR139" i="15"/>
  <c r="AR19" i="15"/>
  <c r="AS19" i="15"/>
  <c r="AR38" i="15"/>
  <c r="AQ524" i="15"/>
  <c r="AQ95" i="15"/>
  <c r="AQ406" i="15"/>
  <c r="AQ342" i="15"/>
  <c r="AR141" i="15"/>
  <c r="AR358" i="15"/>
  <c r="AR260" i="15"/>
  <c r="C609" i="17"/>
  <c r="C632" i="17"/>
  <c r="C633" i="17"/>
  <c r="J599" i="17"/>
  <c r="K599" i="17"/>
  <c r="AT464" i="15"/>
  <c r="BU504" i="15"/>
  <c r="AV40" i="15"/>
  <c r="AV254" i="15"/>
  <c r="C499" i="17"/>
  <c r="C522" i="17"/>
  <c r="C523" i="17"/>
  <c r="J489" i="17"/>
  <c r="AW187" i="15"/>
  <c r="AW274" i="15"/>
  <c r="M554" i="15"/>
  <c r="M566" i="15"/>
  <c r="M213" i="15"/>
  <c r="M220" i="15"/>
  <c r="N209" i="15"/>
  <c r="N462" i="15"/>
  <c r="AP350" i="15"/>
  <c r="AP414" i="15"/>
  <c r="AS247" i="15"/>
  <c r="AS255" i="15"/>
  <c r="M255" i="15"/>
  <c r="BO247" i="15"/>
  <c r="W248" i="15"/>
  <c r="AZ167" i="15"/>
  <c r="C345" i="17"/>
  <c r="C135" i="15"/>
  <c r="C554" i="15"/>
  <c r="C566" i="15"/>
  <c r="G340" i="15"/>
  <c r="G88" i="15"/>
  <c r="G209" i="15"/>
  <c r="G462" i="15"/>
  <c r="F247" i="15"/>
  <c r="Y420" i="15"/>
  <c r="Y252" i="15"/>
  <c r="Y464" i="15"/>
  <c r="J89" i="15"/>
  <c r="J60" i="15"/>
  <c r="AF40" i="15"/>
  <c r="S95" i="15"/>
  <c r="S524" i="15"/>
  <c r="AB36" i="15"/>
  <c r="BK36" i="15"/>
  <c r="AA523" i="15"/>
  <c r="G520" i="15"/>
  <c r="G39" i="15"/>
  <c r="G45" i="15"/>
  <c r="G119" i="15"/>
  <c r="G121" i="15"/>
  <c r="X33" i="15"/>
  <c r="W34" i="15"/>
  <c r="W520" i="15"/>
  <c r="AD519" i="15"/>
  <c r="F519" i="15"/>
  <c r="BJ23" i="15"/>
  <c r="BQ18" i="15"/>
  <c r="BQ13" i="15"/>
  <c r="Z18" i="15"/>
  <c r="Z22" i="15"/>
  <c r="BR66" i="15"/>
  <c r="AI62" i="15"/>
  <c r="AI66" i="15"/>
  <c r="AJ15" i="15"/>
  <c r="AI78" i="15"/>
  <c r="AJ32" i="15"/>
  <c r="AK32" i="15"/>
  <c r="AK34" i="15"/>
  <c r="AK520" i="15"/>
  <c r="AI120" i="15"/>
  <c r="AJ42" i="15"/>
  <c r="BR84" i="15"/>
  <c r="AI21" i="15"/>
  <c r="AJ21" i="15"/>
  <c r="AM94" i="15"/>
  <c r="AN37" i="15"/>
  <c r="AO37" i="15"/>
  <c r="AO521" i="15"/>
  <c r="AM521" i="15"/>
  <c r="AM408" i="15"/>
  <c r="AM344" i="15"/>
  <c r="AN143" i="15"/>
  <c r="AN408" i="15"/>
  <c r="BT408" i="15"/>
  <c r="AN180" i="15"/>
  <c r="AM99" i="15"/>
  <c r="BT18" i="15"/>
  <c r="BT13" i="15"/>
  <c r="AR142" i="15"/>
  <c r="AS142" i="15"/>
  <c r="AQ407" i="15"/>
  <c r="AQ343" i="15"/>
  <c r="AS355" i="15"/>
  <c r="AS420" i="15"/>
  <c r="BU542" i="15"/>
  <c r="BU100" i="15"/>
  <c r="BU53" i="15"/>
  <c r="AU53" i="15"/>
  <c r="BU99" i="15"/>
  <c r="BU93" i="15"/>
  <c r="BU94" i="15"/>
  <c r="BU131" i="15"/>
  <c r="AU388" i="15"/>
  <c r="AU79" i="15"/>
  <c r="AU420" i="15"/>
  <c r="AU355" i="15"/>
  <c r="AV179" i="15"/>
  <c r="AW179" i="15" s="1"/>
  <c r="AV260" i="15"/>
  <c r="AV358" i="15"/>
  <c r="N521" i="15"/>
  <c r="M346" i="15"/>
  <c r="E414" i="15"/>
  <c r="D216" i="15"/>
  <c r="D223" i="15"/>
  <c r="X254" i="15"/>
  <c r="S62" i="15"/>
  <c r="S66" i="15"/>
  <c r="W523" i="15"/>
  <c r="X36" i="15"/>
  <c r="Y36" i="15"/>
  <c r="Y523" i="15"/>
  <c r="AE337" i="15"/>
  <c r="AF136" i="15"/>
  <c r="C127" i="15"/>
  <c r="C216" i="15"/>
  <c r="S408" i="15"/>
  <c r="AS500" i="15"/>
  <c r="I460" i="15"/>
  <c r="I262" i="15"/>
  <c r="S461" i="15"/>
  <c r="BN207" i="15"/>
  <c r="BN461" i="15"/>
  <c r="E494" i="15"/>
  <c r="E541" i="15"/>
  <c r="AI55" i="15"/>
  <c r="AM58" i="15"/>
  <c r="AM237" i="15"/>
  <c r="AM479" i="15"/>
  <c r="K504" i="15"/>
  <c r="T32" i="15"/>
  <c r="I39" i="15"/>
  <c r="I520" i="15"/>
  <c r="AF33" i="15"/>
  <c r="AG33" i="15"/>
  <c r="AE34" i="15"/>
  <c r="H519" i="15"/>
  <c r="H39" i="15"/>
  <c r="H45" i="15"/>
  <c r="T29" i="15"/>
  <c r="S31" i="15"/>
  <c r="S519" i="15"/>
  <c r="AB16" i="15"/>
  <c r="AA79" i="15"/>
  <c r="BJ14" i="15"/>
  <c r="BI77" i="15"/>
  <c r="BH13" i="15"/>
  <c r="BH18" i="15"/>
  <c r="AD202" i="15" s="1"/>
  <c r="AA76" i="15"/>
  <c r="AA89" i="15"/>
  <c r="AA78" i="15"/>
  <c r="AA80" i="15"/>
  <c r="AB8" i="15"/>
  <c r="AA324" i="15"/>
  <c r="AA12" i="15"/>
  <c r="BR18" i="15"/>
  <c r="AI12" i="15"/>
  <c r="AI77" i="15"/>
  <c r="BZ88" i="15"/>
  <c r="BR209" i="15"/>
  <c r="BR462" i="15"/>
  <c r="C1210" i="17"/>
  <c r="AI279" i="15"/>
  <c r="AJ464" i="15"/>
  <c r="AJ255" i="15"/>
  <c r="AJ260" i="15"/>
  <c r="K234" i="15"/>
  <c r="AL519" i="15"/>
  <c r="AL39" i="15"/>
  <c r="AL45" i="15"/>
  <c r="AM21" i="15"/>
  <c r="AN21" i="15"/>
  <c r="AL84" i="15"/>
  <c r="AN187" i="15"/>
  <c r="AO187" i="15"/>
  <c r="C995" i="17"/>
  <c r="AM278" i="15"/>
  <c r="AM279" i="15"/>
  <c r="BS92" i="15"/>
  <c r="AN514" i="15"/>
  <c r="AO503" i="15"/>
  <c r="AO514" i="15"/>
  <c r="C936" i="17"/>
  <c r="C959" i="17"/>
  <c r="C960" i="17"/>
  <c r="J926" i="17"/>
  <c r="AN464" i="15"/>
  <c r="L347" i="15"/>
  <c r="L411" i="15"/>
  <c r="AQ497" i="15"/>
  <c r="AR497" i="15"/>
  <c r="AS497" i="15"/>
  <c r="BT456" i="15"/>
  <c r="BT464" i="15"/>
  <c r="AR16" i="15"/>
  <c r="AR36" i="15"/>
  <c r="AR523" i="15"/>
  <c r="AQ523" i="15"/>
  <c r="AS48" i="15"/>
  <c r="AR68" i="15"/>
  <c r="AR136" i="15"/>
  <c r="W350" i="15"/>
  <c r="X149" i="15"/>
  <c r="X350" i="15"/>
  <c r="AZ410" i="15"/>
  <c r="T137" i="15"/>
  <c r="T207" i="15"/>
  <c r="T461" i="15"/>
  <c r="S402" i="15"/>
  <c r="S338" i="15"/>
  <c r="R135" i="15"/>
  <c r="R336" i="15"/>
  <c r="D361" i="15"/>
  <c r="D429" i="15"/>
  <c r="D458" i="15"/>
  <c r="AC129" i="15"/>
  <c r="AA533" i="15"/>
  <c r="BL60" i="15"/>
  <c r="AF182" i="15"/>
  <c r="AG182" i="15"/>
  <c r="U181" i="15"/>
  <c r="AC172" i="15"/>
  <c r="V350" i="15"/>
  <c r="V414" i="15"/>
  <c r="AH349" i="15"/>
  <c r="AF147" i="15"/>
  <c r="AG147" i="15"/>
  <c r="AG348" i="15"/>
  <c r="AE412" i="15"/>
  <c r="W233" i="15"/>
  <c r="X135" i="15"/>
  <c r="X336" i="15"/>
  <c r="CD135" i="15"/>
  <c r="W533" i="15"/>
  <c r="X129" i="15"/>
  <c r="W130" i="15"/>
  <c r="BI114" i="15"/>
  <c r="AD92" i="15"/>
  <c r="AD554" i="15"/>
  <c r="AD566" i="15"/>
  <c r="I92" i="15"/>
  <c r="I554" i="15"/>
  <c r="I566" i="15"/>
  <c r="O340" i="15"/>
  <c r="O209" i="15"/>
  <c r="O462" i="15"/>
  <c r="BV548" i="15"/>
  <c r="BV56" i="15"/>
  <c r="G464" i="15"/>
  <c r="AC112" i="15"/>
  <c r="AC206" i="15"/>
  <c r="BK112" i="15"/>
  <c r="AA114" i="15"/>
  <c r="W407" i="15"/>
  <c r="AH410" i="15"/>
  <c r="AH408" i="15"/>
  <c r="H213" i="15"/>
  <c r="H220" i="15"/>
  <c r="H554" i="15"/>
  <c r="H566" i="15"/>
  <c r="E460" i="15"/>
  <c r="BT84" i="15"/>
  <c r="N343" i="15"/>
  <c r="AX325" i="15"/>
  <c r="AX493" i="15"/>
  <c r="AF260" i="15"/>
  <c r="AF364" i="15"/>
  <c r="AF432" i="15"/>
  <c r="AD213" i="15"/>
  <c r="BK48" i="15"/>
  <c r="AC48" i="15"/>
  <c r="AB68" i="15"/>
  <c r="AJ141" i="15"/>
  <c r="AI406" i="15"/>
  <c r="AI342" i="15"/>
  <c r="AO48" i="15"/>
  <c r="AN68" i="15"/>
  <c r="BA48" i="15"/>
  <c r="AZ68" i="15"/>
  <c r="D397" i="15"/>
  <c r="BP209" i="15"/>
  <c r="BP462" i="15"/>
  <c r="BS54" i="15"/>
  <c r="E397" i="15"/>
  <c r="D426" i="15"/>
  <c r="S401" i="15"/>
  <c r="BA166" i="15"/>
  <c r="R54" i="15"/>
  <c r="R57" i="15"/>
  <c r="R59" i="15"/>
  <c r="E54" i="15"/>
  <c r="E57" i="15"/>
  <c r="AE548" i="15"/>
  <c r="BH39" i="15"/>
  <c r="AH39" i="15"/>
  <c r="BO135" i="15"/>
  <c r="BO138" i="15"/>
  <c r="BO144" i="15"/>
  <c r="M541" i="15"/>
  <c r="R286" i="15"/>
  <c r="BA38" i="15"/>
  <c r="BA524" i="15"/>
  <c r="AT520" i="15"/>
  <c r="AT39" i="15"/>
  <c r="AT525" i="15"/>
  <c r="BA142" i="15"/>
  <c r="BA343" i="15"/>
  <c r="AZ343" i="15"/>
  <c r="AV344" i="15"/>
  <c r="AV408" i="15"/>
  <c r="AI149" i="15"/>
  <c r="AI414" i="15"/>
  <c r="AN95" i="15"/>
  <c r="AO38" i="15"/>
  <c r="AF254" i="15"/>
  <c r="AF282" i="15"/>
  <c r="AF295" i="15"/>
  <c r="AF297" i="15"/>
  <c r="C1365" i="17"/>
  <c r="C1388" i="17"/>
  <c r="C1389" i="17"/>
  <c r="AS187" i="15"/>
  <c r="AB412" i="15"/>
  <c r="AR514" i="15"/>
  <c r="AS503" i="15"/>
  <c r="AS514" i="15"/>
  <c r="AE388" i="15"/>
  <c r="AE402" i="15"/>
  <c r="AE401" i="15"/>
  <c r="V401" i="15"/>
  <c r="V405" i="15"/>
  <c r="V408" i="15"/>
  <c r="V413" i="15"/>
  <c r="AU93" i="15"/>
  <c r="AV29" i="15"/>
  <c r="AW29" i="15"/>
  <c r="E505" i="15"/>
  <c r="E547" i="15"/>
  <c r="AR338" i="15"/>
  <c r="AS137" i="15"/>
  <c r="AV207" i="15"/>
  <c r="AV461" i="15"/>
  <c r="AR402" i="15"/>
  <c r="AF338" i="15"/>
  <c r="AG137" i="15"/>
  <c r="AI207" i="15"/>
  <c r="AI461" i="15"/>
  <c r="G460" i="15"/>
  <c r="G262" i="15"/>
  <c r="G456" i="15"/>
  <c r="D494" i="15"/>
  <c r="E389" i="15"/>
  <c r="D414" i="15"/>
  <c r="AZ137" i="15"/>
  <c r="AY402" i="15"/>
  <c r="AD402" i="15"/>
  <c r="AD401" i="15"/>
  <c r="BQ401" i="15" s="1"/>
  <c r="E493" i="15"/>
  <c r="AE348" i="15"/>
  <c r="AH255" i="15"/>
  <c r="AH358" i="15"/>
  <c r="H262" i="15"/>
  <c r="J554" i="15"/>
  <c r="J566" i="15"/>
  <c r="S99" i="15"/>
  <c r="AA68" i="15"/>
  <c r="BK68" i="15" s="1"/>
  <c r="BI130" i="15"/>
  <c r="AW46" i="15"/>
  <c r="C426" i="15"/>
  <c r="V554" i="15"/>
  <c r="V566" i="15"/>
  <c r="AK479" i="15"/>
  <c r="BY60" i="15"/>
  <c r="V54" i="15"/>
  <c r="V57" i="15"/>
  <c r="V59" i="15"/>
  <c r="AQ58" i="15"/>
  <c r="BA19" i="15"/>
  <c r="S141" i="15"/>
  <c r="S406" i="15"/>
  <c r="AA130" i="15"/>
  <c r="AN77" i="15"/>
  <c r="C1582" i="17"/>
  <c r="C1604" i="17"/>
  <c r="C1605" i="17"/>
  <c r="AB464" i="15"/>
  <c r="AF186" i="15"/>
  <c r="AE190" i="15"/>
  <c r="AB182" i="15"/>
  <c r="BJ40" i="15"/>
  <c r="AF15" i="15"/>
  <c r="AE78" i="15"/>
  <c r="AZ78" i="15"/>
  <c r="AZ52" i="15"/>
  <c r="AZ114" i="15"/>
  <c r="AZ89" i="15"/>
  <c r="AZ79" i="15"/>
  <c r="AZ324" i="15"/>
  <c r="AZ388" i="15"/>
  <c r="AZ237" i="15"/>
  <c r="Y279" i="15"/>
  <c r="AC161" i="15"/>
  <c r="BK161" i="15"/>
  <c r="Y42" i="15"/>
  <c r="U19" i="15"/>
  <c r="W82" i="15"/>
  <c r="AR465" i="15"/>
  <c r="AR364" i="15"/>
  <c r="AR432" i="15"/>
  <c r="AR286" i="15"/>
  <c r="BK174" i="15"/>
  <c r="AC174" i="15"/>
  <c r="AN343" i="15"/>
  <c r="AO142" i="15"/>
  <c r="AO407" i="15"/>
  <c r="AC19" i="15"/>
  <c r="AC82" i="15"/>
  <c r="AE254" i="15"/>
  <c r="AE259" i="15" s="1"/>
  <c r="AE422" i="15"/>
  <c r="BQ422" i="15"/>
  <c r="AF358" i="15"/>
  <c r="S262" i="15"/>
  <c r="W412" i="15"/>
  <c r="BO412" i="15"/>
  <c r="AF43" i="15"/>
  <c r="AG43" i="15"/>
  <c r="AE44" i="15"/>
  <c r="H81" i="15"/>
  <c r="H22" i="15"/>
  <c r="H85" i="15"/>
  <c r="AJ412" i="15"/>
  <c r="AJ348" i="15"/>
  <c r="BN494" i="15"/>
  <c r="S348" i="15"/>
  <c r="J346" i="15"/>
  <c r="E406" i="15"/>
  <c r="E342" i="15"/>
  <c r="S405" i="15"/>
  <c r="S341" i="15"/>
  <c r="AW143" i="15"/>
  <c r="AW408" i="15"/>
  <c r="BO532" i="15"/>
  <c r="BO533" i="15"/>
  <c r="C255" i="15"/>
  <c r="C358" i="15"/>
  <c r="C254" i="15"/>
  <c r="C259" i="15"/>
  <c r="AH411" i="15"/>
  <c r="AH404" i="15"/>
  <c r="C407" i="15"/>
  <c r="AD411" i="15"/>
  <c r="E410" i="15"/>
  <c r="E346" i="15"/>
  <c r="AH413" i="15"/>
  <c r="BK140" i="15"/>
  <c r="AB405" i="15"/>
  <c r="AJ142" i="15"/>
  <c r="AI407" i="15"/>
  <c r="C547" i="15"/>
  <c r="C505" i="15"/>
  <c r="AD410" i="15"/>
  <c r="BQ410" i="15"/>
  <c r="AD407" i="15"/>
  <c r="AD408" i="15"/>
  <c r="W21" i="15"/>
  <c r="J262" i="15"/>
  <c r="J460" i="15"/>
  <c r="J340" i="15"/>
  <c r="J209" i="15"/>
  <c r="J462" i="15"/>
  <c r="AY388" i="15"/>
  <c r="R234" i="15"/>
  <c r="AW478" i="15"/>
  <c r="AY324" i="15"/>
  <c r="C536" i="15"/>
  <c r="BZ57" i="15"/>
  <c r="M283" i="15"/>
  <c r="M291" i="15"/>
  <c r="AE60" i="15"/>
  <c r="AM497" i="15"/>
  <c r="AN497" i="15"/>
  <c r="AO497" i="15"/>
  <c r="AA94" i="15"/>
  <c r="AA542" i="15"/>
  <c r="AA521" i="15"/>
  <c r="AA100" i="15"/>
  <c r="AB37" i="15"/>
  <c r="AA131" i="15"/>
  <c r="AA99" i="15"/>
  <c r="BQ520" i="15"/>
  <c r="E520" i="15"/>
  <c r="BP519" i="15"/>
  <c r="BP39" i="15"/>
  <c r="BZ39" i="15"/>
  <c r="AL554" i="15"/>
  <c r="AL566" i="15"/>
  <c r="AN255" i="15"/>
  <c r="AN260" i="15"/>
  <c r="AN286" i="15"/>
  <c r="AN254" i="15"/>
  <c r="AN422" i="15"/>
  <c r="BT422" i="15"/>
  <c r="Z520" i="15"/>
  <c r="Z39" i="15"/>
  <c r="BJ32" i="15"/>
  <c r="BI100" i="15"/>
  <c r="BI131" i="15"/>
  <c r="BK17" i="15"/>
  <c r="AC17" i="15"/>
  <c r="AI500" i="15"/>
  <c r="AJ500" i="15"/>
  <c r="AK500" i="15"/>
  <c r="C1104" i="17"/>
  <c r="AK279" i="15"/>
  <c r="AK278" i="15"/>
  <c r="AL18" i="15"/>
  <c r="AL13" i="15"/>
  <c r="C1049" i="17"/>
  <c r="C1072" i="17"/>
  <c r="C1073" i="17"/>
  <c r="J1039" i="17"/>
  <c r="AL254" i="15"/>
  <c r="AL464" i="15"/>
  <c r="AM148" i="15"/>
  <c r="AL413" i="15"/>
  <c r="AF120" i="15"/>
  <c r="AF104" i="15"/>
  <c r="AF60" i="15"/>
  <c r="BN456" i="15"/>
  <c r="T341" i="15"/>
  <c r="T405" i="15"/>
  <c r="U140" i="15"/>
  <c r="U341" i="15"/>
  <c r="X179" i="15"/>
  <c r="I349" i="15"/>
  <c r="E127" i="15"/>
  <c r="X423" i="15"/>
  <c r="BR254" i="15"/>
  <c r="BR464" i="15"/>
  <c r="AI324" i="15"/>
  <c r="AI79" i="15"/>
  <c r="AJ8" i="15"/>
  <c r="AK8" i="15"/>
  <c r="AI237" i="15"/>
  <c r="BV81" i="15"/>
  <c r="BV103" i="15"/>
  <c r="BV105" i="15"/>
  <c r="BV107" i="15"/>
  <c r="AW38" i="15"/>
  <c r="AV524" i="15"/>
  <c r="U355" i="15"/>
  <c r="U252" i="15"/>
  <c r="U464" i="15"/>
  <c r="U420" i="15"/>
  <c r="AJ40" i="15"/>
  <c r="AK40" i="15"/>
  <c r="N346" i="15"/>
  <c r="M18" i="15"/>
  <c r="M559" i="15"/>
  <c r="M570" i="15"/>
  <c r="M13" i="15"/>
  <c r="M262" i="15"/>
  <c r="M460" i="15"/>
  <c r="E532" i="15"/>
  <c r="E533" i="15"/>
  <c r="AT103" i="15"/>
  <c r="AT105" i="15"/>
  <c r="AT425" i="15"/>
  <c r="F13" i="15"/>
  <c r="W236" i="15"/>
  <c r="X11" i="15"/>
  <c r="Y11" i="15"/>
  <c r="AM338" i="15"/>
  <c r="AM402" i="15"/>
  <c r="BS402" i="15"/>
  <c r="AP325" i="15"/>
  <c r="AP493" i="15"/>
  <c r="AQ66" i="15"/>
  <c r="AB341" i="15"/>
  <c r="S55" i="15"/>
  <c r="BU254" i="15"/>
  <c r="BU282" i="15"/>
  <c r="BU295" i="15"/>
  <c r="BU297" i="15"/>
  <c r="AH414" i="15"/>
  <c r="AE408" i="15"/>
  <c r="BQ408" i="15" s="1"/>
  <c r="AO233" i="15"/>
  <c r="AP135" i="15"/>
  <c r="AO479" i="15"/>
  <c r="AY62" i="15"/>
  <c r="AY66" i="15"/>
  <c r="CD391" i="15"/>
  <c r="CC39" i="15"/>
  <c r="CC45" i="15"/>
  <c r="BP135" i="15"/>
  <c r="BY135" i="15"/>
  <c r="S68" i="15"/>
  <c r="C544" i="15"/>
  <c r="T188" i="15"/>
  <c r="AA139" i="15"/>
  <c r="Z88" i="15"/>
  <c r="Z340" i="15"/>
  <c r="D262" i="15"/>
  <c r="D460" i="15"/>
  <c r="BL340" i="15"/>
  <c r="BL88" i="15"/>
  <c r="BL404" i="15"/>
  <c r="W420" i="15"/>
  <c r="BO420" i="15"/>
  <c r="W252" i="15"/>
  <c r="W464" i="15"/>
  <c r="W355" i="15"/>
  <c r="F456" i="15"/>
  <c r="AB189" i="15"/>
  <c r="AB190" i="15"/>
  <c r="AA190" i="15"/>
  <c r="AC186" i="15"/>
  <c r="CD125" i="15"/>
  <c r="AH54" i="15"/>
  <c r="AK146" i="19" s="1"/>
  <c r="AI53" i="15"/>
  <c r="T337" i="15"/>
  <c r="T401" i="15"/>
  <c r="X521" i="15"/>
  <c r="AS254" i="15"/>
  <c r="AS357" i="15"/>
  <c r="C663" i="17"/>
  <c r="D663" i="17"/>
  <c r="D686" i="17"/>
  <c r="D687" i="17"/>
  <c r="H202" i="15"/>
  <c r="H559" i="15"/>
  <c r="H103" i="15"/>
  <c r="H105" i="15"/>
  <c r="E205" i="15"/>
  <c r="E458" i="15"/>
  <c r="BO205" i="15"/>
  <c r="BO458" i="15"/>
  <c r="AM53" i="15"/>
  <c r="L213" i="15"/>
  <c r="L220" i="15"/>
  <c r="L554" i="15"/>
  <c r="L566" i="15"/>
  <c r="AV147" i="15"/>
  <c r="AU412" i="15"/>
  <c r="AU348" i="15"/>
  <c r="AM76" i="15"/>
  <c r="AM78" i="15"/>
  <c r="AM12" i="15"/>
  <c r="AM13" i="15"/>
  <c r="AM77" i="15"/>
  <c r="AM324" i="15"/>
  <c r="AM131" i="15"/>
  <c r="AM388" i="15"/>
  <c r="BS388" i="15"/>
  <c r="AM9" i="15"/>
  <c r="AM493" i="15"/>
  <c r="AV522" i="15"/>
  <c r="AW35" i="15"/>
  <c r="AW522" i="15"/>
  <c r="S355" i="15"/>
  <c r="S252" i="15"/>
  <c r="S464" i="15"/>
  <c r="AI524" i="15"/>
  <c r="AJ38" i="15"/>
  <c r="AI95" i="15"/>
  <c r="AI337" i="15"/>
  <c r="AI401" i="15"/>
  <c r="BR401" i="15"/>
  <c r="G202" i="15"/>
  <c r="G81" i="15"/>
  <c r="G559" i="15"/>
  <c r="G103" i="15"/>
  <c r="G105" i="15"/>
  <c r="G327" i="15"/>
  <c r="BN505" i="15"/>
  <c r="BN547" i="15"/>
  <c r="D1243" i="17"/>
  <c r="AH420" i="15"/>
  <c r="T17" i="15"/>
  <c r="S80" i="15"/>
  <c r="AI131" i="15"/>
  <c r="AJ29" i="15"/>
  <c r="AI31" i="15"/>
  <c r="AI519" i="15"/>
  <c r="BK173" i="15"/>
  <c r="AC173" i="15"/>
  <c r="AB40" i="15"/>
  <c r="BK40" i="15"/>
  <c r="AA93" i="15"/>
  <c r="T38" i="15"/>
  <c r="T524" i="15"/>
  <c r="S548" i="15"/>
  <c r="S92" i="15"/>
  <c r="BP84" i="15"/>
  <c r="AU31" i="15"/>
  <c r="AU548" i="15"/>
  <c r="X40" i="15"/>
  <c r="W44" i="15"/>
  <c r="AB33" i="15"/>
  <c r="AA34" i="15"/>
  <c r="AZ348" i="15"/>
  <c r="AY412" i="15"/>
  <c r="W53" i="15"/>
  <c r="N62" i="15"/>
  <c r="N66" i="15"/>
  <c r="AW16" i="15"/>
  <c r="AW62" i="15"/>
  <c r="AW66" i="15"/>
  <c r="AX406" i="15"/>
  <c r="AY247" i="15"/>
  <c r="AY255" i="15"/>
  <c r="BV254" i="15"/>
  <c r="BV467" i="15"/>
  <c r="AR11" i="15"/>
  <c r="O88" i="15"/>
  <c r="BQ22" i="15"/>
  <c r="AB523" i="15"/>
  <c r="AC36" i="15"/>
  <c r="AC523" i="15"/>
  <c r="AR407" i="15"/>
  <c r="AR343" i="15"/>
  <c r="AO180" i="15"/>
  <c r="AI255" i="15"/>
  <c r="AI423" i="15"/>
  <c r="BR423" i="15"/>
  <c r="BZ559" i="15"/>
  <c r="AR524" i="15"/>
  <c r="AS38" i="15"/>
  <c r="AS95" i="15"/>
  <c r="AR95" i="15"/>
  <c r="K505" i="15"/>
  <c r="K547" i="15"/>
  <c r="K550" i="15"/>
  <c r="AS36" i="15"/>
  <c r="AS523" i="15"/>
  <c r="H525" i="15"/>
  <c r="Y129" i="15"/>
  <c r="AB130" i="15"/>
  <c r="U32" i="15"/>
  <c r="AJ358" i="15"/>
  <c r="W135" i="15"/>
  <c r="AB78" i="15"/>
  <c r="T402" i="15"/>
  <c r="U137" i="15"/>
  <c r="T338" i="15"/>
  <c r="AC8" i="15"/>
  <c r="AC237" i="15"/>
  <c r="AJ423" i="15"/>
  <c r="M494" i="15"/>
  <c r="BA407" i="15"/>
  <c r="AF259" i="15"/>
  <c r="AF285" i="15"/>
  <c r="AF422" i="15"/>
  <c r="AF467" i="15"/>
  <c r="H24" i="15"/>
  <c r="H86" i="15"/>
  <c r="M544" i="15"/>
  <c r="M22" i="15"/>
  <c r="M24" i="15"/>
  <c r="AS292" i="15"/>
  <c r="T95" i="15"/>
  <c r="AB139" i="15"/>
  <c r="AY76" i="15"/>
  <c r="BB22" i="15"/>
  <c r="BB85" i="15"/>
  <c r="AC195" i="15"/>
  <c r="AK41" i="15"/>
  <c r="AI346" i="15"/>
  <c r="AJ145" i="15"/>
  <c r="AK145" i="15"/>
  <c r="AI410" i="15"/>
  <c r="BR213" i="15"/>
  <c r="BR220" i="15"/>
  <c r="BZ554" i="15"/>
  <c r="BZ566" i="15"/>
  <c r="AK186" i="15"/>
  <c r="AG29" i="15"/>
  <c r="AF31" i="15"/>
  <c r="AF519" i="15"/>
  <c r="J456" i="15"/>
  <c r="J234" i="15"/>
  <c r="AA184" i="15"/>
  <c r="AC175" i="15"/>
  <c r="BK175" i="15"/>
  <c r="T104" i="15"/>
  <c r="S89" i="15"/>
  <c r="H60" i="15"/>
  <c r="H89" i="15"/>
  <c r="AC104" i="15"/>
  <c r="F22" i="15"/>
  <c r="F86" i="15"/>
  <c r="F202" i="15"/>
  <c r="F559" i="15"/>
  <c r="AG40" i="15"/>
  <c r="AE262" i="15"/>
  <c r="AE460" i="15"/>
  <c r="AO343" i="15"/>
  <c r="AE520" i="15"/>
  <c r="AZ422" i="15"/>
  <c r="BU54" i="15"/>
  <c r="BA20" i="15"/>
  <c r="X260" i="15"/>
  <c r="X286" i="15"/>
  <c r="X358" i="15"/>
  <c r="BO254" i="15"/>
  <c r="AQ88" i="15"/>
  <c r="AR405" i="15"/>
  <c r="AS140" i="15"/>
  <c r="AS341" i="15"/>
  <c r="G525" i="15"/>
  <c r="AF145" i="15"/>
  <c r="AF346" i="15"/>
  <c r="AE346" i="15"/>
  <c r="I88" i="15"/>
  <c r="C404" i="15"/>
  <c r="C209" i="15"/>
  <c r="C462" i="15"/>
  <c r="C340" i="15"/>
  <c r="C88" i="15"/>
  <c r="AD89" i="15"/>
  <c r="AE104" i="15"/>
  <c r="G89" i="15"/>
  <c r="AZ146" i="15"/>
  <c r="AY411" i="15"/>
  <c r="T206" i="15"/>
  <c r="AH22" i="15"/>
  <c r="AH85" i="15"/>
  <c r="AA13" i="15"/>
  <c r="O202" i="15"/>
  <c r="O81" i="15"/>
  <c r="BA145" i="15"/>
  <c r="AZ346" i="15"/>
  <c r="AA406" i="15"/>
  <c r="AB141" i="15"/>
  <c r="AN344" i="15"/>
  <c r="J202" i="15"/>
  <c r="BL347" i="15"/>
  <c r="BL411" i="15"/>
  <c r="V411" i="15"/>
  <c r="V347" i="15"/>
  <c r="AM350" i="15"/>
  <c r="AA407" i="15"/>
  <c r="AA408" i="15"/>
  <c r="BP103" i="15"/>
  <c r="BP105" i="15"/>
  <c r="BP107" i="15"/>
  <c r="C771" i="17"/>
  <c r="C794" i="17"/>
  <c r="C795" i="17"/>
  <c r="BP81" i="15"/>
  <c r="C1473" i="17"/>
  <c r="C1496" i="17"/>
  <c r="C1497" i="17"/>
  <c r="AD254" i="15"/>
  <c r="AD282" i="15"/>
  <c r="AD295" i="15"/>
  <c r="AD297" i="15"/>
  <c r="AD234" i="15"/>
  <c r="Z554" i="15"/>
  <c r="Z566" i="15"/>
  <c r="H340" i="15"/>
  <c r="AE497" i="15"/>
  <c r="W402" i="15"/>
  <c r="BK162" i="15"/>
  <c r="BO547" i="15"/>
  <c r="BO550" i="15"/>
  <c r="BO505" i="15"/>
  <c r="K381" i="15"/>
  <c r="K400" i="15"/>
  <c r="AH388" i="15"/>
  <c r="AL389" i="15"/>
  <c r="AH402" i="15"/>
  <c r="AH406" i="15"/>
  <c r="BR406" i="15"/>
  <c r="AD412" i="15"/>
  <c r="BQ412" i="15" s="1"/>
  <c r="AD406" i="15"/>
  <c r="AD404" i="15"/>
  <c r="J381" i="15"/>
  <c r="T145" i="15"/>
  <c r="S344" i="15"/>
  <c r="T143" i="15"/>
  <c r="AF141" i="15"/>
  <c r="AE406" i="15"/>
  <c r="BR456" i="15"/>
  <c r="H234" i="15"/>
  <c r="BI31" i="15"/>
  <c r="F54" i="15"/>
  <c r="F57" i="15"/>
  <c r="F59" i="15"/>
  <c r="AQ80" i="15"/>
  <c r="AR8" i="15"/>
  <c r="AR114" i="15"/>
  <c r="AQ388" i="15"/>
  <c r="AE131" i="15"/>
  <c r="AG129" i="15"/>
  <c r="AG130" i="15"/>
  <c r="AP402" i="15"/>
  <c r="BW402" i="15"/>
  <c r="AP406" i="15"/>
  <c r="AP388" i="15"/>
  <c r="AP389" i="15"/>
  <c r="AP412" i="15"/>
  <c r="BB358" i="15"/>
  <c r="BB423" i="15"/>
  <c r="BB260" i="15"/>
  <c r="BB286" i="15"/>
  <c r="BB283" i="15"/>
  <c r="BB291" i="15"/>
  <c r="AM499" i="15"/>
  <c r="AN499" i="15"/>
  <c r="AO499" i="15"/>
  <c r="BB493" i="15"/>
  <c r="BB325" i="15"/>
  <c r="BB464" i="15"/>
  <c r="BB254" i="15"/>
  <c r="BB282" i="15"/>
  <c r="BB295" i="15"/>
  <c r="BB297" i="15"/>
  <c r="AY68" i="15"/>
  <c r="BB559" i="15"/>
  <c r="BB103" i="15"/>
  <c r="BB105" i="15"/>
  <c r="BB81" i="15"/>
  <c r="BB402" i="15"/>
  <c r="BB410" i="15"/>
  <c r="BB404" i="15"/>
  <c r="BB13" i="15"/>
  <c r="BB93" i="15"/>
  <c r="K404" i="15"/>
  <c r="K414" i="15"/>
  <c r="AJ346" i="15"/>
  <c r="BK179" i="15"/>
  <c r="AC141" i="15"/>
  <c r="AC406" i="15"/>
  <c r="AB342" i="15"/>
  <c r="BB547" i="15"/>
  <c r="K402" i="15"/>
  <c r="K407" i="15"/>
  <c r="Y233" i="15"/>
  <c r="F234" i="15"/>
  <c r="C399" i="15"/>
  <c r="C428" i="15"/>
  <c r="C450" i="15"/>
  <c r="C335" i="15"/>
  <c r="C138" i="15"/>
  <c r="BY81" i="15"/>
  <c r="U38" i="15"/>
  <c r="BU467" i="15"/>
  <c r="BU292" i="15"/>
  <c r="AE357" i="15"/>
  <c r="AF348" i="15"/>
  <c r="AF412" i="15"/>
  <c r="R81" i="15"/>
  <c r="R22" i="15"/>
  <c r="R103" i="15"/>
  <c r="R105" i="15"/>
  <c r="R559" i="15"/>
  <c r="BR283" i="15"/>
  <c r="BR291" i="15"/>
  <c r="BR260" i="15"/>
  <c r="BY13" i="15"/>
  <c r="N260" i="15"/>
  <c r="N358" i="15"/>
  <c r="N423" i="15"/>
  <c r="AG136" i="15"/>
  <c r="BV83" i="15"/>
  <c r="M358" i="15"/>
  <c r="AF420" i="15"/>
  <c r="X407" i="15"/>
  <c r="AN341" i="15"/>
  <c r="O22" i="15"/>
  <c r="Y145" i="15"/>
  <c r="Y346" i="15"/>
  <c r="X410" i="15"/>
  <c r="BN532" i="15"/>
  <c r="BN536" i="15"/>
  <c r="O559" i="15"/>
  <c r="AR29" i="15"/>
  <c r="AQ464" i="15"/>
  <c r="U233" i="15"/>
  <c r="AC165" i="15"/>
  <c r="BK165" i="15"/>
  <c r="D254" i="15"/>
  <c r="AI338" i="15"/>
  <c r="AI402" i="15"/>
  <c r="BR402" i="15" s="1"/>
  <c r="AJ137" i="15"/>
  <c r="W190" i="15"/>
  <c r="BQ234" i="15"/>
  <c r="AQ499" i="15"/>
  <c r="BL39" i="15"/>
  <c r="BL45" i="15"/>
  <c r="J39" i="15"/>
  <c r="J519" i="15"/>
  <c r="AE62" i="15"/>
  <c r="AE66" i="15"/>
  <c r="AD66" i="15"/>
  <c r="BB406" i="15"/>
  <c r="BB412" i="15"/>
  <c r="BB401" i="15"/>
  <c r="BB408" i="15"/>
  <c r="BB407" i="15"/>
  <c r="BB388" i="15"/>
  <c r="BB405" i="15"/>
  <c r="BB411" i="15"/>
  <c r="BB414" i="15"/>
  <c r="BB350" i="15"/>
  <c r="BW283" i="15"/>
  <c r="BW291" i="15"/>
  <c r="AY236" i="15"/>
  <c r="C183" i="17"/>
  <c r="C206" i="17"/>
  <c r="C207" i="17"/>
  <c r="J173" i="17"/>
  <c r="BW260" i="15"/>
  <c r="BB31" i="15"/>
  <c r="BB519" i="15"/>
  <c r="BB99" i="15"/>
  <c r="BB131" i="15"/>
  <c r="D168" i="17"/>
  <c r="D173" i="17"/>
  <c r="BW254" i="15"/>
  <c r="BB340" i="15"/>
  <c r="BW131" i="15"/>
  <c r="BW278" i="15"/>
  <c r="BW13" i="15"/>
  <c r="BW93" i="15"/>
  <c r="BB53" i="15"/>
  <c r="BB54" i="15"/>
  <c r="BW31" i="15"/>
  <c r="BW94" i="15"/>
  <c r="AP489" i="15"/>
  <c r="AP512" i="15"/>
  <c r="F487" i="15"/>
  <c r="AP488" i="15"/>
  <c r="AD488" i="15"/>
  <c r="AN112" i="19"/>
  <c r="AN134" i="19"/>
  <c r="AM112" i="19"/>
  <c r="AM125" i="19"/>
  <c r="AJ489" i="15"/>
  <c r="AN125" i="19"/>
  <c r="AI489" i="15"/>
  <c r="AZ112" i="19"/>
  <c r="AM114" i="19"/>
  <c r="AL135" i="19"/>
  <c r="BC76" i="15"/>
  <c r="T186" i="15"/>
  <c r="U186" i="15"/>
  <c r="W501" i="15"/>
  <c r="W512" i="15" s="1"/>
  <c r="X501" i="15"/>
  <c r="Y501" i="15"/>
  <c r="V504" i="15"/>
  <c r="V547" i="15"/>
  <c r="V550" i="15"/>
  <c r="Z350" i="15"/>
  <c r="AA149" i="15"/>
  <c r="AB149" i="15"/>
  <c r="AB350" i="15"/>
  <c r="Z85" i="15"/>
  <c r="AF337" i="15"/>
  <c r="AF401" i="15"/>
  <c r="J22" i="15"/>
  <c r="J86" i="15"/>
  <c r="J559" i="15"/>
  <c r="J81" i="15"/>
  <c r="J103" i="15"/>
  <c r="J105" i="15"/>
  <c r="AW344" i="15"/>
  <c r="AF465" i="15"/>
  <c r="AF83" i="15"/>
  <c r="AF286" i="15"/>
  <c r="V82" i="15"/>
  <c r="AV500" i="15"/>
  <c r="AW500" i="15"/>
  <c r="BS407" i="15"/>
  <c r="BZ81" i="15"/>
  <c r="BZ103" i="15"/>
  <c r="BZ105" i="15"/>
  <c r="BZ107" i="15"/>
  <c r="BJ21" i="15"/>
  <c r="BJ84" i="15"/>
  <c r="BI84" i="15"/>
  <c r="AL103" i="15"/>
  <c r="AL105" i="15"/>
  <c r="AL22" i="15"/>
  <c r="AL24" i="15"/>
  <c r="BA167" i="15"/>
  <c r="C292" i="17"/>
  <c r="AV292" i="15"/>
  <c r="AV422" i="15"/>
  <c r="AV467" i="15"/>
  <c r="BK180" i="15"/>
  <c r="AC180" i="15"/>
  <c r="U497" i="15"/>
  <c r="AO183" i="15"/>
  <c r="AO184" i="15" s="1"/>
  <c r="AN184" i="15"/>
  <c r="AS189" i="15"/>
  <c r="AA82" i="15"/>
  <c r="BJ82" i="15"/>
  <c r="Y82" i="15"/>
  <c r="BI82" i="15"/>
  <c r="AB82" i="15"/>
  <c r="Y33" i="15"/>
  <c r="AE92" i="15"/>
  <c r="Z103" i="15"/>
  <c r="Z105" i="15"/>
  <c r="Z81" i="15"/>
  <c r="Z559" i="15"/>
  <c r="AX54" i="15"/>
  <c r="AM464" i="15"/>
  <c r="AC68" i="15"/>
  <c r="BA37" i="15"/>
  <c r="BA521" i="15"/>
  <c r="AZ521" i="15"/>
  <c r="AO207" i="15"/>
  <c r="AO461" i="15"/>
  <c r="AO402" i="15"/>
  <c r="AR207" i="15"/>
  <c r="AR461" i="15"/>
  <c r="AQ207" i="15"/>
  <c r="AQ461" i="15"/>
  <c r="AO338" i="15"/>
  <c r="V532" i="15"/>
  <c r="X532" i="15"/>
  <c r="Y149" i="15"/>
  <c r="Y414" i="15"/>
  <c r="X414" i="15"/>
  <c r="AC16" i="15"/>
  <c r="AC79" i="15"/>
  <c r="AB62" i="15"/>
  <c r="AB66" i="15"/>
  <c r="AZ523" i="15"/>
  <c r="AF183" i="15"/>
  <c r="AG183" i="15"/>
  <c r="AC32" i="15"/>
  <c r="BK32" i="15"/>
  <c r="D260" i="15"/>
  <c r="AA344" i="15"/>
  <c r="AB143" i="15"/>
  <c r="AB408" i="15"/>
  <c r="AD283" i="15"/>
  <c r="C1487" i="17"/>
  <c r="AD260" i="15"/>
  <c r="AD364" i="15"/>
  <c r="AD432" i="15"/>
  <c r="AD423" i="15"/>
  <c r="BK43" i="15"/>
  <c r="AC43" i="15"/>
  <c r="S522" i="15"/>
  <c r="T35" i="15"/>
  <c r="U35" i="15"/>
  <c r="U522" i="15"/>
  <c r="AO248" i="15"/>
  <c r="BP504" i="15"/>
  <c r="BP505" i="15"/>
  <c r="BQ292" i="15"/>
  <c r="BQ259" i="15"/>
  <c r="C460" i="15"/>
  <c r="C262" i="15"/>
  <c r="R465" i="15"/>
  <c r="AI84" i="15"/>
  <c r="L559" i="15"/>
  <c r="AV401" i="15"/>
  <c r="BI145" i="15"/>
  <c r="BJ145" i="15"/>
  <c r="AL283" i="15"/>
  <c r="C1063" i="17"/>
  <c r="BP559" i="15"/>
  <c r="CE135" i="15"/>
  <c r="CC135" i="15"/>
  <c r="I504" i="15"/>
  <c r="CD554" i="15"/>
  <c r="AA146" i="15"/>
  <c r="AA347" i="15"/>
  <c r="BI78" i="15"/>
  <c r="BZ82" i="15"/>
  <c r="C349" i="15"/>
  <c r="D18" i="15"/>
  <c r="D22" i="15"/>
  <c r="D86" i="15"/>
  <c r="AQ44" i="15"/>
  <c r="BW60" i="15"/>
  <c r="BC60" i="15"/>
  <c r="BW89" i="15"/>
  <c r="AT350" i="15"/>
  <c r="AU149" i="15"/>
  <c r="AU350" i="15"/>
  <c r="BW88" i="15"/>
  <c r="BC238" i="15"/>
  <c r="BC402" i="15"/>
  <c r="BB94" i="15"/>
  <c r="BC524" i="15"/>
  <c r="BC130" i="15"/>
  <c r="BC233" i="15"/>
  <c r="AW171" i="15"/>
  <c r="BW548" i="15"/>
  <c r="BW56" i="15"/>
  <c r="BW234" i="15"/>
  <c r="BW135" i="15"/>
  <c r="BW460" i="15"/>
  <c r="V505" i="15"/>
  <c r="T522" i="15"/>
  <c r="Y350" i="15"/>
  <c r="BC355" i="15"/>
  <c r="BC82" i="15"/>
  <c r="BC252" i="15"/>
  <c r="BC464" i="15"/>
  <c r="BC420" i="15"/>
  <c r="AD465" i="15"/>
  <c r="BK149" i="15"/>
  <c r="D600" i="17"/>
  <c r="F486" i="15"/>
  <c r="F509" i="15"/>
  <c r="Y116" i="19"/>
  <c r="BH127" i="19"/>
  <c r="AI125" i="19"/>
  <c r="C515" i="15"/>
  <c r="C516" i="15"/>
  <c r="BO493" i="15"/>
  <c r="J485" i="15"/>
  <c r="Y119" i="19"/>
  <c r="Z119" i="19"/>
  <c r="X124" i="19"/>
  <c r="W488" i="15"/>
  <c r="W511" i="15"/>
  <c r="R489" i="15"/>
  <c r="R512" i="15"/>
  <c r="AU124" i="19"/>
  <c r="AQ488" i="15"/>
  <c r="AQ511" i="15"/>
  <c r="N513" i="15"/>
  <c r="AN119" i="19"/>
  <c r="BR487" i="15"/>
  <c r="BR510" i="15"/>
  <c r="BF145" i="19"/>
  <c r="BF146" i="19"/>
  <c r="AZ123" i="19"/>
  <c r="AV487" i="15"/>
  <c r="T118" i="19"/>
  <c r="BS128" i="19"/>
  <c r="BS129" i="19"/>
  <c r="AW160" i="19"/>
  <c r="BA112" i="19"/>
  <c r="BL128" i="19"/>
  <c r="BL129" i="19"/>
  <c r="AN116" i="19"/>
  <c r="AC125" i="19"/>
  <c r="H485" i="15"/>
  <c r="AJ153" i="19"/>
  <c r="O485" i="15"/>
  <c r="H128" i="19"/>
  <c r="H129" i="19"/>
  <c r="AN120" i="19"/>
  <c r="AH123" i="19"/>
  <c r="BC489" i="15"/>
  <c r="BC512" i="15"/>
  <c r="BD135" i="15"/>
  <c r="BD336" i="15"/>
  <c r="AF318" i="15"/>
  <c r="AF363" i="15"/>
  <c r="AF431" i="15"/>
  <c r="Z45" i="15"/>
  <c r="Z525" i="15"/>
  <c r="AO8" i="15"/>
  <c r="AO9" i="15"/>
  <c r="AN237" i="15"/>
  <c r="AN52" i="15"/>
  <c r="AN324" i="15"/>
  <c r="AN114" i="15"/>
  <c r="AN78" i="15"/>
  <c r="BP255" i="15"/>
  <c r="AA247" i="15"/>
  <c r="BP254" i="15"/>
  <c r="AD520" i="15"/>
  <c r="AD39" i="15"/>
  <c r="F520" i="15"/>
  <c r="F39" i="15"/>
  <c r="T33" i="15"/>
  <c r="S34" i="15"/>
  <c r="BQ519" i="15"/>
  <c r="BQ39" i="15"/>
  <c r="BQ45" i="15"/>
  <c r="E519" i="15"/>
  <c r="E39" i="15"/>
  <c r="BJ29" i="15"/>
  <c r="BI93" i="15"/>
  <c r="BI92" i="15"/>
  <c r="BI542" i="15"/>
  <c r="BI53" i="15"/>
  <c r="BI54" i="15"/>
  <c r="BL18" i="15"/>
  <c r="BL81" i="15"/>
  <c r="BL13" i="15"/>
  <c r="I18" i="15"/>
  <c r="I13" i="15"/>
  <c r="AF11" i="15"/>
  <c r="AE76" i="15"/>
  <c r="AE9" i="15"/>
  <c r="AE325" i="15"/>
  <c r="AE324" i="15"/>
  <c r="AF8" i="15"/>
  <c r="AF78" i="15"/>
  <c r="AE12" i="15"/>
  <c r="AE114" i="15"/>
  <c r="AJ43" i="15"/>
  <c r="AI44" i="15"/>
  <c r="AI405" i="15"/>
  <c r="BR405" i="15"/>
  <c r="AJ140" i="15"/>
  <c r="AI341" i="15"/>
  <c r="BZ84" i="15"/>
  <c r="BZ22" i="15"/>
  <c r="BZ24" i="15"/>
  <c r="BZ26" i="15"/>
  <c r="AK420" i="15"/>
  <c r="AK355" i="15"/>
  <c r="AM500" i="15"/>
  <c r="AN500" i="15"/>
  <c r="AO500" i="15"/>
  <c r="AL504" i="15"/>
  <c r="BS18" i="15"/>
  <c r="BS13" i="15"/>
  <c r="D532" i="15"/>
  <c r="D533" i="15"/>
  <c r="I254" i="15"/>
  <c r="I255" i="15"/>
  <c r="BH89" i="15"/>
  <c r="BH60" i="15"/>
  <c r="BN57" i="15"/>
  <c r="BI94" i="15"/>
  <c r="BI44" i="15"/>
  <c r="BI58" i="15"/>
  <c r="BJ41" i="15"/>
  <c r="AE99" i="15"/>
  <c r="AE39" i="15"/>
  <c r="AE521" i="15"/>
  <c r="AF37" i="15"/>
  <c r="T36" i="15"/>
  <c r="S523" i="15"/>
  <c r="BV135" i="15"/>
  <c r="D138" i="15"/>
  <c r="D144" i="15"/>
  <c r="D150" i="15"/>
  <c r="D351" i="15"/>
  <c r="AB80" i="15"/>
  <c r="AB52" i="15"/>
  <c r="AB89" i="15"/>
  <c r="AQ340" i="15"/>
  <c r="AQ404" i="15"/>
  <c r="BW404" i="15"/>
  <c r="AO36" i="15"/>
  <c r="AO523" i="15"/>
  <c r="AN523" i="15"/>
  <c r="BQ88" i="15"/>
  <c r="BQ209" i="15"/>
  <c r="I340" i="15"/>
  <c r="I209" i="15"/>
  <c r="AB255" i="15"/>
  <c r="AB254" i="15"/>
  <c r="BD80" i="15"/>
  <c r="AM349" i="15"/>
  <c r="AN148" i="15"/>
  <c r="C1527" i="17"/>
  <c r="AC464" i="15"/>
  <c r="AH260" i="15"/>
  <c r="AH83" i="15"/>
  <c r="AH423" i="15"/>
  <c r="AC388" i="15"/>
  <c r="AK348" i="15"/>
  <c r="AK412" i="15"/>
  <c r="Z349" i="15"/>
  <c r="Z413" i="15"/>
  <c r="E413" i="15"/>
  <c r="E349" i="15"/>
  <c r="AE344" i="15"/>
  <c r="AF143" i="15"/>
  <c r="T142" i="15"/>
  <c r="S343" i="15"/>
  <c r="W141" i="15"/>
  <c r="V342" i="15"/>
  <c r="X136" i="15"/>
  <c r="W337" i="15"/>
  <c r="W401" i="15"/>
  <c r="AE233" i="15"/>
  <c r="AE237" i="15"/>
  <c r="G234" i="15"/>
  <c r="H135" i="15"/>
  <c r="I135" i="15"/>
  <c r="D335" i="15"/>
  <c r="D399" i="15"/>
  <c r="D428" i="15"/>
  <c r="D450" i="15"/>
  <c r="C458" i="15"/>
  <c r="C361" i="15"/>
  <c r="C429" i="15"/>
  <c r="D400" i="15"/>
  <c r="AJ34" i="15"/>
  <c r="AJ520" i="15"/>
  <c r="AH283" i="15"/>
  <c r="C1272" i="17"/>
  <c r="AI501" i="15"/>
  <c r="BR504" i="15"/>
  <c r="BA248" i="15"/>
  <c r="BS554" i="15"/>
  <c r="BS566" i="15"/>
  <c r="BS213" i="15"/>
  <c r="Y186" i="15"/>
  <c r="X190" i="15"/>
  <c r="J1091" i="17"/>
  <c r="C1101" i="17"/>
  <c r="C1124" i="17"/>
  <c r="C1125" i="17"/>
  <c r="AA402" i="15"/>
  <c r="AA388" i="15"/>
  <c r="I381" i="15"/>
  <c r="H381" i="15"/>
  <c r="AA405" i="15"/>
  <c r="AA412" i="15"/>
  <c r="S460" i="15"/>
  <c r="BN206" i="15"/>
  <c r="BN460" i="15"/>
  <c r="AE201" i="15"/>
  <c r="AE456" i="15"/>
  <c r="BQ456" i="15"/>
  <c r="AR180" i="15"/>
  <c r="AQ184" i="15"/>
  <c r="AQ30" i="15"/>
  <c r="AR30" i="15"/>
  <c r="AS30" i="15"/>
  <c r="BT56" i="15"/>
  <c r="AQ56" i="15"/>
  <c r="BT31" i="15"/>
  <c r="BT548" i="15"/>
  <c r="BT554" i="15"/>
  <c r="BT566" i="15"/>
  <c r="AU100" i="15"/>
  <c r="AU542" i="15"/>
  <c r="AV37" i="15"/>
  <c r="AV142" i="15"/>
  <c r="AU407" i="15"/>
  <c r="AU343" i="15"/>
  <c r="AU99" i="15"/>
  <c r="AX18" i="15"/>
  <c r="AX13" i="15"/>
  <c r="C347" i="15"/>
  <c r="C411" i="15"/>
  <c r="BT504" i="15"/>
  <c r="AQ498" i="15"/>
  <c r="AR498" i="15"/>
  <c r="AS498" i="15"/>
  <c r="W504" i="15"/>
  <c r="W505" i="15"/>
  <c r="AD286" i="15"/>
  <c r="AC62" i="15"/>
  <c r="AC66" i="15"/>
  <c r="AS405" i="15"/>
  <c r="AC52" i="15"/>
  <c r="Y179" i="15"/>
  <c r="V260" i="15"/>
  <c r="V283" i="15"/>
  <c r="V291" i="15"/>
  <c r="L60" i="15"/>
  <c r="L89" i="15"/>
  <c r="AO247" i="15"/>
  <c r="L255" i="15"/>
  <c r="L260" i="15"/>
  <c r="L286" i="15"/>
  <c r="L342" i="15"/>
  <c r="L406" i="15"/>
  <c r="C883" i="17"/>
  <c r="AO278" i="15"/>
  <c r="AO279" i="15"/>
  <c r="AP13" i="15"/>
  <c r="AP18" i="15"/>
  <c r="AP255" i="15"/>
  <c r="AP283" i="15"/>
  <c r="AP254" i="15"/>
  <c r="AR35" i="15"/>
  <c r="AQ522" i="15"/>
  <c r="AQ401" i="15"/>
  <c r="BW401" i="15"/>
  <c r="AQ337" i="15"/>
  <c r="BP283" i="15"/>
  <c r="BP291" i="15"/>
  <c r="AE236" i="15"/>
  <c r="AW19" i="15"/>
  <c r="AW173" i="15"/>
  <c r="L504" i="15"/>
  <c r="L547" i="15"/>
  <c r="L550" i="15"/>
  <c r="BD464" i="15"/>
  <c r="O135" i="15"/>
  <c r="O336" i="15"/>
  <c r="AH504" i="15"/>
  <c r="AH547" i="15"/>
  <c r="AH550" i="15"/>
  <c r="AS479" i="15"/>
  <c r="N31" i="15"/>
  <c r="N519" i="15"/>
  <c r="N407" i="15"/>
  <c r="AZ141" i="15"/>
  <c r="BA141" i="15"/>
  <c r="BC401" i="15"/>
  <c r="BD136" i="15"/>
  <c r="BE136" i="15"/>
  <c r="BZ59" i="15"/>
  <c r="BH45" i="15"/>
  <c r="BC338" i="15"/>
  <c r="BD137" i="15"/>
  <c r="BE137" i="15"/>
  <c r="G135" i="15"/>
  <c r="AQ389" i="15"/>
  <c r="AU94" i="15"/>
  <c r="L105" i="15"/>
  <c r="AA279" i="15"/>
  <c r="AM95" i="15"/>
  <c r="AQ233" i="15"/>
  <c r="BU260" i="15"/>
  <c r="BU286" i="15"/>
  <c r="BD142" i="15"/>
  <c r="BE142" i="15"/>
  <c r="BD407" i="15"/>
  <c r="BD343" i="15"/>
  <c r="X82" i="15"/>
  <c r="BS57" i="15"/>
  <c r="BS59" i="15"/>
  <c r="BS61" i="15"/>
  <c r="R265" i="15"/>
  <c r="AA44" i="15"/>
  <c r="AW195" i="15"/>
  <c r="AW479" i="15"/>
  <c r="BR407" i="15"/>
  <c r="J54" i="15"/>
  <c r="BY54" i="15"/>
  <c r="BY57" i="15"/>
  <c r="BY59" i="15"/>
  <c r="AI278" i="15"/>
  <c r="K220" i="15"/>
  <c r="AO171" i="15"/>
  <c r="AP54" i="15"/>
  <c r="AP57" i="15"/>
  <c r="AP59" i="15"/>
  <c r="AP554" i="15"/>
  <c r="AP566" i="15"/>
  <c r="BC522" i="15"/>
  <c r="BD408" i="15"/>
  <c r="AC89" i="15"/>
  <c r="E361" i="15"/>
  <c r="E429" i="15"/>
  <c r="BT213" i="15"/>
  <c r="BT220" i="15"/>
  <c r="AA148" i="15"/>
  <c r="W146" i="15"/>
  <c r="X146" i="15"/>
  <c r="BC342" i="15"/>
  <c r="BC406" i="15"/>
  <c r="BD406" i="15"/>
  <c r="H336" i="15"/>
  <c r="K336" i="15"/>
  <c r="X83" i="15"/>
  <c r="BB292" i="15"/>
  <c r="BB467" i="15"/>
  <c r="BN262" i="15"/>
  <c r="AD103" i="15"/>
  <c r="AD105" i="15"/>
  <c r="AD81" i="15"/>
  <c r="AD559" i="15"/>
  <c r="AW145" i="15"/>
  <c r="AV410" i="15"/>
  <c r="BL254" i="15"/>
  <c r="BL464" i="15"/>
  <c r="T464" i="15"/>
  <c r="T254" i="15"/>
  <c r="T422" i="15"/>
  <c r="BD78" i="15"/>
  <c r="U337" i="15"/>
  <c r="U401" i="15"/>
  <c r="AJ406" i="15"/>
  <c r="AK141" i="15"/>
  <c r="AD45" i="15"/>
  <c r="AD525" i="15"/>
  <c r="Y8" i="15"/>
  <c r="X237" i="15"/>
  <c r="X388" i="15"/>
  <c r="X114" i="15"/>
  <c r="X79" i="15"/>
  <c r="X52" i="15"/>
  <c r="AB9" i="15"/>
  <c r="AB493" i="15"/>
  <c r="X324" i="15"/>
  <c r="C1422" i="17"/>
  <c r="AE278" i="15"/>
  <c r="AE279" i="15"/>
  <c r="C1258" i="17"/>
  <c r="AH464" i="15"/>
  <c r="J1248" i="17"/>
  <c r="K1248" i="17"/>
  <c r="AH254" i="15"/>
  <c r="BD60" i="15"/>
  <c r="BD120" i="15"/>
  <c r="BD62" i="15"/>
  <c r="BD66" i="15"/>
  <c r="BD79" i="15"/>
  <c r="D81" i="15"/>
  <c r="BD400" i="15"/>
  <c r="T344" i="15"/>
  <c r="BT402" i="15"/>
  <c r="M81" i="15"/>
  <c r="M202" i="15"/>
  <c r="M103" i="15"/>
  <c r="M105" i="15"/>
  <c r="AO95" i="15"/>
  <c r="AO524" i="15"/>
  <c r="AH525" i="15"/>
  <c r="AH45" i="15"/>
  <c r="AV346" i="15"/>
  <c r="X523" i="15"/>
  <c r="AJ120" i="15"/>
  <c r="AK42" i="15"/>
  <c r="AK120" i="15"/>
  <c r="AJ104" i="15"/>
  <c r="AE13" i="15"/>
  <c r="AE18" i="15"/>
  <c r="W76" i="15"/>
  <c r="W324" i="15"/>
  <c r="W12" i="15"/>
  <c r="W13" i="15"/>
  <c r="W388" i="15"/>
  <c r="W131" i="15"/>
  <c r="AA9" i="15"/>
  <c r="W79" i="15"/>
  <c r="AH505" i="15"/>
  <c r="AJ19" i="15"/>
  <c r="AK19" i="15"/>
  <c r="AK82" i="15"/>
  <c r="AK129" i="15"/>
  <c r="AI130" i="15"/>
  <c r="AM130" i="15"/>
  <c r="AV503" i="15"/>
  <c r="AU514" i="15"/>
  <c r="N254" i="15"/>
  <c r="AW247" i="15"/>
  <c r="AW255" i="15"/>
  <c r="D431" i="17"/>
  <c r="D441" i="17"/>
  <c r="N420" i="15"/>
  <c r="AS248" i="15"/>
  <c r="AS259" i="15"/>
  <c r="M260" i="15"/>
  <c r="M265" i="15"/>
  <c r="M401" i="15"/>
  <c r="M413" i="15"/>
  <c r="M388" i="15"/>
  <c r="N389" i="15"/>
  <c r="M400" i="15"/>
  <c r="M410" i="15"/>
  <c r="I347" i="15"/>
  <c r="K255" i="15"/>
  <c r="AK247" i="15"/>
  <c r="AL291" i="15"/>
  <c r="BK143" i="15"/>
  <c r="AB406" i="15"/>
  <c r="BK141" i="15"/>
  <c r="BT92" i="15"/>
  <c r="AS141" i="15"/>
  <c r="AR342" i="15"/>
  <c r="AR406" i="15"/>
  <c r="Z84" i="15"/>
  <c r="AA21" i="15"/>
  <c r="AF17" i="15"/>
  <c r="AG17" i="15"/>
  <c r="AE80" i="15"/>
  <c r="T16" i="15"/>
  <c r="S79" i="15"/>
  <c r="AB14" i="15"/>
  <c r="AA77" i="15"/>
  <c r="BY103" i="15"/>
  <c r="BY105" i="15"/>
  <c r="BY22" i="15"/>
  <c r="BY86" i="15"/>
  <c r="T11" i="15"/>
  <c r="S76" i="15"/>
  <c r="AH493" i="15"/>
  <c r="AH325" i="15"/>
  <c r="AT60" i="15"/>
  <c r="AT89" i="15"/>
  <c r="BU135" i="15"/>
  <c r="BU234" i="15"/>
  <c r="BU60" i="15"/>
  <c r="BU89" i="15"/>
  <c r="AU104" i="15"/>
  <c r="AU324" i="15"/>
  <c r="AU80" i="15"/>
  <c r="AY9" i="15"/>
  <c r="AU77" i="15"/>
  <c r="AU78" i="15"/>
  <c r="AU12" i="15"/>
  <c r="AV8" i="15"/>
  <c r="AU237" i="15"/>
  <c r="AU131" i="15"/>
  <c r="AU114" i="15"/>
  <c r="AU82" i="15"/>
  <c r="AU252" i="15"/>
  <c r="C554" i="17"/>
  <c r="C577" i="17"/>
  <c r="C578" i="17"/>
  <c r="AV188" i="15"/>
  <c r="AV190" i="15"/>
  <c r="AU190" i="15"/>
  <c r="C558" i="17"/>
  <c r="D558" i="17"/>
  <c r="AU278" i="15"/>
  <c r="AU279" i="15"/>
  <c r="N131" i="15"/>
  <c r="N542" i="15"/>
  <c r="N94" i="15"/>
  <c r="N53" i="15"/>
  <c r="N54" i="15"/>
  <c r="N93" i="15"/>
  <c r="N100" i="15"/>
  <c r="N413" i="15"/>
  <c r="N349" i="15"/>
  <c r="U145" i="15"/>
  <c r="U410" i="15"/>
  <c r="T410" i="15"/>
  <c r="BD342" i="15"/>
  <c r="AV149" i="15"/>
  <c r="AV350" i="15"/>
  <c r="AB344" i="15"/>
  <c r="X76" i="15"/>
  <c r="T346" i="15"/>
  <c r="AJ524" i="15"/>
  <c r="AK38" i="15"/>
  <c r="AA340" i="15"/>
  <c r="AA88" i="15"/>
  <c r="AA404" i="15"/>
  <c r="W114" i="15"/>
  <c r="M85" i="15"/>
  <c r="M86" i="15"/>
  <c r="BK189" i="15"/>
  <c r="AC189" i="15"/>
  <c r="BP260" i="15"/>
  <c r="AA255" i="15"/>
  <c r="C346" i="15"/>
  <c r="C410" i="15"/>
  <c r="AB142" i="15"/>
  <c r="AA343" i="15"/>
  <c r="AJ342" i="15"/>
  <c r="AJ52" i="15"/>
  <c r="AJ388" i="15"/>
  <c r="AJ114" i="15"/>
  <c r="S520" i="15"/>
  <c r="S39" i="15"/>
  <c r="AV357" i="15"/>
  <c r="AV259" i="15"/>
  <c r="AV285" i="15"/>
  <c r="AV282" i="15"/>
  <c r="AV295" i="15"/>
  <c r="AV297" i="15"/>
  <c r="BK11" i="15"/>
  <c r="BK55" i="15"/>
  <c r="AB55" i="15"/>
  <c r="AB238" i="15"/>
  <c r="AB236" i="15"/>
  <c r="AB12" i="15"/>
  <c r="G554" i="15"/>
  <c r="G566" i="15"/>
  <c r="G213" i="15"/>
  <c r="G220" i="15"/>
  <c r="AD262" i="15"/>
  <c r="AD265" i="15"/>
  <c r="AD460" i="15"/>
  <c r="BO456" i="15"/>
  <c r="BO459" i="15"/>
  <c r="BO234" i="15"/>
  <c r="AD414" i="15"/>
  <c r="AD350" i="15"/>
  <c r="I350" i="15"/>
  <c r="F349" i="15"/>
  <c r="S412" i="15"/>
  <c r="U147" i="15"/>
  <c r="AC80" i="15"/>
  <c r="BQ460" i="15"/>
  <c r="BQ262" i="15"/>
  <c r="BQ264" i="15"/>
  <c r="BQ468" i="15"/>
  <c r="AE149" i="15"/>
  <c r="AI236" i="15"/>
  <c r="AI233" i="15"/>
  <c r="BA129" i="15"/>
  <c r="AY130" i="15"/>
  <c r="BD237" i="15"/>
  <c r="BD114" i="15"/>
  <c r="BD52" i="15"/>
  <c r="BD9" i="15"/>
  <c r="BD388" i="15"/>
  <c r="BD389" i="15"/>
  <c r="BD44" i="15"/>
  <c r="BD358" i="15"/>
  <c r="BD423" i="15"/>
  <c r="BD260" i="15"/>
  <c r="E396" i="15"/>
  <c r="D396" i="15"/>
  <c r="F381" i="15"/>
  <c r="W52" i="15"/>
  <c r="W54" i="15"/>
  <c r="AB42" i="15"/>
  <c r="AB58" i="15" s="1"/>
  <c r="AB60" i="15"/>
  <c r="S94" i="15"/>
  <c r="X32" i="15"/>
  <c r="Y32" i="15"/>
  <c r="Y34" i="15"/>
  <c r="Y520" i="15"/>
  <c r="W99" i="15"/>
  <c r="C717" i="17"/>
  <c r="C740" i="17"/>
  <c r="C741" i="17"/>
  <c r="AR254" i="15"/>
  <c r="J707" i="17"/>
  <c r="AT347" i="15"/>
  <c r="AT411" i="15"/>
  <c r="AU146" i="15"/>
  <c r="AU236" i="15"/>
  <c r="AU76" i="15"/>
  <c r="AU34" i="15"/>
  <c r="AU520" i="15"/>
  <c r="AV32" i="15"/>
  <c r="AV34" i="15"/>
  <c r="AV520" i="15"/>
  <c r="AV42" i="15"/>
  <c r="AU120" i="15"/>
  <c r="BD89" i="15"/>
  <c r="AC201" i="15"/>
  <c r="AC456" i="15"/>
  <c r="M423" i="15"/>
  <c r="AY389" i="15"/>
  <c r="BD283" i="15"/>
  <c r="BD324" i="15"/>
  <c r="X465" i="15"/>
  <c r="AC324" i="15"/>
  <c r="AC114" i="15"/>
  <c r="AN364" i="15"/>
  <c r="AN432" i="15"/>
  <c r="BT432" i="15"/>
  <c r="BO150" i="15"/>
  <c r="BO151" i="15"/>
  <c r="BO156" i="15"/>
  <c r="AE130" i="15"/>
  <c r="BK129" i="15"/>
  <c r="BK130" i="15"/>
  <c r="AE139" i="15"/>
  <c r="AD340" i="15"/>
  <c r="AL411" i="15"/>
  <c r="AL347" i="15"/>
  <c r="AM146" i="15"/>
  <c r="BD95" i="15"/>
  <c r="BD524" i="15"/>
  <c r="X137" i="15"/>
  <c r="W338" i="15"/>
  <c r="S236" i="15"/>
  <c r="AY500" i="15"/>
  <c r="BD346" i="15"/>
  <c r="BD410" i="15"/>
  <c r="BC95" i="15"/>
  <c r="BC279" i="15"/>
  <c r="AM52" i="15"/>
  <c r="AM54" i="15"/>
  <c r="AM31" i="15"/>
  <c r="AM519" i="15"/>
  <c r="AM93" i="15"/>
  <c r="AM184" i="15"/>
  <c r="AB206" i="15"/>
  <c r="W238" i="15"/>
  <c r="W60" i="15"/>
  <c r="AA56" i="15"/>
  <c r="AA53" i="15"/>
  <c r="AI412" i="15"/>
  <c r="BR412" i="15"/>
  <c r="AM56" i="15"/>
  <c r="BC278" i="15"/>
  <c r="AE338" i="15"/>
  <c r="G22" i="15"/>
  <c r="Z342" i="15"/>
  <c r="Z54" i="15"/>
  <c r="AI52" i="15"/>
  <c r="AI54" i="15"/>
  <c r="C325" i="15"/>
  <c r="AQ149" i="15"/>
  <c r="BO262" i="15"/>
  <c r="Y500" i="15"/>
  <c r="AG278" i="15"/>
  <c r="AI68" i="15"/>
  <c r="AU499" i="15"/>
  <c r="AV499" i="15"/>
  <c r="AV510" i="15" s="1"/>
  <c r="AW164" i="15"/>
  <c r="AY140" i="15"/>
  <c r="BD523" i="15"/>
  <c r="BD412" i="15"/>
  <c r="K57" i="15"/>
  <c r="K59" i="15"/>
  <c r="AA233" i="15"/>
  <c r="AU233" i="15"/>
  <c r="AV135" i="15"/>
  <c r="AV283" i="15"/>
  <c r="AV291" i="15"/>
  <c r="BD521" i="15"/>
  <c r="AA237" i="15"/>
  <c r="AA58" i="15"/>
  <c r="AA55" i="15"/>
  <c r="AA52" i="15"/>
  <c r="AT510" i="15"/>
  <c r="AY498" i="15"/>
  <c r="AZ498" i="15"/>
  <c r="BA498" i="15"/>
  <c r="AB25" i="15"/>
  <c r="AF190" i="15"/>
  <c r="AG186" i="15"/>
  <c r="AG190" i="15"/>
  <c r="AJ338" i="15"/>
  <c r="AJ402" i="15"/>
  <c r="AJ207" i="15"/>
  <c r="AJ461" i="15"/>
  <c r="AK137" i="15"/>
  <c r="AL207" i="15"/>
  <c r="AL461" i="15"/>
  <c r="U188" i="15"/>
  <c r="AO40" i="15"/>
  <c r="D339" i="15"/>
  <c r="CD109" i="15"/>
  <c r="CD113" i="15"/>
  <c r="S205" i="15"/>
  <c r="S216" i="15"/>
  <c r="BN216" i="15"/>
  <c r="BT81" i="15"/>
  <c r="BK164" i="15"/>
  <c r="AC164" i="15"/>
  <c r="C350" i="15"/>
  <c r="C414" i="15"/>
  <c r="AD349" i="15"/>
  <c r="AD413" i="15"/>
  <c r="AE148" i="15"/>
  <c r="AE349" i="15"/>
  <c r="X147" i="15"/>
  <c r="W348" i="15"/>
  <c r="Z411" i="15"/>
  <c r="Z347" i="15"/>
  <c r="D411" i="15"/>
  <c r="D347" i="15"/>
  <c r="AE343" i="15"/>
  <c r="AE407" i="15"/>
  <c r="AF142" i="15"/>
  <c r="AF343" i="15"/>
  <c r="AF140" i="15"/>
  <c r="AE341" i="15"/>
  <c r="AE405" i="15"/>
  <c r="AA338" i="15"/>
  <c r="AB137" i="15"/>
  <c r="J255" i="15"/>
  <c r="J254" i="15"/>
  <c r="AG247" i="15"/>
  <c r="AG255" i="15"/>
  <c r="AG358" i="15"/>
  <c r="AE252" i="15"/>
  <c r="AE420" i="15"/>
  <c r="BQ420" i="15"/>
  <c r="AE355" i="15"/>
  <c r="AC46" i="15"/>
  <c r="BK46" i="15"/>
  <c r="BK42" i="15"/>
  <c r="BK120" i="15"/>
  <c r="AC42" i="15"/>
  <c r="AC120" i="15"/>
  <c r="AB38" i="15"/>
  <c r="AA548" i="15"/>
  <c r="AA92" i="15"/>
  <c r="AA524" i="15"/>
  <c r="AA95" i="15"/>
  <c r="W522" i="15"/>
  <c r="W548" i="15"/>
  <c r="X35" i="15"/>
  <c r="BJ33" i="15"/>
  <c r="BI34" i="15"/>
  <c r="BI39" i="15"/>
  <c r="BI45" i="15"/>
  <c r="BI56" i="15"/>
  <c r="U16" i="15"/>
  <c r="U62" i="15"/>
  <c r="U66" i="15"/>
  <c r="AJ17" i="15"/>
  <c r="AI80" i="15"/>
  <c r="AI39" i="15"/>
  <c r="AI525" i="15"/>
  <c r="AI548" i="15"/>
  <c r="AI92" i="15"/>
  <c r="AK112" i="15"/>
  <c r="AI114" i="15"/>
  <c r="AQ148" i="15"/>
  <c r="AQ413" i="15"/>
  <c r="AP349" i="15"/>
  <c r="AP413" i="15"/>
  <c r="AQ501" i="15"/>
  <c r="AR501" i="15"/>
  <c r="AP504" i="15"/>
  <c r="AQ79" i="15"/>
  <c r="AQ324" i="15"/>
  <c r="AQ237" i="15"/>
  <c r="AU9" i="15"/>
  <c r="AQ84" i="15"/>
  <c r="AR186" i="15"/>
  <c r="AQ190" i="15"/>
  <c r="AQ278" i="15"/>
  <c r="C774" i="17"/>
  <c r="AQ279" i="15"/>
  <c r="AQ247" i="15"/>
  <c r="BT254" i="15"/>
  <c r="BT282" i="15"/>
  <c r="BT295" i="15"/>
  <c r="BT297" i="15"/>
  <c r="BT255" i="15"/>
  <c r="H347" i="15"/>
  <c r="H411" i="15"/>
  <c r="AX464" i="15"/>
  <c r="C393" i="17"/>
  <c r="C416" i="17"/>
  <c r="C417" i="17"/>
  <c r="J383" i="17"/>
  <c r="BV234" i="15"/>
  <c r="AZ11" i="15"/>
  <c r="AY238" i="15"/>
  <c r="AY12" i="15"/>
  <c r="AZ32" i="15"/>
  <c r="AY120" i="15"/>
  <c r="AY58" i="15"/>
  <c r="AZ42" i="15"/>
  <c r="AZ136" i="15"/>
  <c r="AZ401" i="15"/>
  <c r="AY337" i="15"/>
  <c r="AY401" i="15"/>
  <c r="BN126" i="15"/>
  <c r="T183" i="15"/>
  <c r="S184" i="15"/>
  <c r="AV318" i="15"/>
  <c r="AV363" i="15"/>
  <c r="AV431" i="15"/>
  <c r="AS467" i="15"/>
  <c r="AS422" i="15"/>
  <c r="AU464" i="15"/>
  <c r="C1316" i="17"/>
  <c r="AG279" i="15"/>
  <c r="BP213" i="15"/>
  <c r="BP220" i="15"/>
  <c r="F554" i="15"/>
  <c r="F566" i="15"/>
  <c r="AC342" i="15"/>
  <c r="W254" i="15"/>
  <c r="W422" i="15"/>
  <c r="BO422" i="15"/>
  <c r="M208" i="15"/>
  <c r="M26" i="15"/>
  <c r="D346" i="15"/>
  <c r="BV259" i="15"/>
  <c r="BV292" i="15"/>
  <c r="I358" i="15"/>
  <c r="I260" i="15"/>
  <c r="I423" i="15"/>
  <c r="I283" i="15"/>
  <c r="I291" i="15"/>
  <c r="AU414" i="15"/>
  <c r="AU389" i="15"/>
  <c r="AC139" i="15"/>
  <c r="AB404" i="15"/>
  <c r="H208" i="15"/>
  <c r="H26" i="15"/>
  <c r="AL525" i="15"/>
  <c r="AC15" i="15"/>
  <c r="AC78" i="15"/>
  <c r="BK15" i="15"/>
  <c r="BS412" i="15"/>
  <c r="AN358" i="15"/>
  <c r="C357" i="15"/>
  <c r="S233" i="15"/>
  <c r="S238" i="15"/>
  <c r="AE524" i="15"/>
  <c r="AF38" i="15"/>
  <c r="W31" i="15"/>
  <c r="W519" i="15"/>
  <c r="X29" i="15"/>
  <c r="W542" i="15"/>
  <c r="AI184" i="15"/>
  <c r="AJ181" i="15"/>
  <c r="AT45" i="15"/>
  <c r="AT560" i="15"/>
  <c r="BU283" i="15"/>
  <c r="BU291" i="15"/>
  <c r="BU548" i="15"/>
  <c r="BU92" i="15"/>
  <c r="BU31" i="15"/>
  <c r="AY184" i="15"/>
  <c r="AZ180" i="15"/>
  <c r="AY104" i="15"/>
  <c r="BV89" i="15"/>
  <c r="BV60" i="15"/>
  <c r="AY60" i="15"/>
  <c r="BA143" i="15"/>
  <c r="AZ344" i="15"/>
  <c r="BQ467" i="15"/>
  <c r="BQ282" i="15"/>
  <c r="BQ295" i="15"/>
  <c r="BQ297" i="15"/>
  <c r="BK187" i="15"/>
  <c r="AC187" i="15"/>
  <c r="H88" i="15"/>
  <c r="H209" i="15"/>
  <c r="H462" i="15"/>
  <c r="AD209" i="15"/>
  <c r="AD462" i="15"/>
  <c r="W89" i="15"/>
  <c r="X104" i="15"/>
  <c r="AE56" i="15"/>
  <c r="BJ48" i="15"/>
  <c r="BJ68" i="15"/>
  <c r="BI68" i="15"/>
  <c r="BO58" i="15"/>
  <c r="W58" i="15"/>
  <c r="BO77" i="15"/>
  <c r="W14" i="15"/>
  <c r="AD325" i="15"/>
  <c r="AD493" i="15"/>
  <c r="S324" i="15"/>
  <c r="S114" i="15"/>
  <c r="S237" i="15"/>
  <c r="S131" i="15"/>
  <c r="C1153" i="17"/>
  <c r="C1176" i="17"/>
  <c r="C1177" i="17"/>
  <c r="J1143" i="17"/>
  <c r="AJ254" i="15"/>
  <c r="K13" i="15"/>
  <c r="K18" i="15"/>
  <c r="K254" i="15"/>
  <c r="K464" i="15"/>
  <c r="AN32" i="15"/>
  <c r="AM542" i="15"/>
  <c r="L456" i="15"/>
  <c r="L234" i="15"/>
  <c r="L464" i="15"/>
  <c r="L254" i="15"/>
  <c r="BK171" i="15"/>
  <c r="AC171" i="15"/>
  <c r="AC248" i="15"/>
  <c r="H247" i="15"/>
  <c r="X17" i="15"/>
  <c r="Y17" i="15"/>
  <c r="Y80" i="15"/>
  <c r="W80" i="15"/>
  <c r="AK136" i="15"/>
  <c r="AJ337" i="15"/>
  <c r="AJ401" i="15"/>
  <c r="AX255" i="15"/>
  <c r="AX254" i="15"/>
  <c r="AX259" i="15"/>
  <c r="BN544" i="15"/>
  <c r="W66" i="15"/>
  <c r="BO541" i="15"/>
  <c r="BO544" i="15"/>
  <c r="BO494" i="15"/>
  <c r="F88" i="15"/>
  <c r="F340" i="15"/>
  <c r="Z255" i="15"/>
  <c r="Z254" i="15"/>
  <c r="Z357" i="15"/>
  <c r="AA355" i="15"/>
  <c r="AA420" i="15"/>
  <c r="BP420" i="15"/>
  <c r="AA252" i="15"/>
  <c r="AO148" i="15"/>
  <c r="AO349" i="15"/>
  <c r="AG402" i="15"/>
  <c r="AO140" i="15"/>
  <c r="Z405" i="15"/>
  <c r="Z408" i="15"/>
  <c r="BP408" i="15"/>
  <c r="Z402" i="15"/>
  <c r="BP402" i="15"/>
  <c r="Z412" i="15"/>
  <c r="BO88" i="15"/>
  <c r="BO209" i="15"/>
  <c r="BO462" i="15"/>
  <c r="BJ16" i="15"/>
  <c r="BJ62" i="15"/>
  <c r="BJ66" i="15"/>
  <c r="BI79" i="15"/>
  <c r="X15" i="15"/>
  <c r="W78" i="15"/>
  <c r="BI76" i="15"/>
  <c r="BI12" i="15"/>
  <c r="BI55" i="15"/>
  <c r="N523" i="15"/>
  <c r="N548" i="15"/>
  <c r="N554" i="15" s="1"/>
  <c r="N566" i="15" s="1"/>
  <c r="N92" i="15"/>
  <c r="M519" i="15"/>
  <c r="M39" i="15"/>
  <c r="BV278" i="15"/>
  <c r="BV282" i="15"/>
  <c r="BV295" i="15"/>
  <c r="BV297" i="15"/>
  <c r="AY276" i="15"/>
  <c r="T292" i="15"/>
  <c r="AN283" i="15"/>
  <c r="C950" i="17"/>
  <c r="AB422" i="15"/>
  <c r="BU259" i="15"/>
  <c r="AE135" i="15"/>
  <c r="E279" i="15"/>
  <c r="AO29" i="15"/>
  <c r="AN31" i="15"/>
  <c r="AN519" i="15"/>
  <c r="BP460" i="15"/>
  <c r="BP262" i="15"/>
  <c r="D360" i="15"/>
  <c r="D457" i="15"/>
  <c r="D459" i="15"/>
  <c r="X143" i="15"/>
  <c r="Y143" i="15"/>
  <c r="W408" i="15"/>
  <c r="AB136" i="15"/>
  <c r="AA337" i="15"/>
  <c r="AF41" i="15"/>
  <c r="AE94" i="15"/>
  <c r="T40" i="15"/>
  <c r="U40" i="15"/>
  <c r="S93" i="15"/>
  <c r="AF16" i="15"/>
  <c r="AE79" i="15"/>
  <c r="AV180" i="15"/>
  <c r="AV184" i="15"/>
  <c r="AV99" i="15"/>
  <c r="AU184" i="15"/>
  <c r="AE559" i="15"/>
  <c r="Y40" i="15"/>
  <c r="AN423" i="15"/>
  <c r="BT423" i="15"/>
  <c r="C422" i="15"/>
  <c r="C437" i="15"/>
  <c r="AB282" i="15"/>
  <c r="AB295" i="15"/>
  <c r="AB297" i="15"/>
  <c r="AP282" i="15"/>
  <c r="AP295" i="15"/>
  <c r="AP297" i="15"/>
  <c r="Y142" i="15"/>
  <c r="X343" i="15"/>
  <c r="BN127" i="15"/>
  <c r="BO126" i="15"/>
  <c r="BO519" i="15"/>
  <c r="BO39" i="15"/>
  <c r="BO45" i="15"/>
  <c r="C39" i="15"/>
  <c r="C519" i="15"/>
  <c r="AV36" i="15"/>
  <c r="AW36" i="15"/>
  <c r="AU523" i="15"/>
  <c r="AV141" i="15"/>
  <c r="AU342" i="15"/>
  <c r="AU406" i="15"/>
  <c r="AI9" i="15"/>
  <c r="AI408" i="15"/>
  <c r="BR408" i="15"/>
  <c r="AS130" i="15"/>
  <c r="AL414" i="15"/>
  <c r="AN147" i="15"/>
  <c r="AP464" i="15"/>
  <c r="AA497" i="15"/>
  <c r="AB497" i="15"/>
  <c r="AC497" i="15"/>
  <c r="AF283" i="15"/>
  <c r="C1379" i="17"/>
  <c r="BC58" i="15"/>
  <c r="AA18" i="15"/>
  <c r="AM139" i="15"/>
  <c r="AI388" i="15"/>
  <c r="L262" i="15"/>
  <c r="L22" i="15"/>
  <c r="AW252" i="15"/>
  <c r="AW464" i="15"/>
  <c r="J816" i="17"/>
  <c r="K816" i="17"/>
  <c r="AE479" i="15"/>
  <c r="R554" i="15"/>
  <c r="R566" i="15"/>
  <c r="D54" i="15"/>
  <c r="D57" i="15"/>
  <c r="D59" i="15"/>
  <c r="I22" i="15"/>
  <c r="AE238" i="15"/>
  <c r="AI497" i="15"/>
  <c r="AI479" i="15"/>
  <c r="AU247" i="15"/>
  <c r="C223" i="15"/>
  <c r="L202" i="15"/>
  <c r="S148" i="15"/>
  <c r="S407" i="15"/>
  <c r="AQ52" i="15"/>
  <c r="AX22" i="15"/>
  <c r="N184" i="15"/>
  <c r="BW504" i="15"/>
  <c r="AZ135" i="15"/>
  <c r="AR464" i="15"/>
  <c r="L13" i="15"/>
  <c r="F504" i="15"/>
  <c r="AA145" i="15"/>
  <c r="W237" i="15"/>
  <c r="AQ55" i="15"/>
  <c r="AW355" i="15"/>
  <c r="AW174" i="15"/>
  <c r="M54" i="15"/>
  <c r="M464" i="15"/>
  <c r="AX413" i="15"/>
  <c r="AY149" i="15"/>
  <c r="AZ149" i="15"/>
  <c r="BA130" i="15"/>
  <c r="BA479" i="15"/>
  <c r="BC479" i="15"/>
  <c r="AU58" i="15"/>
  <c r="N56" i="15"/>
  <c r="N190" i="15"/>
  <c r="M504" i="15"/>
  <c r="AR145" i="15"/>
  <c r="AQ346" i="15"/>
  <c r="AQ410" i="15"/>
  <c r="AS278" i="15"/>
  <c r="AS279" i="15"/>
  <c r="AS283" i="15"/>
  <c r="C677" i="17"/>
  <c r="C666" i="17"/>
  <c r="D666" i="17"/>
  <c r="AT119" i="15"/>
  <c r="AT121" i="15"/>
  <c r="AT123" i="15"/>
  <c r="AT84" i="15"/>
  <c r="AU21" i="15"/>
  <c r="AT22" i="15"/>
  <c r="AU497" i="15"/>
  <c r="AV497" i="15"/>
  <c r="AW497" i="15"/>
  <c r="AT504" i="15"/>
  <c r="AW180" i="15"/>
  <c r="BC410" i="15"/>
  <c r="BC346" i="15"/>
  <c r="BP547" i="15"/>
  <c r="BP550" i="15"/>
  <c r="BP83" i="15"/>
  <c r="BP286" i="15"/>
  <c r="BP465" i="15"/>
  <c r="U95" i="15"/>
  <c r="U524" i="15"/>
  <c r="Z135" i="15"/>
  <c r="Z400" i="15"/>
  <c r="AV414" i="15"/>
  <c r="J24" i="15"/>
  <c r="J327" i="15"/>
  <c r="J85" i="15"/>
  <c r="J203" i="15"/>
  <c r="AD422" i="15"/>
  <c r="AD259" i="15"/>
  <c r="AD363" i="15"/>
  <c r="AD431" i="15"/>
  <c r="AD292" i="15"/>
  <c r="AD357" i="15"/>
  <c r="AD467" i="15"/>
  <c r="AW31" i="15"/>
  <c r="AT391" i="15"/>
  <c r="AT393" i="15"/>
  <c r="V83" i="15"/>
  <c r="AN17" i="15"/>
  <c r="AM80" i="15"/>
  <c r="AN35" i="15"/>
  <c r="AO35" i="15"/>
  <c r="AO522" i="15"/>
  <c r="AM337" i="15"/>
  <c r="AN136" i="15"/>
  <c r="AM401" i="15"/>
  <c r="BS401" i="15"/>
  <c r="AM498" i="15"/>
  <c r="BS504" i="15"/>
  <c r="AQ238" i="15"/>
  <c r="AQ76" i="15"/>
  <c r="AQ236" i="15"/>
  <c r="AR32" i="15"/>
  <c r="AR93" i="15"/>
  <c r="AQ34" i="15"/>
  <c r="AQ520" i="15"/>
  <c r="AQ94" i="15"/>
  <c r="AQ99" i="15"/>
  <c r="AR42" i="15"/>
  <c r="AR58" i="15"/>
  <c r="AQ120" i="15"/>
  <c r="AS112" i="15"/>
  <c r="AQ348" i="15"/>
  <c r="AR147" i="15"/>
  <c r="AQ412" i="15"/>
  <c r="BC324" i="15"/>
  <c r="BC78" i="15"/>
  <c r="BC77" i="15"/>
  <c r="BC237" i="15"/>
  <c r="BC114" i="15"/>
  <c r="C134" i="17"/>
  <c r="BC412" i="15"/>
  <c r="BC348" i="15"/>
  <c r="AN201" i="15"/>
  <c r="AK324" i="15"/>
  <c r="AL201" i="15"/>
  <c r="AL456" i="15"/>
  <c r="AK237" i="15"/>
  <c r="AK201" i="15"/>
  <c r="AK77" i="15"/>
  <c r="AK388" i="15"/>
  <c r="AK52" i="15"/>
  <c r="BS520" i="15"/>
  <c r="BS39" i="15"/>
  <c r="BS66" i="15"/>
  <c r="AM62" i="15"/>
  <c r="AM66" i="15"/>
  <c r="AN19" i="15"/>
  <c r="AN186" i="15"/>
  <c r="AM190" i="15"/>
  <c r="AM236" i="15"/>
  <c r="AM233" i="15"/>
  <c r="AS14" i="15"/>
  <c r="AR33" i="15"/>
  <c r="Z259" i="15"/>
  <c r="Z363" i="15"/>
  <c r="Z431" i="15"/>
  <c r="K525" i="15"/>
  <c r="K45" i="15"/>
  <c r="AR55" i="15"/>
  <c r="AR238" i="15"/>
  <c r="AS11" i="15"/>
  <c r="AR236" i="15"/>
  <c r="AB201" i="15"/>
  <c r="Y388" i="15"/>
  <c r="Y52" i="15"/>
  <c r="Y12" i="15"/>
  <c r="Y13" i="15"/>
  <c r="AA201" i="15"/>
  <c r="AA234" i="15"/>
  <c r="R391" i="15"/>
  <c r="R327" i="15"/>
  <c r="T262" i="15"/>
  <c r="T460" i="15"/>
  <c r="AD291" i="15"/>
  <c r="R24" i="15"/>
  <c r="R26" i="15"/>
  <c r="AA358" i="15"/>
  <c r="AA260" i="15"/>
  <c r="AA283" i="15"/>
  <c r="AA423" i="15"/>
  <c r="BP423" i="15"/>
  <c r="AV31" i="15"/>
  <c r="AV542" i="15"/>
  <c r="AV53" i="15"/>
  <c r="AV93" i="15"/>
  <c r="AV100" i="15"/>
  <c r="AB34" i="15"/>
  <c r="AB520" i="15"/>
  <c r="AN16" i="15"/>
  <c r="AM79" i="15"/>
  <c r="AM34" i="15"/>
  <c r="AN33" i="15"/>
  <c r="AM548" i="15"/>
  <c r="AM92" i="15"/>
  <c r="AM120" i="15"/>
  <c r="AN42" i="15"/>
  <c r="AO112" i="15"/>
  <c r="AO206" i="15"/>
  <c r="AM114" i="15"/>
  <c r="AN161" i="15"/>
  <c r="AM100" i="15"/>
  <c r="AQ408" i="15"/>
  <c r="BW408" i="15"/>
  <c r="AQ344" i="15"/>
  <c r="AR143" i="15"/>
  <c r="AU62" i="15"/>
  <c r="AT66" i="15"/>
  <c r="AT67" i="15"/>
  <c r="AT69" i="15"/>
  <c r="AT71" i="15"/>
  <c r="AT92" i="15"/>
  <c r="AT554" i="15"/>
  <c r="AT566" i="15"/>
  <c r="AT255" i="15"/>
  <c r="AT254" i="15"/>
  <c r="BU18" i="15"/>
  <c r="BU13" i="15"/>
  <c r="BA179" i="15"/>
  <c r="AC33" i="15"/>
  <c r="AC34" i="15"/>
  <c r="AC520" i="15"/>
  <c r="BK33" i="15"/>
  <c r="BK34" i="15" s="1"/>
  <c r="AB56" i="15"/>
  <c r="AB548" i="15"/>
  <c r="AS29" i="15"/>
  <c r="AS31" i="15" s="1"/>
  <c r="BR83" i="15"/>
  <c r="BR265" i="15"/>
  <c r="BR466" i="15"/>
  <c r="BR286" i="15"/>
  <c r="BR465" i="15"/>
  <c r="AB148" i="15"/>
  <c r="AA413" i="15"/>
  <c r="BP413" i="15"/>
  <c r="AA349" i="15"/>
  <c r="AZ411" i="15"/>
  <c r="BA146" i="15"/>
  <c r="BA347" i="15"/>
  <c r="X400" i="15"/>
  <c r="AG15" i="15"/>
  <c r="BA82" i="15"/>
  <c r="BB82" i="15"/>
  <c r="BJ9" i="15"/>
  <c r="BJ52" i="15"/>
  <c r="BJ77" i="15"/>
  <c r="BT547" i="15"/>
  <c r="BT505" i="15"/>
  <c r="BT506" i="15"/>
  <c r="X31" i="15"/>
  <c r="AS16" i="15"/>
  <c r="AS62" i="15"/>
  <c r="AS66" i="15"/>
  <c r="AR62" i="15"/>
  <c r="AR66" i="15"/>
  <c r="BR22" i="15"/>
  <c r="V103" i="15"/>
  <c r="V105" i="15"/>
  <c r="V559" i="15"/>
  <c r="V81" i="15"/>
  <c r="V22" i="15"/>
  <c r="AW11" i="15"/>
  <c r="AV55" i="15"/>
  <c r="AV236" i="15"/>
  <c r="AJ76" i="15"/>
  <c r="AJ12" i="15"/>
  <c r="AJ13" i="15"/>
  <c r="AR401" i="15"/>
  <c r="AR337" i="15"/>
  <c r="AS136" i="15"/>
  <c r="AN292" i="15"/>
  <c r="AN259" i="15"/>
  <c r="AN282" i="15"/>
  <c r="AN295" i="15"/>
  <c r="AN297" i="15"/>
  <c r="AN467" i="15"/>
  <c r="AN357" i="15"/>
  <c r="AB88" i="15"/>
  <c r="AB340" i="15"/>
  <c r="BK139" i="15"/>
  <c r="AL559" i="15"/>
  <c r="AL81" i="15"/>
  <c r="AI349" i="15"/>
  <c r="AJ148" i="15"/>
  <c r="AJ349" i="15"/>
  <c r="AI413" i="15"/>
  <c r="BR413" i="15"/>
  <c r="Y30" i="15"/>
  <c r="U405" i="15"/>
  <c r="AB283" i="15"/>
  <c r="C1595" i="17"/>
  <c r="AB358" i="15"/>
  <c r="AB423" i="15"/>
  <c r="AB260" i="15"/>
  <c r="AN389" i="15"/>
  <c r="AS402" i="15"/>
  <c r="AT207" i="15"/>
  <c r="AT461" i="15"/>
  <c r="AS338" i="15"/>
  <c r="AU207" i="15"/>
  <c r="AU461" i="15"/>
  <c r="AS207" i="15"/>
  <c r="AS461" i="15"/>
  <c r="AQ100" i="15"/>
  <c r="AQ93" i="15"/>
  <c r="AK140" i="15"/>
  <c r="AK341" i="15"/>
  <c r="W405" i="15"/>
  <c r="BO405" i="15"/>
  <c r="W341" i="15"/>
  <c r="X140" i="15"/>
  <c r="T161" i="15"/>
  <c r="S100" i="15"/>
  <c r="BJ180" i="15"/>
  <c r="BI99" i="15"/>
  <c r="BQ92" i="15"/>
  <c r="BQ554" i="15"/>
  <c r="BQ566" i="15"/>
  <c r="E92" i="15"/>
  <c r="E554" i="15"/>
  <c r="AU519" i="15"/>
  <c r="AU39" i="15"/>
  <c r="AU525" i="15"/>
  <c r="AM18" i="15"/>
  <c r="AM559" i="15"/>
  <c r="BK16" i="15"/>
  <c r="BK62" i="15"/>
  <c r="BK66" i="15"/>
  <c r="AB79" i="15"/>
  <c r="BU39" i="15"/>
  <c r="BU519" i="15"/>
  <c r="AC163" i="15"/>
  <c r="BK163" i="15"/>
  <c r="AK21" i="15"/>
  <c r="AK84" i="15"/>
  <c r="AJ84" i="15"/>
  <c r="BO213" i="15"/>
  <c r="BO220" i="15"/>
  <c r="BO536" i="15"/>
  <c r="E457" i="15"/>
  <c r="E360" i="15"/>
  <c r="E234" i="15"/>
  <c r="E456" i="15"/>
  <c r="E459" i="15" s="1"/>
  <c r="X344" i="15"/>
  <c r="X408" i="15"/>
  <c r="BB83" i="15"/>
  <c r="AN9" i="15"/>
  <c r="AJ324" i="15"/>
  <c r="AJ77" i="15"/>
  <c r="AJ237" i="15"/>
  <c r="AJ407" i="15"/>
  <c r="AK142" i="15"/>
  <c r="AJ343" i="15"/>
  <c r="AE413" i="15"/>
  <c r="AF148" i="15"/>
  <c r="AC60" i="15"/>
  <c r="F81" i="15"/>
  <c r="F103" i="15"/>
  <c r="F105" i="15"/>
  <c r="AR521" i="15"/>
  <c r="AS37" i="15"/>
  <c r="AS521" i="15"/>
  <c r="BH82" i="15"/>
  <c r="Z82" i="15"/>
  <c r="H504" i="15"/>
  <c r="H547" i="15"/>
  <c r="BN554" i="15"/>
  <c r="BN566" i="15"/>
  <c r="S213" i="15"/>
  <c r="BQ461" i="15"/>
  <c r="AE207" i="15"/>
  <c r="AE461" i="15"/>
  <c r="Y190" i="15"/>
  <c r="I83" i="15"/>
  <c r="AM325" i="15"/>
  <c r="AM413" i="15"/>
  <c r="X12" i="15"/>
  <c r="BK142" i="15"/>
  <c r="AH207" i="15"/>
  <c r="AH461" i="15"/>
  <c r="BA95" i="15"/>
  <c r="BQ407" i="15"/>
  <c r="AZ95" i="15"/>
  <c r="V254" i="15"/>
  <c r="AV56" i="15"/>
  <c r="AB338" i="15"/>
  <c r="AC137" i="15"/>
  <c r="AC405" i="15"/>
  <c r="AC341" i="15"/>
  <c r="R404" i="15"/>
  <c r="R411" i="15"/>
  <c r="AI499" i="15"/>
  <c r="BO401" i="15"/>
  <c r="M286" i="15"/>
  <c r="M83" i="15"/>
  <c r="M389" i="15"/>
  <c r="AM414" i="15"/>
  <c r="AN149" i="15"/>
  <c r="S9" i="15"/>
  <c r="S388" i="15"/>
  <c r="W389" i="15"/>
  <c r="S12" i="15"/>
  <c r="S13" i="15"/>
  <c r="W9" i="15"/>
  <c r="W325" i="15"/>
  <c r="T8" i="15"/>
  <c r="BR92" i="15"/>
  <c r="BR554" i="15"/>
  <c r="BR566" i="15"/>
  <c r="AI522" i="15"/>
  <c r="AJ35" i="15"/>
  <c r="AI104" i="15"/>
  <c r="AI89" i="15"/>
  <c r="BR89" i="15"/>
  <c r="BR60" i="15"/>
  <c r="AI420" i="15"/>
  <c r="BR420" i="15"/>
  <c r="AI252" i="15"/>
  <c r="AI355" i="15"/>
  <c r="BC52" i="15"/>
  <c r="AA554" i="15"/>
  <c r="AA566" i="15"/>
  <c r="AW130" i="15"/>
  <c r="BY89" i="15"/>
  <c r="BI104" i="15"/>
  <c r="X41" i="15"/>
  <c r="W94" i="15"/>
  <c r="S542" i="15"/>
  <c r="S521" i="15"/>
  <c r="T37" i="15"/>
  <c r="BE521" i="15"/>
  <c r="AF32" i="15"/>
  <c r="AE100" i="15"/>
  <c r="AE93" i="15"/>
  <c r="AE542" i="15"/>
  <c r="AB29" i="15"/>
  <c r="AA31" i="15"/>
  <c r="AA519" i="15"/>
  <c r="BN84" i="15"/>
  <c r="S21" i="15"/>
  <c r="AJ36" i="15"/>
  <c r="AI523" i="15"/>
  <c r="BN88" i="15"/>
  <c r="S139" i="15"/>
  <c r="AI146" i="15"/>
  <c r="AH347" i="15"/>
  <c r="BA233" i="15"/>
  <c r="O234" i="15"/>
  <c r="O99" i="15"/>
  <c r="O31" i="15"/>
  <c r="O131" i="15"/>
  <c r="O94" i="15"/>
  <c r="O53" i="15"/>
  <c r="O54" i="15"/>
  <c r="AX31" i="15"/>
  <c r="AX56" i="15"/>
  <c r="AX57" i="15"/>
  <c r="AX59" i="15"/>
  <c r="AX67" i="15"/>
  <c r="AX69" i="15"/>
  <c r="AX71" i="15"/>
  <c r="AX548" i="15"/>
  <c r="AY30" i="15"/>
  <c r="Y76" i="15"/>
  <c r="AM82" i="15"/>
  <c r="AD220" i="15"/>
  <c r="AA135" i="15"/>
  <c r="V135" i="15"/>
  <c r="D127" i="15"/>
  <c r="D126" i="15"/>
  <c r="V423" i="15"/>
  <c r="V358" i="15"/>
  <c r="BP66" i="15"/>
  <c r="AA62" i="15"/>
  <c r="AA66" i="15"/>
  <c r="T41" i="15"/>
  <c r="S44" i="15"/>
  <c r="BO13" i="15"/>
  <c r="BO18" i="15"/>
  <c r="C13" i="15"/>
  <c r="C18" i="15"/>
  <c r="BR54" i="15"/>
  <c r="AI521" i="15"/>
  <c r="AJ37" i="15"/>
  <c r="AJ131" i="15"/>
  <c r="N234" i="15"/>
  <c r="AW233" i="15"/>
  <c r="AX135" i="15"/>
  <c r="N34" i="15"/>
  <c r="N99" i="15"/>
  <c r="N89" i="15"/>
  <c r="N60" i="15"/>
  <c r="BV84" i="15"/>
  <c r="BV22" i="15"/>
  <c r="AY273" i="15"/>
  <c r="AY279" i="15"/>
  <c r="BV279" i="15"/>
  <c r="O460" i="15"/>
  <c r="O262" i="15"/>
  <c r="O548" i="15"/>
  <c r="O92" i="15"/>
  <c r="O56" i="15"/>
  <c r="O57" i="15" s="1"/>
  <c r="O59" i="15" s="1"/>
  <c r="O350" i="15"/>
  <c r="D541" i="15"/>
  <c r="D493" i="15"/>
  <c r="BW405" i="15"/>
  <c r="BJ188" i="15"/>
  <c r="BJ190" i="15"/>
  <c r="BI190" i="15"/>
  <c r="D234" i="15"/>
  <c r="BN135" i="15"/>
  <c r="AH88" i="15"/>
  <c r="AH340" i="15"/>
  <c r="AI139" i="15"/>
  <c r="R88" i="15"/>
  <c r="R340" i="15"/>
  <c r="S209" i="15"/>
  <c r="D404" i="15"/>
  <c r="R209" i="15"/>
  <c r="R462" i="15"/>
  <c r="D340" i="15"/>
  <c r="D209" i="15"/>
  <c r="D462" i="15"/>
  <c r="E247" i="15"/>
  <c r="U248" i="15"/>
  <c r="AH89" i="15"/>
  <c r="AH60" i="15"/>
  <c r="AI60" i="15"/>
  <c r="S52" i="15"/>
  <c r="AG48" i="15"/>
  <c r="AF68" i="15"/>
  <c r="W524" i="15"/>
  <c r="X38" i="15"/>
  <c r="AE523" i="15"/>
  <c r="AF36" i="15"/>
  <c r="D550" i="17"/>
  <c r="N18" i="15"/>
  <c r="N13" i="15"/>
  <c r="M412" i="15"/>
  <c r="M405" i="15"/>
  <c r="M407" i="15"/>
  <c r="M408" i="15"/>
  <c r="M406" i="15"/>
  <c r="M402" i="15"/>
  <c r="M414" i="15"/>
  <c r="M411" i="15"/>
  <c r="M404" i="15"/>
  <c r="BJ80" i="15"/>
  <c r="AW32" i="15"/>
  <c r="AS21" i="15"/>
  <c r="AE146" i="15"/>
  <c r="BQ255" i="15"/>
  <c r="AE247" i="15"/>
  <c r="S78" i="15"/>
  <c r="T15" i="15"/>
  <c r="U15" i="15"/>
  <c r="BE78" i="15"/>
  <c r="E77" i="15"/>
  <c r="R325" i="15"/>
  <c r="R493" i="15"/>
  <c r="M209" i="15"/>
  <c r="M462" i="15"/>
  <c r="M88" i="15"/>
  <c r="M234" i="15"/>
  <c r="BC34" i="15"/>
  <c r="BC520" i="15"/>
  <c r="F460" i="15"/>
  <c r="F262" i="15"/>
  <c r="AP519" i="15"/>
  <c r="AP39" i="15"/>
  <c r="AP410" i="15"/>
  <c r="BW410" i="15"/>
  <c r="AP407" i="15"/>
  <c r="BW407" i="15"/>
  <c r="X34" i="15"/>
  <c r="X520" i="15"/>
  <c r="W93" i="15"/>
  <c r="AF14" i="15"/>
  <c r="AE77" i="15"/>
  <c r="AS171" i="15"/>
  <c r="BW100" i="15"/>
  <c r="BW99" i="15"/>
  <c r="BP412" i="15"/>
  <c r="AA498" i="15"/>
  <c r="AB498" i="15"/>
  <c r="O381" i="15"/>
  <c r="O414" i="15"/>
  <c r="AX414" i="15"/>
  <c r="AX388" i="15"/>
  <c r="AX389" i="15"/>
  <c r="AT404" i="15"/>
  <c r="AT88" i="15"/>
  <c r="BA503" i="15"/>
  <c r="BA514" i="15" s="1"/>
  <c r="AX504" i="15"/>
  <c r="BB542" i="15"/>
  <c r="BB100" i="15"/>
  <c r="R213" i="15"/>
  <c r="R220" i="15"/>
  <c r="BQ54" i="15"/>
  <c r="AI190" i="15"/>
  <c r="S60" i="15"/>
  <c r="BL54" i="15"/>
  <c r="BL57" i="15"/>
  <c r="BL59" i="15"/>
  <c r="BL67" i="15"/>
  <c r="BL69" i="15"/>
  <c r="BL71" i="15"/>
  <c r="I54" i="15"/>
  <c r="I57" i="15"/>
  <c r="I59" i="15"/>
  <c r="AU55" i="15"/>
  <c r="AU148" i="15"/>
  <c r="BC139" i="15"/>
  <c r="BD139" i="15"/>
  <c r="BC79" i="15"/>
  <c r="BC247" i="15"/>
  <c r="BC255" i="15"/>
  <c r="BC283" i="15"/>
  <c r="BC291" i="15"/>
  <c r="BP54" i="15"/>
  <c r="BP57" i="15"/>
  <c r="BP59" i="15"/>
  <c r="BP61" i="15"/>
  <c r="AY21" i="15"/>
  <c r="BC80" i="15"/>
  <c r="BN515" i="15"/>
  <c r="BN516" i="15"/>
  <c r="AG479" i="15"/>
  <c r="BC9" i="15"/>
  <c r="W55" i="15"/>
  <c r="AM44" i="15"/>
  <c r="AY479" i="15"/>
  <c r="BC500" i="15"/>
  <c r="BD500" i="15"/>
  <c r="BC190" i="15"/>
  <c r="J525" i="15"/>
  <c r="J45" i="15"/>
  <c r="J47" i="15"/>
  <c r="AN207" i="15"/>
  <c r="AN461" i="15"/>
  <c r="AK402" i="15"/>
  <c r="AK207" i="15"/>
  <c r="AK461" i="15"/>
  <c r="AM207" i="15"/>
  <c r="AM461" i="15"/>
  <c r="AK338" i="15"/>
  <c r="AF342" i="15"/>
  <c r="AG141" i="15"/>
  <c r="AF406" i="15"/>
  <c r="BW92" i="15"/>
  <c r="BQ285" i="15"/>
  <c r="BQ318" i="15"/>
  <c r="J414" i="15"/>
  <c r="J413" i="15"/>
  <c r="J404" i="15"/>
  <c r="J411" i="15"/>
  <c r="J402" i="15"/>
  <c r="J408" i="15"/>
  <c r="J410" i="15"/>
  <c r="J406" i="15"/>
  <c r="J412" i="15"/>
  <c r="J401" i="15"/>
  <c r="J400" i="15"/>
  <c r="F85" i="15"/>
  <c r="F24" i="15"/>
  <c r="AR9" i="15"/>
  <c r="AR493" i="15"/>
  <c r="AR324" i="15"/>
  <c r="AR84" i="15"/>
  <c r="AR89" i="15"/>
  <c r="J405" i="15"/>
  <c r="R107" i="15"/>
  <c r="R329" i="15"/>
  <c r="I462" i="15"/>
  <c r="AG31" i="15"/>
  <c r="BB39" i="15"/>
  <c r="BB525" i="15"/>
  <c r="BQ406" i="15"/>
  <c r="AZ347" i="15"/>
  <c r="AJ89" i="15"/>
  <c r="AJ60" i="15"/>
  <c r="W357" i="15"/>
  <c r="AW147" i="15"/>
  <c r="AV348" i="15"/>
  <c r="AV412" i="15"/>
  <c r="BK135" i="15"/>
  <c r="BA411" i="15"/>
  <c r="BB422" i="15"/>
  <c r="BB357" i="15"/>
  <c r="BB259" i="15"/>
  <c r="AH24" i="15"/>
  <c r="AH86" i="15"/>
  <c r="AY423" i="15"/>
  <c r="AY260" i="15"/>
  <c r="AY465" i="15"/>
  <c r="Y410" i="15"/>
  <c r="X364" i="15"/>
  <c r="X432" i="15"/>
  <c r="AT389" i="15"/>
  <c r="C285" i="15"/>
  <c r="C318" i="15"/>
  <c r="C304" i="15"/>
  <c r="BV318" i="15"/>
  <c r="AF114" i="15"/>
  <c r="AJ9" i="15"/>
  <c r="T141" i="15"/>
  <c r="BE342" i="15"/>
  <c r="S342" i="15"/>
  <c r="AE389" i="15"/>
  <c r="AA389" i="15"/>
  <c r="AV82" i="15"/>
  <c r="AS82" i="15"/>
  <c r="AN83" i="15"/>
  <c r="AN465" i="15"/>
  <c r="AU135" i="15"/>
  <c r="AT400" i="15"/>
  <c r="AT336" i="15"/>
  <c r="BN550" i="15"/>
  <c r="BN553" i="15"/>
  <c r="W400" i="15"/>
  <c r="W336" i="15"/>
  <c r="AC130" i="15"/>
  <c r="AW524" i="15"/>
  <c r="AW95" i="15"/>
  <c r="C301" i="15"/>
  <c r="C369" i="15"/>
  <c r="C467" i="15"/>
  <c r="C292" i="15"/>
  <c r="C282" i="15"/>
  <c r="AC40" i="15"/>
  <c r="AB44" i="15"/>
  <c r="G107" i="15"/>
  <c r="G329" i="15"/>
  <c r="G203" i="15"/>
  <c r="AL259" i="15"/>
  <c r="AL292" i="15"/>
  <c r="C550" i="15"/>
  <c r="C553" i="15"/>
  <c r="AD560" i="15"/>
  <c r="AD47" i="15"/>
  <c r="AD119" i="15"/>
  <c r="AD121" i="15"/>
  <c r="AD125" i="15"/>
  <c r="Y130" i="15"/>
  <c r="AE467" i="15"/>
  <c r="AU92" i="15"/>
  <c r="AU554" i="15"/>
  <c r="AU566" i="15"/>
  <c r="X21" i="15"/>
  <c r="W84" i="15"/>
  <c r="BS220" i="15"/>
  <c r="BS456" i="15"/>
  <c r="BS254" i="15"/>
  <c r="BS255" i="15"/>
  <c r="AM247" i="15"/>
  <c r="BT135" i="15"/>
  <c r="BT234" i="15"/>
  <c r="AT423" i="15"/>
  <c r="AU139" i="15"/>
  <c r="AV139" i="15"/>
  <c r="AW23" i="15"/>
  <c r="AV68" i="15"/>
  <c r="AW68" i="15"/>
  <c r="AV43" i="15"/>
  <c r="AV44" i="15"/>
  <c r="AU44" i="15"/>
  <c r="AW272" i="15"/>
  <c r="N279" i="15"/>
  <c r="N283" i="15"/>
  <c r="N291" i="15"/>
  <c r="C449" i="17"/>
  <c r="N278" i="15"/>
  <c r="N282" i="15"/>
  <c r="N295" i="15"/>
  <c r="N297" i="15"/>
  <c r="N206" i="15"/>
  <c r="BV206" i="15"/>
  <c r="AW112" i="15"/>
  <c r="AY206" i="15"/>
  <c r="N114" i="15"/>
  <c r="AY139" i="15"/>
  <c r="AZ139" i="15"/>
  <c r="AX404" i="15"/>
  <c r="AX88" i="15"/>
  <c r="AX340" i="15"/>
  <c r="N411" i="15"/>
  <c r="N347" i="15"/>
  <c r="AZ33" i="15"/>
  <c r="AY34" i="15"/>
  <c r="AZ43" i="15"/>
  <c r="AY44" i="15"/>
  <c r="BQ402" i="15"/>
  <c r="AJ55" i="15"/>
  <c r="AJ238" i="15"/>
  <c r="AJ236" i="15"/>
  <c r="AK11" i="15"/>
  <c r="AC147" i="15"/>
  <c r="AB348" i="15"/>
  <c r="BK147" i="15"/>
  <c r="X141" i="15"/>
  <c r="W406" i="15"/>
  <c r="W342" i="15"/>
  <c r="BO92" i="15"/>
  <c r="BO554" i="15"/>
  <c r="BO566" i="15"/>
  <c r="BN519" i="15"/>
  <c r="BN39" i="15"/>
  <c r="AF19" i="15"/>
  <c r="AE82" i="15"/>
  <c r="AT61" i="15"/>
  <c r="M364" i="15"/>
  <c r="M432" i="15"/>
  <c r="M465" i="15"/>
  <c r="H560" i="15"/>
  <c r="H562" i="15"/>
  <c r="AA500" i="15"/>
  <c r="Z504" i="15"/>
  <c r="AE498" i="15"/>
  <c r="AZ497" i="15"/>
  <c r="AY504" i="15"/>
  <c r="AY505" i="15"/>
  <c r="BK35" i="15"/>
  <c r="AC35" i="15"/>
  <c r="AL358" i="15"/>
  <c r="AL423" i="15"/>
  <c r="AL260" i="15"/>
  <c r="BK169" i="15"/>
  <c r="AC169" i="15"/>
  <c r="AQ60" i="15"/>
  <c r="BJ78" i="15"/>
  <c r="AB501" i="15"/>
  <c r="AC501" i="15"/>
  <c r="R45" i="15"/>
  <c r="BT405" i="15"/>
  <c r="AE493" i="15"/>
  <c r="V404" i="15"/>
  <c r="M57" i="15"/>
  <c r="M59" i="15"/>
  <c r="AE500" i="15"/>
  <c r="AF500" i="15"/>
  <c r="AG500" i="15"/>
  <c r="I220" i="15"/>
  <c r="BO408" i="15"/>
  <c r="AC479" i="15"/>
  <c r="W100" i="15"/>
  <c r="BH54" i="15"/>
  <c r="BH57" i="15"/>
  <c r="BH59" i="15"/>
  <c r="BH61" i="15"/>
  <c r="S53" i="15"/>
  <c r="J508" i="15"/>
  <c r="BB420" i="15"/>
  <c r="BW542" i="15"/>
  <c r="BC68" i="15"/>
  <c r="BR135" i="15"/>
  <c r="BY39" i="15"/>
  <c r="BY45" i="15"/>
  <c r="BC140" i="15"/>
  <c r="BD140" i="15"/>
  <c r="BE140" i="15"/>
  <c r="AC278" i="15"/>
  <c r="BK70" i="15"/>
  <c r="AE58" i="15"/>
  <c r="Z57" i="15"/>
  <c r="Z59" i="15"/>
  <c r="AU66" i="15"/>
  <c r="AW176" i="15"/>
  <c r="AY148" i="15"/>
  <c r="BC146" i="15"/>
  <c r="BD146" i="15"/>
  <c r="AD347" i="15"/>
  <c r="AE68" i="15"/>
  <c r="W56" i="15"/>
  <c r="AX260" i="15"/>
  <c r="BC498" i="15"/>
  <c r="BD498" i="15"/>
  <c r="BE498" i="15"/>
  <c r="D389" i="15"/>
  <c r="BQ213" i="15"/>
  <c r="BQ220" i="15"/>
  <c r="AM68" i="15"/>
  <c r="AO68" i="15"/>
  <c r="BC55" i="15"/>
  <c r="BC149" i="15"/>
  <c r="BC414" i="15"/>
  <c r="AO21" i="15"/>
  <c r="AO84" i="15"/>
  <c r="AN84" i="15"/>
  <c r="AA22" i="15"/>
  <c r="AA559" i="15"/>
  <c r="AA81" i="15"/>
  <c r="AA103" i="15"/>
  <c r="AA105" i="15"/>
  <c r="AA327" i="15"/>
  <c r="X357" i="15"/>
  <c r="X282" i="15"/>
  <c r="X467" i="15"/>
  <c r="X422" i="15"/>
  <c r="X259" i="15"/>
  <c r="X292" i="15"/>
  <c r="AV364" i="15"/>
  <c r="AV432" i="15"/>
  <c r="AV465" i="15"/>
  <c r="AV286" i="15"/>
  <c r="AV83" i="15"/>
  <c r="AS358" i="15"/>
  <c r="AS423" i="15"/>
  <c r="AS260" i="15"/>
  <c r="T23" i="15"/>
  <c r="AD84" i="15"/>
  <c r="AD22" i="15"/>
  <c r="AE21" i="15"/>
  <c r="BN77" i="15"/>
  <c r="BN58" i="15"/>
  <c r="S14" i="15"/>
  <c r="BN18" i="15"/>
  <c r="J119" i="17"/>
  <c r="C129" i="17"/>
  <c r="C152" i="17"/>
  <c r="C153" i="17"/>
  <c r="C339" i="15"/>
  <c r="C144" i="15"/>
  <c r="V533" i="15"/>
  <c r="AL107" i="15"/>
  <c r="AL329" i="15"/>
  <c r="AA350" i="15"/>
  <c r="AA414" i="15"/>
  <c r="Z107" i="15"/>
  <c r="Z329" i="15"/>
  <c r="AF497" i="15"/>
  <c r="J560" i="15"/>
  <c r="BW465" i="15"/>
  <c r="BW286" i="15"/>
  <c r="BW83" i="15"/>
  <c r="BW265" i="15"/>
  <c r="BY85" i="15"/>
  <c r="BY24" i="15"/>
  <c r="AW260" i="15"/>
  <c r="AC135" i="15"/>
  <c r="Z336" i="15"/>
  <c r="BH135" i="15"/>
  <c r="N364" i="15"/>
  <c r="N432" i="15"/>
  <c r="N465" i="15"/>
  <c r="N83" i="15"/>
  <c r="D467" i="15"/>
  <c r="D282" i="15"/>
  <c r="D292" i="15"/>
  <c r="D357" i="15"/>
  <c r="D301" i="15"/>
  <c r="D369" i="15"/>
  <c r="D422" i="15"/>
  <c r="D437" i="15"/>
  <c r="D259" i="15"/>
  <c r="AE209" i="15"/>
  <c r="AE462" i="15"/>
  <c r="BQ462" i="15"/>
  <c r="AR94" i="15"/>
  <c r="AD264" i="15"/>
  <c r="AD318" i="15"/>
  <c r="AD285" i="15"/>
  <c r="BW406" i="15"/>
  <c r="AR12" i="15"/>
  <c r="AR76" i="15"/>
  <c r="AR88" i="15"/>
  <c r="AR237" i="15"/>
  <c r="AR79" i="15"/>
  <c r="AR77" i="15"/>
  <c r="AV9" i="15"/>
  <c r="AR80" i="15"/>
  <c r="AR78" i="15"/>
  <c r="AR201" i="15"/>
  <c r="AR388" i="15"/>
  <c r="AS8" i="15"/>
  <c r="AS201" i="15"/>
  <c r="AY364" i="15"/>
  <c r="AY432" i="15"/>
  <c r="AR499" i="15"/>
  <c r="G215" i="15"/>
  <c r="G125" i="15"/>
  <c r="G123" i="15"/>
  <c r="AM103" i="15"/>
  <c r="AM105" i="15"/>
  <c r="AM22" i="15"/>
  <c r="AF410" i="15"/>
  <c r="AG145" i="15"/>
  <c r="BU57" i="15"/>
  <c r="BU59" i="15"/>
  <c r="G530" i="15"/>
  <c r="G536" i="15"/>
  <c r="AM81" i="15"/>
  <c r="BB465" i="15"/>
  <c r="BB364" i="15"/>
  <c r="BB432" i="15"/>
  <c r="AH291" i="15"/>
  <c r="K412" i="15"/>
  <c r="K405" i="15"/>
  <c r="K410" i="15"/>
  <c r="K406" i="15"/>
  <c r="K411" i="15"/>
  <c r="K388" i="15"/>
  <c r="K408" i="15"/>
  <c r="CD134" i="15"/>
  <c r="CD138" i="15"/>
  <c r="CD144" i="15"/>
  <c r="CD150" i="15"/>
  <c r="CD152" i="15"/>
  <c r="J407" i="15"/>
  <c r="J388" i="15"/>
  <c r="AI283" i="15"/>
  <c r="C1219" i="17"/>
  <c r="AI260" i="15"/>
  <c r="BZ85" i="15"/>
  <c r="BZ86" i="15"/>
  <c r="BR282" i="15"/>
  <c r="BR292" i="15"/>
  <c r="BR467" i="15"/>
  <c r="BR259" i="15"/>
  <c r="BR525" i="15"/>
  <c r="BR45" i="15"/>
  <c r="AI45" i="15"/>
  <c r="AI254" i="15"/>
  <c r="AT107" i="15"/>
  <c r="AT329" i="15"/>
  <c r="AT327" i="15"/>
  <c r="BN138" i="15"/>
  <c r="BN144" i="15"/>
  <c r="BS202" i="15"/>
  <c r="BK82" i="15"/>
  <c r="BL82" i="15"/>
  <c r="AO413" i="15"/>
  <c r="AX505" i="15"/>
  <c r="AX547" i="15"/>
  <c r="AX550" i="15"/>
  <c r="AJ95" i="15"/>
  <c r="AJ548" i="15"/>
  <c r="AJ344" i="15"/>
  <c r="AK143" i="15"/>
  <c r="AJ408" i="15"/>
  <c r="AY358" i="15"/>
  <c r="AK12" i="15"/>
  <c r="I364" i="15"/>
  <c r="I432" i="15"/>
  <c r="BR85" i="15"/>
  <c r="AD107" i="15"/>
  <c r="AD329" i="15"/>
  <c r="AE292" i="15"/>
  <c r="AO143" i="15"/>
  <c r="AW40" i="15"/>
  <c r="K92" i="15"/>
  <c r="K554" i="15"/>
  <c r="AM201" i="15"/>
  <c r="AY56" i="15"/>
  <c r="BO525" i="15"/>
  <c r="S501" i="15"/>
  <c r="R504" i="15"/>
  <c r="G504" i="15"/>
  <c r="AG338" i="15"/>
  <c r="J57" i="15"/>
  <c r="J59" i="15"/>
  <c r="J61" i="15"/>
  <c r="BU45" i="15"/>
  <c r="BU525" i="15"/>
  <c r="F255" i="15"/>
  <c r="Y247" i="15"/>
  <c r="F254" i="15"/>
  <c r="C423" i="15"/>
  <c r="C438" i="15"/>
  <c r="C260" i="15"/>
  <c r="AW206" i="15"/>
  <c r="AX206" i="15"/>
  <c r="AZ206" i="15"/>
  <c r="AR83" i="15"/>
  <c r="AC262" i="15"/>
  <c r="AC460" i="15"/>
  <c r="BH81" i="15"/>
  <c r="BH22" i="15"/>
  <c r="BH103" i="15"/>
  <c r="BH105" i="15"/>
  <c r="BH107" i="15"/>
  <c r="G560" i="15"/>
  <c r="G47" i="15"/>
  <c r="L203" i="15"/>
  <c r="L425" i="15"/>
  <c r="L391" i="15"/>
  <c r="L327" i="15"/>
  <c r="L427" i="15"/>
  <c r="L107" i="15"/>
  <c r="L329" i="15"/>
  <c r="R464" i="15"/>
  <c r="R254" i="15"/>
  <c r="BS559" i="15"/>
  <c r="BS81" i="15"/>
  <c r="BK8" i="15"/>
  <c r="BK88" i="15" s="1"/>
  <c r="AB388" i="15"/>
  <c r="AB237" i="15"/>
  <c r="AB324" i="15"/>
  <c r="AB114" i="15"/>
  <c r="AB76" i="15"/>
  <c r="AB77" i="15"/>
  <c r="AZ190" i="15"/>
  <c r="BA188" i="15"/>
  <c r="AJ189" i="15"/>
  <c r="AK189" i="15"/>
  <c r="AK190" i="15"/>
  <c r="AQ542" i="15"/>
  <c r="AE52" i="15"/>
  <c r="AE54" i="15"/>
  <c r="AD54" i="15"/>
  <c r="AL340" i="15"/>
  <c r="AL88" i="15"/>
  <c r="AN410" i="15"/>
  <c r="AO145" i="15"/>
  <c r="H401" i="15"/>
  <c r="BK136" i="15"/>
  <c r="BK188" i="15"/>
  <c r="AC188" i="15"/>
  <c r="BK181" i="15"/>
  <c r="F89" i="15"/>
  <c r="F60" i="15"/>
  <c r="F61" i="15"/>
  <c r="C453" i="17"/>
  <c r="AW290" i="15"/>
  <c r="AZ260" i="15"/>
  <c r="AZ283" i="15"/>
  <c r="BC344" i="15"/>
  <c r="BC408" i="15"/>
  <c r="AH57" i="15"/>
  <c r="AH59" i="15"/>
  <c r="AH61" i="15"/>
  <c r="BL358" i="15"/>
  <c r="BL283" i="15"/>
  <c r="AR148" i="15"/>
  <c r="AG252" i="15"/>
  <c r="AG355" i="15"/>
  <c r="AG420" i="15"/>
  <c r="AI94" i="15"/>
  <c r="AI100" i="15"/>
  <c r="AI93" i="15"/>
  <c r="AI542" i="15"/>
  <c r="BL260" i="15"/>
  <c r="AV338" i="15"/>
  <c r="AK464" i="15"/>
  <c r="AD388" i="15"/>
  <c r="AH389" i="15"/>
  <c r="AD405" i="15"/>
  <c r="BQ405" i="15"/>
  <c r="V520" i="15"/>
  <c r="V39" i="15"/>
  <c r="L520" i="15"/>
  <c r="L39" i="15"/>
  <c r="AQ78" i="15"/>
  <c r="AQ12" i="15"/>
  <c r="AQ77" i="15"/>
  <c r="AQ131" i="15"/>
  <c r="AQ114" i="15"/>
  <c r="AQ9" i="15"/>
  <c r="AQ325" i="15"/>
  <c r="AB407" i="15"/>
  <c r="L505" i="15"/>
  <c r="AV402" i="15"/>
  <c r="V410" i="15"/>
  <c r="BO410" i="15"/>
  <c r="V388" i="15"/>
  <c r="V402" i="15"/>
  <c r="BO402" i="15"/>
  <c r="V406" i="15"/>
  <c r="V407" i="15"/>
  <c r="BO407" i="15"/>
  <c r="N422" i="15"/>
  <c r="N467" i="15"/>
  <c r="BS405" i="15"/>
  <c r="C1689" i="17"/>
  <c r="AN11" i="15"/>
  <c r="AO11" i="15"/>
  <c r="AM238" i="15"/>
  <c r="AN522" i="15"/>
  <c r="AN41" i="15"/>
  <c r="AC233" i="15"/>
  <c r="BC12" i="15"/>
  <c r="BC236" i="15"/>
  <c r="BC120" i="15"/>
  <c r="BC44" i="15"/>
  <c r="Z206" i="15"/>
  <c r="BS410" i="15"/>
  <c r="CC554" i="15"/>
  <c r="W139" i="15"/>
  <c r="BO54" i="15"/>
  <c r="BO57" i="15"/>
  <c r="BO59" i="15"/>
  <c r="BO61" i="15"/>
  <c r="G54" i="15"/>
  <c r="G57" i="15"/>
  <c r="G59" i="15"/>
  <c r="AO501" i="15"/>
  <c r="BB66" i="15"/>
  <c r="BC62" i="15"/>
  <c r="BC66" i="15"/>
  <c r="W68" i="15"/>
  <c r="C77" i="15"/>
  <c r="C58" i="15"/>
  <c r="BT209" i="15"/>
  <c r="BT462" i="15"/>
  <c r="BB548" i="15"/>
  <c r="BB56" i="15"/>
  <c r="BC56" i="15"/>
  <c r="BC30" i="15"/>
  <c r="BD30" i="15"/>
  <c r="BE30" i="15"/>
  <c r="BC343" i="15"/>
  <c r="BC407" i="15"/>
  <c r="AU95" i="15"/>
  <c r="AU501" i="15"/>
  <c r="BC497" i="15"/>
  <c r="BD497" i="15"/>
  <c r="BD504" i="15" s="1"/>
  <c r="BE497" i="15"/>
  <c r="BB413" i="15"/>
  <c r="BC148" i="15"/>
  <c r="BD148" i="15"/>
  <c r="BB349" i="15"/>
  <c r="BC184" i="15"/>
  <c r="BC21" i="15"/>
  <c r="BD21" i="15"/>
  <c r="BE21" i="15"/>
  <c r="BD84" i="15"/>
  <c r="BC29" i="15"/>
  <c r="BD29" i="15"/>
  <c r="BD31" i="15"/>
  <c r="BD519" i="15"/>
  <c r="BW53" i="15"/>
  <c r="BC53" i="15"/>
  <c r="BC54" i="15"/>
  <c r="BC57" i="15"/>
  <c r="BC59" i="15"/>
  <c r="O514" i="15"/>
  <c r="BW84" i="15"/>
  <c r="BC337" i="15"/>
  <c r="Y124" i="19"/>
  <c r="X488" i="15"/>
  <c r="H508" i="15"/>
  <c r="BD83" i="15"/>
  <c r="BA406" i="15"/>
  <c r="BA342" i="15"/>
  <c r="BQ119" i="15"/>
  <c r="BQ121" i="15"/>
  <c r="BQ125" i="15"/>
  <c r="BQ47" i="15"/>
  <c r="BQ560" i="15"/>
  <c r="BQ571" i="15"/>
  <c r="BI560" i="15"/>
  <c r="BI119" i="15"/>
  <c r="BI121" i="15"/>
  <c r="BI123" i="15"/>
  <c r="CD395" i="15"/>
  <c r="AF76" i="15"/>
  <c r="AF12" i="15"/>
  <c r="AF18" i="15"/>
  <c r="W259" i="15"/>
  <c r="X60" i="15"/>
  <c r="AQ504" i="15"/>
  <c r="AQ547" i="15"/>
  <c r="BH47" i="15"/>
  <c r="L358" i="15"/>
  <c r="R466" i="15"/>
  <c r="R367" i="15"/>
  <c r="R435" i="15"/>
  <c r="BU265" i="15"/>
  <c r="BU466" i="15"/>
  <c r="BU83" i="15"/>
  <c r="BU465" i="15"/>
  <c r="AP103" i="15"/>
  <c r="AP105" i="15"/>
  <c r="AP22" i="15"/>
  <c r="AP81" i="15"/>
  <c r="AP559" i="15"/>
  <c r="AO255" i="15"/>
  <c r="AO254" i="15"/>
  <c r="AV407" i="15"/>
  <c r="AW142" i="15"/>
  <c r="AV343" i="15"/>
  <c r="H405" i="15"/>
  <c r="H402" i="15"/>
  <c r="H413" i="15"/>
  <c r="H404" i="15"/>
  <c r="H425" i="15"/>
  <c r="H407" i="15"/>
  <c r="H414" i="15"/>
  <c r="H412" i="15"/>
  <c r="H410" i="15"/>
  <c r="H408" i="15"/>
  <c r="H388" i="15"/>
  <c r="H406" i="15"/>
  <c r="AE234" i="15"/>
  <c r="AF135" i="15"/>
  <c r="AG143" i="15"/>
  <c r="AF344" i="15"/>
  <c r="AF408" i="15"/>
  <c r="AE45" i="15"/>
  <c r="AE525" i="15"/>
  <c r="H427" i="15"/>
  <c r="AO77" i="15"/>
  <c r="AO324" i="15"/>
  <c r="AO237" i="15"/>
  <c r="AO388" i="15"/>
  <c r="AO389" i="15"/>
  <c r="AP201" i="15"/>
  <c r="AO78" i="15"/>
  <c r="AO52" i="15"/>
  <c r="AO201" i="15"/>
  <c r="L83" i="15"/>
  <c r="L364" i="15"/>
  <c r="L432" i="15"/>
  <c r="CD116" i="15"/>
  <c r="AF388" i="15"/>
  <c r="AF389" i="15" s="1"/>
  <c r="AJ389" i="15"/>
  <c r="AF9" i="15"/>
  <c r="AF325" i="15"/>
  <c r="W347" i="15"/>
  <c r="AR31" i="15"/>
  <c r="AR519" i="15"/>
  <c r="AK206" i="15"/>
  <c r="AK460" i="15"/>
  <c r="L423" i="15"/>
  <c r="AR135" i="15"/>
  <c r="AQ135" i="15"/>
  <c r="AV521" i="15"/>
  <c r="AW37" i="15"/>
  <c r="AW521" i="15"/>
  <c r="I412" i="15"/>
  <c r="I408" i="15"/>
  <c r="I407" i="15"/>
  <c r="I410" i="15"/>
  <c r="I405" i="15"/>
  <c r="I406" i="15"/>
  <c r="I413" i="15"/>
  <c r="I388" i="15"/>
  <c r="I404" i="15"/>
  <c r="I401" i="15"/>
  <c r="I402" i="15"/>
  <c r="AB259" i="15"/>
  <c r="AB292" i="15"/>
  <c r="AB467" i="15"/>
  <c r="AB357" i="15"/>
  <c r="AJ405" i="15"/>
  <c r="AJ341" i="15"/>
  <c r="AZ342" i="15"/>
  <c r="AZ406" i="15"/>
  <c r="AW188" i="15"/>
  <c r="AW190" i="15"/>
  <c r="AF80" i="15"/>
  <c r="AR53" i="15"/>
  <c r="L465" i="15"/>
  <c r="AL206" i="15"/>
  <c r="AL262" i="15"/>
  <c r="L283" i="15"/>
  <c r="L291" i="15"/>
  <c r="BZ61" i="15"/>
  <c r="BZ67" i="15"/>
  <c r="BZ69" i="15"/>
  <c r="BZ71" i="15"/>
  <c r="AX103" i="15"/>
  <c r="AX105" i="15"/>
  <c r="AX81" i="15"/>
  <c r="AX559" i="15"/>
  <c r="U33" i="15"/>
  <c r="T34" i="15"/>
  <c r="T520" i="15"/>
  <c r="T548" i="15"/>
  <c r="T56" i="15"/>
  <c r="Z560" i="15"/>
  <c r="Z119" i="15"/>
  <c r="Z121" i="15"/>
  <c r="Z125" i="15"/>
  <c r="Z47" i="15"/>
  <c r="AP291" i="15"/>
  <c r="AH286" i="15"/>
  <c r="AH364" i="15"/>
  <c r="AH432" i="15"/>
  <c r="AA254" i="15"/>
  <c r="BP467" i="15"/>
  <c r="BP259" i="15"/>
  <c r="BP264" i="15"/>
  <c r="BP468" i="15"/>
  <c r="BP292" i="15"/>
  <c r="BP282" i="15"/>
  <c r="BP295" i="15"/>
  <c r="BP297" i="15"/>
  <c r="AF237" i="15"/>
  <c r="U142" i="15"/>
  <c r="U343" i="15"/>
  <c r="AQ548" i="15"/>
  <c r="AQ550" i="15"/>
  <c r="W411" i="15"/>
  <c r="BO411" i="15"/>
  <c r="Y136" i="15"/>
  <c r="X401" i="15"/>
  <c r="X337" i="15"/>
  <c r="AN413" i="15"/>
  <c r="BT413" i="15"/>
  <c r="AN349" i="15"/>
  <c r="AF236" i="15"/>
  <c r="AG11" i="15"/>
  <c r="AF238" i="15"/>
  <c r="AF55" i="15"/>
  <c r="F45" i="15"/>
  <c r="F525" i="15"/>
  <c r="AQ201" i="15"/>
  <c r="AF89" i="15"/>
  <c r="AF52" i="15"/>
  <c r="AQ31" i="15"/>
  <c r="AF201" i="15"/>
  <c r="F401" i="15"/>
  <c r="AG423" i="15"/>
  <c r="AG260" i="15"/>
  <c r="T343" i="15"/>
  <c r="AZ82" i="15"/>
  <c r="AW82" i="15"/>
  <c r="AX82" i="15"/>
  <c r="AY82" i="15"/>
  <c r="AR522" i="15"/>
  <c r="AS35" i="15"/>
  <c r="AS522" i="15"/>
  <c r="D403" i="15"/>
  <c r="BJ542" i="15"/>
  <c r="BJ31" i="15"/>
  <c r="BJ53" i="15"/>
  <c r="BJ54" i="15"/>
  <c r="BJ92" i="15"/>
  <c r="BJ100" i="15"/>
  <c r="BL103" i="15"/>
  <c r="BL105" i="15"/>
  <c r="AG142" i="15"/>
  <c r="AG343" i="15"/>
  <c r="BS413" i="15"/>
  <c r="W292" i="15"/>
  <c r="AR131" i="15"/>
  <c r="AR99" i="15"/>
  <c r="J119" i="15"/>
  <c r="J121" i="15"/>
  <c r="J530" i="15"/>
  <c r="J536" i="15"/>
  <c r="AF324" i="15"/>
  <c r="AJ18" i="15"/>
  <c r="N57" i="15"/>
  <c r="N59" i="15"/>
  <c r="BQ525" i="15"/>
  <c r="AL82" i="15"/>
  <c r="AP292" i="15"/>
  <c r="AP357" i="15"/>
  <c r="AP422" i="15"/>
  <c r="BV422" i="15"/>
  <c r="BT519" i="15"/>
  <c r="BT39" i="15"/>
  <c r="H400" i="15"/>
  <c r="T523" i="15"/>
  <c r="U36" i="15"/>
  <c r="U523" i="15"/>
  <c r="I282" i="15"/>
  <c r="I295" i="15"/>
  <c r="I297" i="15"/>
  <c r="I259" i="15"/>
  <c r="I357" i="15"/>
  <c r="I292" i="15"/>
  <c r="I467" i="15"/>
  <c r="I422" i="15"/>
  <c r="BS22" i="15"/>
  <c r="BS103" i="15"/>
  <c r="BS105" i="15"/>
  <c r="I103" i="15"/>
  <c r="I105" i="15"/>
  <c r="I81" i="15"/>
  <c r="I559" i="15"/>
  <c r="I202" i="15"/>
  <c r="E525" i="15"/>
  <c r="E45" i="15"/>
  <c r="AF407" i="15"/>
  <c r="BL22" i="15"/>
  <c r="BK190" i="15"/>
  <c r="S204" i="15"/>
  <c r="AR542" i="15"/>
  <c r="AG8" i="15"/>
  <c r="AG76" i="15" s="1"/>
  <c r="BP405" i="15"/>
  <c r="AP358" i="15"/>
  <c r="AP423" i="15"/>
  <c r="BV423" i="15"/>
  <c r="AF521" i="15"/>
  <c r="AG37" i="15"/>
  <c r="AG521" i="15"/>
  <c r="AM57" i="15"/>
  <c r="AM59" i="15"/>
  <c r="AI57" i="15"/>
  <c r="AI59" i="15"/>
  <c r="AY341" i="15"/>
  <c r="AY405" i="15"/>
  <c r="AZ140" i="15"/>
  <c r="AZ500" i="15"/>
  <c r="AW42" i="15"/>
  <c r="AW120" i="15"/>
  <c r="AV120" i="15"/>
  <c r="AV60" i="15"/>
  <c r="M367" i="15"/>
  <c r="M435" i="15"/>
  <c r="M466" i="15"/>
  <c r="N292" i="15"/>
  <c r="N357" i="15"/>
  <c r="N259" i="15"/>
  <c r="AR259" i="15"/>
  <c r="AR363" i="15"/>
  <c r="AR431" i="15"/>
  <c r="AR357" i="15"/>
  <c r="AR422" i="15"/>
  <c r="AR282" i="15"/>
  <c r="AR295" i="15"/>
  <c r="AR297" i="15"/>
  <c r="AR467" i="15"/>
  <c r="AR292" i="15"/>
  <c r="AC14" i="15"/>
  <c r="AC77" i="15"/>
  <c r="BK14" i="15"/>
  <c r="BK77" i="15"/>
  <c r="AV94" i="15"/>
  <c r="T357" i="15"/>
  <c r="T467" i="15"/>
  <c r="T259" i="15"/>
  <c r="T264" i="15"/>
  <c r="T282" i="15"/>
  <c r="T295" i="15"/>
  <c r="T297" i="15"/>
  <c r="AD425" i="15"/>
  <c r="AD327" i="15"/>
  <c r="AD391" i="15"/>
  <c r="G85" i="15"/>
  <c r="G24" i="15"/>
  <c r="G86" i="15"/>
  <c r="BD291" i="15"/>
  <c r="AJ135" i="15"/>
  <c r="AI135" i="15"/>
  <c r="AC142" i="15"/>
  <c r="AB343" i="15"/>
  <c r="AU89" i="15"/>
  <c r="AW104" i="15"/>
  <c r="K67" i="15"/>
  <c r="K69" i="15"/>
  <c r="K71" i="15"/>
  <c r="K61" i="15"/>
  <c r="AV52" i="15"/>
  <c r="AV54" i="15"/>
  <c r="AV57" i="15"/>
  <c r="AV131" i="15"/>
  <c r="AV12" i="15"/>
  <c r="AZ9" i="15"/>
  <c r="AV114" i="15"/>
  <c r="AV77" i="15"/>
  <c r="AV79" i="15"/>
  <c r="AV76" i="15"/>
  <c r="AV324" i="15"/>
  <c r="AV237" i="15"/>
  <c r="AV89" i="15"/>
  <c r="AV78" i="15"/>
  <c r="AV80" i="15"/>
  <c r="AV388" i="15"/>
  <c r="AZ389" i="15"/>
  <c r="AW8" i="15"/>
  <c r="AS406" i="15"/>
  <c r="AS342" i="15"/>
  <c r="BJ56" i="15"/>
  <c r="AQ414" i="15"/>
  <c r="AQ350" i="15"/>
  <c r="AR149" i="15"/>
  <c r="AM347" i="15"/>
  <c r="AM411" i="15"/>
  <c r="AN146" i="15"/>
  <c r="F414" i="15"/>
  <c r="F407" i="15"/>
  <c r="F412" i="15"/>
  <c r="AU13" i="15"/>
  <c r="AU18" i="15"/>
  <c r="AU559" i="15"/>
  <c r="AU60" i="15"/>
  <c r="T55" i="15"/>
  <c r="T238" i="15"/>
  <c r="U11" i="15"/>
  <c r="T236" i="15"/>
  <c r="AS363" i="15"/>
  <c r="AS431" i="15"/>
  <c r="AS318" i="15"/>
  <c r="AV514" i="15"/>
  <c r="AW503" i="15"/>
  <c r="BL259" i="15"/>
  <c r="BL318" i="15"/>
  <c r="BL357" i="15"/>
  <c r="BL282" i="15"/>
  <c r="BL295" i="15"/>
  <c r="BL297" i="15"/>
  <c r="BL467" i="15"/>
  <c r="BL292" i="15"/>
  <c r="BL422" i="15"/>
  <c r="BC254" i="15"/>
  <c r="BD338" i="15"/>
  <c r="BD402" i="15"/>
  <c r="AB460" i="15"/>
  <c r="AB262" i="15"/>
  <c r="AB264" i="15"/>
  <c r="AU411" i="15"/>
  <c r="AU347" i="15"/>
  <c r="AV146" i="15"/>
  <c r="Y146" i="15"/>
  <c r="X347" i="15"/>
  <c r="X411" i="15"/>
  <c r="AK95" i="15"/>
  <c r="AK524" i="15"/>
  <c r="AK254" i="15"/>
  <c r="AK255" i="15"/>
  <c r="AA325" i="15"/>
  <c r="AA493" i="15"/>
  <c r="BC548" i="15"/>
  <c r="BC92" i="15"/>
  <c r="BD337" i="15"/>
  <c r="BD401" i="15"/>
  <c r="X402" i="15"/>
  <c r="X338" i="15"/>
  <c r="Y137" i="15"/>
  <c r="Z207" i="15"/>
  <c r="Z461" i="15"/>
  <c r="U348" i="15"/>
  <c r="U412" i="15"/>
  <c r="AA84" i="15"/>
  <c r="AB21" i="15"/>
  <c r="AE81" i="15"/>
  <c r="AE103" i="15"/>
  <c r="AE105" i="15"/>
  <c r="AH560" i="15"/>
  <c r="AH47" i="15"/>
  <c r="AH119" i="15"/>
  <c r="AH121" i="15"/>
  <c r="AH123" i="15"/>
  <c r="AW410" i="15"/>
  <c r="AW346" i="15"/>
  <c r="AJ56" i="15"/>
  <c r="Z467" i="15"/>
  <c r="BP265" i="15"/>
  <c r="BP466" i="15"/>
  <c r="L400" i="15"/>
  <c r="L336" i="15"/>
  <c r="BD465" i="15"/>
  <c r="BD364" i="15"/>
  <c r="BD432" i="15"/>
  <c r="BD493" i="15"/>
  <c r="BD325" i="15"/>
  <c r="N213" i="15"/>
  <c r="N220" i="15"/>
  <c r="AY493" i="15"/>
  <c r="AY325" i="15"/>
  <c r="BY107" i="15"/>
  <c r="BZ106" i="15"/>
  <c r="AO130" i="15"/>
  <c r="AK130" i="15"/>
  <c r="AH467" i="15"/>
  <c r="AH282" i="15"/>
  <c r="AH295" i="15"/>
  <c r="AH297" i="15"/>
  <c r="AH357" i="15"/>
  <c r="AH292" i="15"/>
  <c r="AH259" i="15"/>
  <c r="AH422" i="15"/>
  <c r="BK25" i="15"/>
  <c r="AC25" i="15"/>
  <c r="H505" i="15"/>
  <c r="BI47" i="15"/>
  <c r="BI97" i="15"/>
  <c r="AK405" i="15"/>
  <c r="AG68" i="15"/>
  <c r="AM554" i="15"/>
  <c r="AM566" i="15"/>
  <c r="BQ413" i="15"/>
  <c r="AB145" i="15"/>
  <c r="AA346" i="15"/>
  <c r="AA410" i="15"/>
  <c r="AM389" i="15"/>
  <c r="AI389" i="15"/>
  <c r="AG41" i="15"/>
  <c r="AG44" i="15"/>
  <c r="AF44" i="15"/>
  <c r="Z283" i="15"/>
  <c r="Z291" i="15"/>
  <c r="K259" i="15"/>
  <c r="K467" i="15"/>
  <c r="K282" i="15"/>
  <c r="K295" i="15"/>
  <c r="K297" i="15"/>
  <c r="K357" i="15"/>
  <c r="K422" i="15"/>
  <c r="K292" i="15"/>
  <c r="BT260" i="15"/>
  <c r="AQ255" i="15"/>
  <c r="AQ283" i="15"/>
  <c r="BT283" i="15"/>
  <c r="BT291" i="15"/>
  <c r="X522" i="15"/>
  <c r="Y35" i="15"/>
  <c r="F505" i="15"/>
  <c r="F547" i="15"/>
  <c r="F550" i="15"/>
  <c r="I24" i="15"/>
  <c r="I86" i="15"/>
  <c r="I85" i="15"/>
  <c r="AN291" i="15"/>
  <c r="AW523" i="15"/>
  <c r="AW56" i="15"/>
  <c r="AW548" i="15"/>
  <c r="AC247" i="15"/>
  <c r="H255" i="15"/>
  <c r="H254" i="15"/>
  <c r="L259" i="15"/>
  <c r="L467" i="15"/>
  <c r="L357" i="15"/>
  <c r="L422" i="15"/>
  <c r="L292" i="15"/>
  <c r="L282" i="15"/>
  <c r="L295" i="15"/>
  <c r="L297" i="15"/>
  <c r="K22" i="15"/>
  <c r="K202" i="15"/>
  <c r="K559" i="15"/>
  <c r="K103" i="15"/>
  <c r="K105" i="15"/>
  <c r="BA104" i="15"/>
  <c r="AY89" i="15"/>
  <c r="AK181" i="15"/>
  <c r="S135" i="15"/>
  <c r="S234" i="15"/>
  <c r="T135" i="15"/>
  <c r="AU325" i="15"/>
  <c r="AU493" i="15"/>
  <c r="W92" i="15"/>
  <c r="AE213" i="15"/>
  <c r="AE220" i="15"/>
  <c r="AC190" i="15"/>
  <c r="K81" i="15"/>
  <c r="N286" i="15"/>
  <c r="AZ337" i="15"/>
  <c r="W39" i="15"/>
  <c r="AN139" i="15"/>
  <c r="AM340" i="15"/>
  <c r="AM404" i="15"/>
  <c r="AM88" i="15"/>
  <c r="AW141" i="15"/>
  <c r="AV342" i="15"/>
  <c r="AV406" i="15"/>
  <c r="AB401" i="15"/>
  <c r="AB337" i="15"/>
  <c r="AC136" i="15"/>
  <c r="AO31" i="15"/>
  <c r="AO519" i="15"/>
  <c r="AO405" i="15"/>
  <c r="AO341" i="15"/>
  <c r="AX422" i="15"/>
  <c r="AX282" i="15"/>
  <c r="AX295" i="15"/>
  <c r="AX297" i="15"/>
  <c r="AX292" i="15"/>
  <c r="AX357" i="15"/>
  <c r="AX467" i="15"/>
  <c r="BV285" i="15"/>
  <c r="BO553" i="15"/>
  <c r="AK17" i="15"/>
  <c r="AJ80" i="15"/>
  <c r="AE464" i="15"/>
  <c r="C1419" i="17"/>
  <c r="C1442" i="17"/>
  <c r="C1443" i="17"/>
  <c r="J1409" i="17"/>
  <c r="AF405" i="15"/>
  <c r="AG140" i="15"/>
  <c r="AF341" i="15"/>
  <c r="D210" i="15"/>
  <c r="D463" i="15"/>
  <c r="D345" i="15"/>
  <c r="AK104" i="15"/>
  <c r="AK89" i="15"/>
  <c r="BA136" i="15"/>
  <c r="AF291" i="15"/>
  <c r="BT259" i="15"/>
  <c r="BT318" i="15"/>
  <c r="BJ79" i="15"/>
  <c r="AP206" i="15"/>
  <c r="AP460" i="15"/>
  <c r="I400" i="15"/>
  <c r="I336" i="15"/>
  <c r="BI57" i="15"/>
  <c r="BI59" i="15"/>
  <c r="BI67" i="15"/>
  <c r="BI69" i="15"/>
  <c r="BI71" i="15"/>
  <c r="AX358" i="15"/>
  <c r="AX423" i="15"/>
  <c r="AX283" i="15"/>
  <c r="AJ422" i="15"/>
  <c r="AJ292" i="15"/>
  <c r="AJ357" i="15"/>
  <c r="AJ282" i="15"/>
  <c r="AJ295" i="15"/>
  <c r="AJ297" i="15"/>
  <c r="AJ467" i="15"/>
  <c r="AJ259" i="15"/>
  <c r="W554" i="15"/>
  <c r="W566" i="15"/>
  <c r="AC88" i="15"/>
  <c r="AC404" i="15"/>
  <c r="AC209" i="15"/>
  <c r="AC462" i="15"/>
  <c r="AC340" i="15"/>
  <c r="Y147" i="15"/>
  <c r="Y412" i="15"/>
  <c r="X348" i="15"/>
  <c r="X412" i="15"/>
  <c r="S361" i="15"/>
  <c r="S458" i="15"/>
  <c r="BN205" i="15"/>
  <c r="BN458" i="15"/>
  <c r="AQ349" i="15"/>
  <c r="AQ254" i="15"/>
  <c r="AQ357" i="15"/>
  <c r="S349" i="15"/>
  <c r="T148" i="15"/>
  <c r="S413" i="15"/>
  <c r="AU255" i="15"/>
  <c r="AU254" i="15"/>
  <c r="AN412" i="15"/>
  <c r="BT412" i="15"/>
  <c r="AO147" i="15"/>
  <c r="AN348" i="15"/>
  <c r="AV523" i="15"/>
  <c r="AV548" i="15"/>
  <c r="AV92" i="15"/>
  <c r="AF62" i="15"/>
  <c r="AF66" i="15"/>
  <c r="AG16" i="15"/>
  <c r="AG62" i="15"/>
  <c r="AG66" i="15"/>
  <c r="AF79" i="15"/>
  <c r="BI13" i="15"/>
  <c r="BI18" i="15"/>
  <c r="C1655" i="17"/>
  <c r="C1656" i="17"/>
  <c r="AA464" i="15"/>
  <c r="W18" i="15"/>
  <c r="W77" i="15"/>
  <c r="X14" i="15"/>
  <c r="X58" i="15"/>
  <c r="X100" i="15"/>
  <c r="X93" i="15"/>
  <c r="W467" i="15"/>
  <c r="W282" i="15"/>
  <c r="W295" i="15"/>
  <c r="W297" i="15"/>
  <c r="BA32" i="15"/>
  <c r="J259" i="15"/>
  <c r="J282" i="15"/>
  <c r="J295" i="15"/>
  <c r="J297" i="15"/>
  <c r="J467" i="15"/>
  <c r="J292" i="15"/>
  <c r="J357" i="15"/>
  <c r="J422" i="15"/>
  <c r="BW505" i="15"/>
  <c r="BW506" i="15"/>
  <c r="BW547" i="15"/>
  <c r="BW550" i="15"/>
  <c r="U183" i="15"/>
  <c r="T184" i="15"/>
  <c r="AY13" i="15"/>
  <c r="AY18" i="15"/>
  <c r="AY22" i="15"/>
  <c r="AP547" i="15"/>
  <c r="AP505" i="15"/>
  <c r="J283" i="15"/>
  <c r="J291" i="15"/>
  <c r="J260" i="15"/>
  <c r="J423" i="15"/>
  <c r="J358" i="15"/>
  <c r="BQ57" i="15"/>
  <c r="BQ59" i="15"/>
  <c r="BQ67" i="15"/>
  <c r="BQ69" i="15"/>
  <c r="BQ71" i="15"/>
  <c r="AU45" i="15"/>
  <c r="BB45" i="15"/>
  <c r="BB560" i="15"/>
  <c r="AA456" i="15"/>
  <c r="BT292" i="15"/>
  <c r="AT47" i="15"/>
  <c r="AT97" i="15"/>
  <c r="AY414" i="15"/>
  <c r="AY350" i="15"/>
  <c r="L24" i="15"/>
  <c r="L86" i="15"/>
  <c r="L85" i="15"/>
  <c r="C525" i="15"/>
  <c r="C45" i="15"/>
  <c r="AE400" i="15"/>
  <c r="AE336" i="15"/>
  <c r="AK337" i="15"/>
  <c r="AK401" i="15"/>
  <c r="AO32" i="15"/>
  <c r="AO53" i="15"/>
  <c r="AO54" i="15"/>
  <c r="AN542" i="15"/>
  <c r="AN131" i="15"/>
  <c r="AN53" i="15"/>
  <c r="AN54" i="15"/>
  <c r="BA408" i="15"/>
  <c r="BA344" i="15"/>
  <c r="AG38" i="15"/>
  <c r="AF524" i="15"/>
  <c r="AF95" i="15"/>
  <c r="I286" i="15"/>
  <c r="I265" i="15"/>
  <c r="I465" i="15"/>
  <c r="BA42" i="15"/>
  <c r="AZ120" i="15"/>
  <c r="AZ60" i="15"/>
  <c r="AS501" i="15"/>
  <c r="BK137" i="15"/>
  <c r="AB402" i="15"/>
  <c r="AB207" i="15"/>
  <c r="AB461" i="15"/>
  <c r="Y407" i="15"/>
  <c r="Y343" i="15"/>
  <c r="X80" i="15"/>
  <c r="AW254" i="15"/>
  <c r="AW422" i="15"/>
  <c r="M547" i="15"/>
  <c r="M505" i="15"/>
  <c r="AX85" i="15"/>
  <c r="AX24" i="15"/>
  <c r="AX86" i="15"/>
  <c r="AJ497" i="15"/>
  <c r="AI493" i="15"/>
  <c r="AI325" i="15"/>
  <c r="BO560" i="15"/>
  <c r="BO119" i="15"/>
  <c r="BO121" i="15"/>
  <c r="BO47" i="15"/>
  <c r="AD367" i="15"/>
  <c r="AD435" i="15"/>
  <c r="AD466" i="15"/>
  <c r="AZ238" i="15"/>
  <c r="AZ236" i="15"/>
  <c r="AZ76" i="15"/>
  <c r="BA11" i="15"/>
  <c r="AZ12" i="15"/>
  <c r="AZ55" i="15"/>
  <c r="AS186" i="15"/>
  <c r="AS190" i="15"/>
  <c r="AR190" i="15"/>
  <c r="BW413" i="15"/>
  <c r="AB95" i="15"/>
  <c r="AC38" i="15"/>
  <c r="BK38" i="15"/>
  <c r="AB524" i="15"/>
  <c r="BR388" i="15"/>
  <c r="BS389" i="15"/>
  <c r="AW279" i="15"/>
  <c r="AW283" i="15"/>
  <c r="AW291" i="15"/>
  <c r="AW278" i="15"/>
  <c r="AO262" i="15"/>
  <c r="AO460" i="15"/>
  <c r="BR57" i="15"/>
  <c r="BR59" i="15"/>
  <c r="AN350" i="15"/>
  <c r="AN414" i="15"/>
  <c r="AO149" i="15"/>
  <c r="BB389" i="15"/>
  <c r="BC325" i="15"/>
  <c r="BC493" i="15"/>
  <c r="BN209" i="15"/>
  <c r="BN462" i="15"/>
  <c r="S462" i="15"/>
  <c r="BV86" i="15"/>
  <c r="BV24" i="15"/>
  <c r="BV85" i="15"/>
  <c r="AI411" i="15"/>
  <c r="BR411" i="15"/>
  <c r="AI347" i="15"/>
  <c r="AJ146" i="15"/>
  <c r="AB31" i="15"/>
  <c r="AC29" i="15"/>
  <c r="AB100" i="15"/>
  <c r="AB542" i="15"/>
  <c r="AB99" i="15"/>
  <c r="BK29" i="15"/>
  <c r="AB131" i="15"/>
  <c r="AB53" i="15"/>
  <c r="AB54" i="15"/>
  <c r="AB57" i="15"/>
  <c r="AB59" i="15"/>
  <c r="AB94" i="15"/>
  <c r="AJ522" i="15"/>
  <c r="AK35" i="15"/>
  <c r="S325" i="15"/>
  <c r="S493" i="15"/>
  <c r="AK407" i="15"/>
  <c r="AK343" i="15"/>
  <c r="U161" i="15"/>
  <c r="AB92" i="15"/>
  <c r="AN548" i="15"/>
  <c r="AO33" i="15"/>
  <c r="AN34" i="15"/>
  <c r="AN56" i="15"/>
  <c r="BI83" i="15"/>
  <c r="AA286" i="15"/>
  <c r="AA83" i="15"/>
  <c r="AA465" i="15"/>
  <c r="AA364" i="15"/>
  <c r="AA432" i="15"/>
  <c r="AS236" i="15"/>
  <c r="AN456" i="15"/>
  <c r="AN234" i="15"/>
  <c r="AS42" i="15"/>
  <c r="AS58" i="15"/>
  <c r="AR60" i="15"/>
  <c r="AR120" i="15"/>
  <c r="AR44" i="15"/>
  <c r="BS547" i="15"/>
  <c r="BS550" i="15"/>
  <c r="BS505" i="15"/>
  <c r="BS506" i="15"/>
  <c r="J311" i="15"/>
  <c r="J379" i="15"/>
  <c r="J310" i="15"/>
  <c r="J378" i="15"/>
  <c r="J208" i="15"/>
  <c r="J26" i="15"/>
  <c r="AT547" i="15"/>
  <c r="AT550" i="15"/>
  <c r="AT505" i="15"/>
  <c r="AW92" i="15"/>
  <c r="X405" i="15"/>
  <c r="X341" i="15"/>
  <c r="Y140" i="15"/>
  <c r="AP262" i="15"/>
  <c r="AM520" i="15"/>
  <c r="AM39" i="15"/>
  <c r="K560" i="15"/>
  <c r="K119" i="15"/>
  <c r="K121" i="15"/>
  <c r="K122" i="15"/>
  <c r="K47" i="15"/>
  <c r="AN498" i="15"/>
  <c r="AM504" i="15"/>
  <c r="D151" i="15"/>
  <c r="D156" i="15"/>
  <c r="C22" i="15"/>
  <c r="C202" i="15"/>
  <c r="C81" i="15"/>
  <c r="C103" i="15"/>
  <c r="C105" i="15"/>
  <c r="C559" i="15"/>
  <c r="G336" i="15"/>
  <c r="BI89" i="15"/>
  <c r="BI60" i="15"/>
  <c r="V467" i="15"/>
  <c r="V282" i="15"/>
  <c r="V295" i="15"/>
  <c r="V297" i="15"/>
  <c r="V357" i="15"/>
  <c r="V292" i="15"/>
  <c r="V259" i="15"/>
  <c r="V422" i="15"/>
  <c r="AG148" i="15"/>
  <c r="AF349" i="15"/>
  <c r="AF413" i="15"/>
  <c r="AB291" i="15"/>
  <c r="AB456" i="15"/>
  <c r="AB234" i="15"/>
  <c r="AS147" i="15"/>
  <c r="AR412" i="15"/>
  <c r="AR348" i="15"/>
  <c r="AT85" i="15"/>
  <c r="AT86" i="15"/>
  <c r="AT24" i="15"/>
  <c r="AS282" i="15"/>
  <c r="AS295" i="15"/>
  <c r="AS297" i="15"/>
  <c r="AS285" i="15"/>
  <c r="S404" i="15"/>
  <c r="BN404" i="15"/>
  <c r="S340" i="15"/>
  <c r="T139" i="15"/>
  <c r="X524" i="15"/>
  <c r="Y38" i="15"/>
  <c r="X95" i="15"/>
  <c r="X548" i="15"/>
  <c r="E254" i="15"/>
  <c r="U247" i="15"/>
  <c r="E255" i="15"/>
  <c r="AI88" i="15"/>
  <c r="AJ139" i="15"/>
  <c r="AI404" i="15"/>
  <c r="BR404" i="15"/>
  <c r="AI340" i="15"/>
  <c r="V400" i="15"/>
  <c r="BO400" i="15"/>
  <c r="V336" i="15"/>
  <c r="O39" i="15"/>
  <c r="O519" i="15"/>
  <c r="J1195" i="17"/>
  <c r="C1205" i="17"/>
  <c r="C1228" i="17"/>
  <c r="C1229" i="17"/>
  <c r="AI464" i="15"/>
  <c r="AS337" i="15"/>
  <c r="AS401" i="15"/>
  <c r="AW55" i="15"/>
  <c r="AW236" i="15"/>
  <c r="AW76" i="15"/>
  <c r="AW238" i="15"/>
  <c r="BT550" i="15"/>
  <c r="AB349" i="15"/>
  <c r="AB413" i="15"/>
  <c r="AC148" i="15"/>
  <c r="BK148" i="15"/>
  <c r="AR344" i="15"/>
  <c r="AS143" i="15"/>
  <c r="AR408" i="15"/>
  <c r="AO16" i="15"/>
  <c r="AN79" i="15"/>
  <c r="AN62" i="15"/>
  <c r="AN66" i="15"/>
  <c r="AO136" i="15"/>
  <c r="AN337" i="15"/>
  <c r="AN401" i="15"/>
  <c r="AW519" i="15"/>
  <c r="AU84" i="15"/>
  <c r="AV21" i="15"/>
  <c r="AE554" i="15"/>
  <c r="AE566" i="15"/>
  <c r="AK148" i="15"/>
  <c r="AK349" i="15"/>
  <c r="AZ21" i="15"/>
  <c r="AY84" i="15"/>
  <c r="O402" i="15"/>
  <c r="O404" i="15"/>
  <c r="O401" i="15"/>
  <c r="O410" i="15"/>
  <c r="O412" i="15"/>
  <c r="O408" i="15"/>
  <c r="O405" i="15"/>
  <c r="O407" i="15"/>
  <c r="O388" i="15"/>
  <c r="O389" i="15"/>
  <c r="O406" i="15"/>
  <c r="O413" i="15"/>
  <c r="O391" i="15"/>
  <c r="O400" i="15"/>
  <c r="O425" i="15"/>
  <c r="O427" i="15"/>
  <c r="O411" i="15"/>
  <c r="AE347" i="15"/>
  <c r="AE411" i="15"/>
  <c r="BQ411" i="15"/>
  <c r="AF146" i="15"/>
  <c r="BO103" i="15"/>
  <c r="BO105" i="15"/>
  <c r="AA400" i="15"/>
  <c r="BI135" i="15"/>
  <c r="AA336" i="15"/>
  <c r="AZ30" i="15"/>
  <c r="AZ548" i="15"/>
  <c r="AY548" i="15"/>
  <c r="AK36" i="15"/>
  <c r="AK523" i="15"/>
  <c r="AJ523" i="15"/>
  <c r="AF99" i="15"/>
  <c r="AF131" i="15"/>
  <c r="AG32" i="15"/>
  <c r="AF94" i="15"/>
  <c r="AF93" i="15"/>
  <c r="AF34" i="15"/>
  <c r="AF542" i="15"/>
  <c r="AF53" i="15"/>
  <c r="AF54" i="15" s="1"/>
  <c r="AF100" i="15"/>
  <c r="T388" i="15"/>
  <c r="BV407" i="15"/>
  <c r="V86" i="15"/>
  <c r="V85" i="15"/>
  <c r="V24" i="15"/>
  <c r="V26" i="15"/>
  <c r="BR24" i="15"/>
  <c r="BR86" i="15"/>
  <c r="BU103" i="15"/>
  <c r="BU105" i="15"/>
  <c r="BU559" i="15"/>
  <c r="BU81" i="15"/>
  <c r="BU22" i="15"/>
  <c r="BU202" i="15"/>
  <c r="AQ206" i="15"/>
  <c r="AR206" i="15"/>
  <c r="AO114" i="15"/>
  <c r="AO186" i="15"/>
  <c r="AO190" i="15"/>
  <c r="AN190" i="15"/>
  <c r="AK234" i="15"/>
  <c r="AK456" i="15"/>
  <c r="AS32" i="15"/>
  <c r="AS93" i="15"/>
  <c r="AR34" i="15"/>
  <c r="AR520" i="15"/>
  <c r="AV148" i="15"/>
  <c r="AU413" i="15"/>
  <c r="AU349" i="15"/>
  <c r="AG36" i="15"/>
  <c r="AF548" i="15"/>
  <c r="AF92" i="15"/>
  <c r="AF523" i="15"/>
  <c r="AF56" i="15"/>
  <c r="T44" i="15"/>
  <c r="U41" i="15"/>
  <c r="E566" i="15"/>
  <c r="BQ96" i="15"/>
  <c r="BQ49" i="15"/>
  <c r="BQ97" i="15"/>
  <c r="BO406" i="15"/>
  <c r="S88" i="15"/>
  <c r="AK60" i="15"/>
  <c r="AJ413" i="15"/>
  <c r="AC498" i="15"/>
  <c r="N22" i="15"/>
  <c r="N81" i="15"/>
  <c r="N559" i="15"/>
  <c r="BV202" i="15"/>
  <c r="N103" i="15"/>
  <c r="N105" i="15"/>
  <c r="N202" i="15"/>
  <c r="N520" i="15"/>
  <c r="N39" i="15"/>
  <c r="AX92" i="15"/>
  <c r="AX554" i="15"/>
  <c r="AX566" i="15"/>
  <c r="T21" i="15"/>
  <c r="S84" i="15"/>
  <c r="BN213" i="15"/>
  <c r="BN220" i="15"/>
  <c r="S220" i="15"/>
  <c r="Y56" i="15"/>
  <c r="X519" i="15"/>
  <c r="X39" i="15"/>
  <c r="AT357" i="15"/>
  <c r="AT282" i="15"/>
  <c r="AT295" i="15"/>
  <c r="AT297" i="15"/>
  <c r="AT422" i="15"/>
  <c r="AT292" i="15"/>
  <c r="AT259" i="15"/>
  <c r="AT467" i="15"/>
  <c r="AN82" i="15"/>
  <c r="AO325" i="15"/>
  <c r="AO493" i="15"/>
  <c r="AU206" i="15"/>
  <c r="AW99" i="15"/>
  <c r="AR346" i="15"/>
  <c r="AS145" i="15"/>
  <c r="AR410" i="15"/>
  <c r="X94" i="15"/>
  <c r="X44" i="15"/>
  <c r="Y41" i="15"/>
  <c r="Z318" i="15"/>
  <c r="BC423" i="15"/>
  <c r="BC358" i="15"/>
  <c r="BC260" i="15"/>
  <c r="AG14" i="15"/>
  <c r="AG77" i="15"/>
  <c r="AF58" i="15"/>
  <c r="AF77" i="15"/>
  <c r="AP45" i="15"/>
  <c r="AP525" i="15"/>
  <c r="N400" i="15"/>
  <c r="N336" i="15"/>
  <c r="AW542" i="15"/>
  <c r="AW34" i="15"/>
  <c r="AW520" i="15"/>
  <c r="AW100" i="15"/>
  <c r="AW53" i="15"/>
  <c r="AW131" i="15"/>
  <c r="BV283" i="15"/>
  <c r="BV291" i="15"/>
  <c r="BV286" i="15"/>
  <c r="BB135" i="15"/>
  <c r="AJ499" i="15"/>
  <c r="AI504" i="15"/>
  <c r="X13" i="15"/>
  <c r="X18" i="15"/>
  <c r="AN325" i="15"/>
  <c r="AN493" i="15"/>
  <c r="BJ99" i="15"/>
  <c r="X56" i="15"/>
  <c r="D409" i="15"/>
  <c r="D415" i="15"/>
  <c r="AR100" i="15"/>
  <c r="AS33" i="15"/>
  <c r="AR548" i="15"/>
  <c r="AR92" i="15"/>
  <c r="AR56" i="15"/>
  <c r="AL234" i="15"/>
  <c r="AT206" i="15"/>
  <c r="AV519" i="15"/>
  <c r="AV39" i="15"/>
  <c r="AV525" i="15"/>
  <c r="Z285" i="15"/>
  <c r="AC389" i="15"/>
  <c r="BL61" i="15"/>
  <c r="AY278" i="15"/>
  <c r="AJ521" i="15"/>
  <c r="AJ100" i="15"/>
  <c r="AJ99" i="15"/>
  <c r="AJ94" i="15"/>
  <c r="AJ53" i="15"/>
  <c r="AJ54" i="15"/>
  <c r="AJ57" i="15"/>
  <c r="AJ542" i="15"/>
  <c r="AJ93" i="15"/>
  <c r="AK37" i="15"/>
  <c r="AX39" i="15"/>
  <c r="AX519" i="15"/>
  <c r="S554" i="15"/>
  <c r="S566" i="15"/>
  <c r="AC207" i="15"/>
  <c r="AC461" i="15"/>
  <c r="AC338" i="15"/>
  <c r="AC402" i="15"/>
  <c r="F107" i="15"/>
  <c r="F329" i="15"/>
  <c r="O554" i="15"/>
  <c r="O566" i="15"/>
  <c r="AB83" i="15"/>
  <c r="AB465" i="15"/>
  <c r="AB265" i="15"/>
  <c r="BJ83" i="15"/>
  <c r="AB364" i="15"/>
  <c r="AB432" i="15"/>
  <c r="AB286" i="15"/>
  <c r="V391" i="15"/>
  <c r="V393" i="15"/>
  <c r="AO161" i="15"/>
  <c r="AO100" i="15"/>
  <c r="AN100" i="15"/>
  <c r="AA291" i="15"/>
  <c r="AO19" i="15"/>
  <c r="AQ82" i="15"/>
  <c r="AO17" i="15"/>
  <c r="AO80" i="15"/>
  <c r="AN80" i="15"/>
  <c r="AT571" i="15"/>
  <c r="AT562" i="15"/>
  <c r="AY349" i="15"/>
  <c r="AZ148" i="15"/>
  <c r="AY413" i="15"/>
  <c r="BC405" i="15"/>
  <c r="BC341" i="15"/>
  <c r="R47" i="15"/>
  <c r="R560" i="15"/>
  <c r="R119" i="15"/>
  <c r="R121" i="15"/>
  <c r="AC522" i="15"/>
  <c r="BN45" i="15"/>
  <c r="BN525" i="15"/>
  <c r="N262" i="15"/>
  <c r="N460" i="15"/>
  <c r="Z547" i="15"/>
  <c r="Z505" i="15"/>
  <c r="AD96" i="15"/>
  <c r="AD97" i="15"/>
  <c r="AD49" i="15"/>
  <c r="AX285" i="15"/>
  <c r="AX363" i="15"/>
  <c r="AX431" i="15"/>
  <c r="AX318" i="15"/>
  <c r="AY547" i="15"/>
  <c r="AY550" i="15"/>
  <c r="AB500" i="15"/>
  <c r="AK238" i="15"/>
  <c r="AK236" i="15"/>
  <c r="AK55" i="15"/>
  <c r="AK76" i="15"/>
  <c r="BS283" i="15"/>
  <c r="BS291" i="15"/>
  <c r="BS260" i="15"/>
  <c r="AM255" i="15"/>
  <c r="AD571" i="15"/>
  <c r="AD562" i="15"/>
  <c r="AG12" i="15"/>
  <c r="AG388" i="15"/>
  <c r="AG52" i="15"/>
  <c r="AG237" i="15"/>
  <c r="AG131" i="15"/>
  <c r="AJ201" i="15"/>
  <c r="AG324" i="15"/>
  <c r="AG78" i="15"/>
  <c r="AG9" i="15"/>
  <c r="AK9" i="15"/>
  <c r="AH201" i="15"/>
  <c r="AH456" i="15"/>
  <c r="AG79" i="15"/>
  <c r="BB318" i="15"/>
  <c r="BB363" i="15"/>
  <c r="BB431" i="15"/>
  <c r="BB285" i="15"/>
  <c r="AS519" i="15"/>
  <c r="AC348" i="15"/>
  <c r="AC412" i="15"/>
  <c r="AR325" i="15"/>
  <c r="BY119" i="15"/>
  <c r="BY121" i="15"/>
  <c r="BY560" i="15"/>
  <c r="BQ214" i="15"/>
  <c r="BY47" i="15"/>
  <c r="BP67" i="15"/>
  <c r="BP69" i="15"/>
  <c r="BP71" i="15"/>
  <c r="BA497" i="15"/>
  <c r="H214" i="15"/>
  <c r="H221" i="15"/>
  <c r="H571" i="15"/>
  <c r="AG80" i="15"/>
  <c r="BA43" i="15"/>
  <c r="AZ58" i="15"/>
  <c r="AZ44" i="15"/>
  <c r="BS467" i="15"/>
  <c r="AM254" i="15"/>
  <c r="BS282" i="15"/>
  <c r="BS295" i="15"/>
  <c r="BS297" i="15"/>
  <c r="BS259" i="15"/>
  <c r="BS292" i="15"/>
  <c r="AG201" i="15"/>
  <c r="AG519" i="15"/>
  <c r="C565" i="15"/>
  <c r="C556" i="15"/>
  <c r="C567" i="15"/>
  <c r="U141" i="15"/>
  <c r="T342" i="15"/>
  <c r="T406" i="15"/>
  <c r="Z61" i="15"/>
  <c r="Z67" i="15"/>
  <c r="Z69" i="15"/>
  <c r="Z71" i="15"/>
  <c r="BW554" i="15"/>
  <c r="BW566" i="15"/>
  <c r="BH67" i="15"/>
  <c r="BH69" i="15"/>
  <c r="BH71" i="15"/>
  <c r="AL83" i="15"/>
  <c r="AL286" i="15"/>
  <c r="AL364" i="15"/>
  <c r="AL432" i="15"/>
  <c r="AL465" i="15"/>
  <c r="AY520" i="15"/>
  <c r="AW412" i="15"/>
  <c r="AW348" i="15"/>
  <c r="BA33" i="15"/>
  <c r="AZ34" i="15"/>
  <c r="AZ520" i="15"/>
  <c r="AL363" i="15"/>
  <c r="AL431" i="15"/>
  <c r="AL285" i="15"/>
  <c r="AL318" i="15"/>
  <c r="C295" i="15"/>
  <c r="C297" i="15"/>
  <c r="C315" i="15"/>
  <c r="AF13" i="15"/>
  <c r="AJ559" i="15"/>
  <c r="AJ103" i="15"/>
  <c r="AJ105" i="15"/>
  <c r="AJ22" i="15"/>
  <c r="AJ81" i="15"/>
  <c r="W363" i="15"/>
  <c r="W431" i="15"/>
  <c r="W285" i="15"/>
  <c r="W318" i="15"/>
  <c r="F208" i="15"/>
  <c r="F26" i="15"/>
  <c r="AJ325" i="15"/>
  <c r="AJ493" i="15"/>
  <c r="BC347" i="15"/>
  <c r="BC411" i="15"/>
  <c r="X406" i="15"/>
  <c r="Y141" i="15"/>
  <c r="X342" i="15"/>
  <c r="AW43" i="15"/>
  <c r="AW44" i="15"/>
  <c r="AV58" i="15"/>
  <c r="BN556" i="15"/>
  <c r="BN567" i="15"/>
  <c r="BN565" i="15"/>
  <c r="AG406" i="15"/>
  <c r="AG342" i="15"/>
  <c r="AX286" i="15"/>
  <c r="AX465" i="15"/>
  <c r="AX364" i="15"/>
  <c r="AX432" i="15"/>
  <c r="AU400" i="15"/>
  <c r="AU336" i="15"/>
  <c r="AF498" i="15"/>
  <c r="AF82" i="15"/>
  <c r="AG19" i="15"/>
  <c r="AH82" i="15"/>
  <c r="BV460" i="15"/>
  <c r="BV262" i="15"/>
  <c r="Y21" i="15"/>
  <c r="Y84" i="15"/>
  <c r="X84" i="15"/>
  <c r="AI201" i="15"/>
  <c r="C470" i="15"/>
  <c r="C372" i="15"/>
  <c r="AS234" i="15"/>
  <c r="AS456" i="15"/>
  <c r="BC349" i="15"/>
  <c r="BC413" i="15"/>
  <c r="W340" i="15"/>
  <c r="X139" i="15"/>
  <c r="W88" i="15"/>
  <c r="W404" i="15"/>
  <c r="BO404" i="15"/>
  <c r="AG464" i="15"/>
  <c r="J1301" i="17"/>
  <c r="C1311" i="17"/>
  <c r="C1334" i="17"/>
  <c r="C1335" i="17"/>
  <c r="AG254" i="15"/>
  <c r="AQ519" i="15"/>
  <c r="AQ39" i="15"/>
  <c r="AW262" i="15"/>
  <c r="AW460" i="15"/>
  <c r="T14" i="15"/>
  <c r="BE77" i="15"/>
  <c r="S77" i="15"/>
  <c r="S18" i="15"/>
  <c r="AS83" i="15"/>
  <c r="AS465" i="15"/>
  <c r="AS286" i="15"/>
  <c r="AS364" i="15"/>
  <c r="AS432" i="15"/>
  <c r="BY61" i="15"/>
  <c r="BY67" i="15"/>
  <c r="BY69" i="15"/>
  <c r="BY71" i="15"/>
  <c r="AN236" i="15"/>
  <c r="AN76" i="15"/>
  <c r="AN238" i="15"/>
  <c r="AN55" i="15"/>
  <c r="AI554" i="15"/>
  <c r="BT410" i="15"/>
  <c r="AJ190" i="15"/>
  <c r="G571" i="15"/>
  <c r="G214" i="15"/>
  <c r="G221" i="15"/>
  <c r="S504" i="15"/>
  <c r="T501" i="15"/>
  <c r="T512" i="15" s="1"/>
  <c r="S512" i="15"/>
  <c r="AW93" i="15"/>
  <c r="G562" i="15"/>
  <c r="AI83" i="15"/>
  <c r="AI465" i="15"/>
  <c r="AI286" i="15"/>
  <c r="AI364" i="15"/>
  <c r="AI432" i="15"/>
  <c r="J389" i="15"/>
  <c r="K389" i="15"/>
  <c r="L389" i="15"/>
  <c r="D318" i="15"/>
  <c r="D363" i="15"/>
  <c r="D431" i="15"/>
  <c r="D440" i="15"/>
  <c r="D285" i="15"/>
  <c r="D304" i="15"/>
  <c r="D264" i="15"/>
  <c r="BB57" i="15"/>
  <c r="BB59" i="15"/>
  <c r="BW466" i="15"/>
  <c r="S58" i="15"/>
  <c r="BN59" i="15"/>
  <c r="BB92" i="15"/>
  <c r="BB554" i="15"/>
  <c r="BB566" i="15"/>
  <c r="AI282" i="15"/>
  <c r="AI357" i="15"/>
  <c r="AI292" i="15"/>
  <c r="AI422" i="15"/>
  <c r="AI259" i="15"/>
  <c r="AI467" i="15"/>
  <c r="AD24" i="15"/>
  <c r="AD85" i="15"/>
  <c r="AD86" i="15"/>
  <c r="BL286" i="15"/>
  <c r="BL364" i="15"/>
  <c r="BL432" i="15"/>
  <c r="BL465" i="15"/>
  <c r="AQ554" i="15"/>
  <c r="AQ566" i="15"/>
  <c r="BR285" i="15"/>
  <c r="BR318" i="15"/>
  <c r="BR264" i="15"/>
  <c r="AG346" i="15"/>
  <c r="AG410" i="15"/>
  <c r="AS499" i="15"/>
  <c r="AS504" i="15" s="1"/>
  <c r="AR504" i="15"/>
  <c r="AV325" i="15"/>
  <c r="AV493" i="15"/>
  <c r="AC336" i="15"/>
  <c r="AC400" i="15"/>
  <c r="BC259" i="15"/>
  <c r="BC292" i="15"/>
  <c r="BC282" i="15"/>
  <c r="BC357" i="15"/>
  <c r="BC467" i="15"/>
  <c r="BC422" i="15"/>
  <c r="U23" i="15"/>
  <c r="T68" i="15"/>
  <c r="L311" i="15"/>
  <c r="L379" i="15"/>
  <c r="L310" i="15"/>
  <c r="L378" i="15"/>
  <c r="AZ286" i="15"/>
  <c r="AZ364" i="15"/>
  <c r="AZ432" i="15"/>
  <c r="AZ465" i="15"/>
  <c r="R422" i="15"/>
  <c r="R292" i="15"/>
  <c r="R357" i="15"/>
  <c r="R467" i="15"/>
  <c r="R282" i="15"/>
  <c r="R259" i="15"/>
  <c r="BU47" i="15"/>
  <c r="BU560" i="15"/>
  <c r="BU119" i="15"/>
  <c r="BU121" i="15"/>
  <c r="BU123" i="15"/>
  <c r="BC504" i="15"/>
  <c r="Z460" i="15"/>
  <c r="Z262" i="15"/>
  <c r="BQ61" i="15"/>
  <c r="BO388" i="15"/>
  <c r="BQ388" i="15"/>
  <c r="BL291" i="15"/>
  <c r="AK13" i="15"/>
  <c r="BN150" i="15"/>
  <c r="BN151" i="15"/>
  <c r="S210" i="15"/>
  <c r="G124" i="15"/>
  <c r="G127" i="15"/>
  <c r="G109" i="15"/>
  <c r="G216" i="15"/>
  <c r="BC93" i="15"/>
  <c r="BC542" i="15"/>
  <c r="BC94" i="15"/>
  <c r="BC31" i="15"/>
  <c r="BC131" i="15"/>
  <c r="BC100" i="15"/>
  <c r="BC99" i="15"/>
  <c r="L446" i="15"/>
  <c r="L447" i="15"/>
  <c r="H550" i="15"/>
  <c r="C364" i="15"/>
  <c r="C432" i="15"/>
  <c r="C441" i="15"/>
  <c r="C305" i="15"/>
  <c r="C465" i="15"/>
  <c r="C83" i="15"/>
  <c r="C265" i="15"/>
  <c r="C367" i="15"/>
  <c r="C286" i="15"/>
  <c r="AS291" i="15"/>
  <c r="BR295" i="15"/>
  <c r="BR297" i="15"/>
  <c r="X318" i="15"/>
  <c r="X285" i="15"/>
  <c r="X363" i="15"/>
  <c r="X431" i="15"/>
  <c r="BK80" i="15"/>
  <c r="BK76" i="15"/>
  <c r="BK9" i="15"/>
  <c r="BK12" i="15"/>
  <c r="BK52" i="15"/>
  <c r="BK78" i="15"/>
  <c r="BK79" i="15"/>
  <c r="BK114" i="15"/>
  <c r="K566" i="15"/>
  <c r="BY26" i="15"/>
  <c r="G49" i="15"/>
  <c r="G97" i="15"/>
  <c r="G96" i="15"/>
  <c r="R547" i="15"/>
  <c r="R505" i="15"/>
  <c r="AC234" i="15"/>
  <c r="AD135" i="15"/>
  <c r="AI291" i="15"/>
  <c r="AV501" i="15"/>
  <c r="AH67" i="15"/>
  <c r="AH69" i="15"/>
  <c r="AH71" i="15"/>
  <c r="AD57" i="15"/>
  <c r="AD59" i="15"/>
  <c r="AD67" i="15"/>
  <c r="AD69" i="15"/>
  <c r="AY460" i="15"/>
  <c r="AY262" i="15"/>
  <c r="AY265" i="15"/>
  <c r="F292" i="15"/>
  <c r="F259" i="15"/>
  <c r="F357" i="15"/>
  <c r="F467" i="15"/>
  <c r="F422" i="15"/>
  <c r="F282" i="15"/>
  <c r="AI119" i="15"/>
  <c r="AI121" i="15"/>
  <c r="AI560" i="15"/>
  <c r="AI47" i="15"/>
  <c r="S457" i="15"/>
  <c r="S459" i="15"/>
  <c r="BN204" i="15"/>
  <c r="S360" i="15"/>
  <c r="S223" i="15"/>
  <c r="AV201" i="15"/>
  <c r="AV456" i="15"/>
  <c r="AS84" i="15"/>
  <c r="AS52" i="15"/>
  <c r="AS78" i="15"/>
  <c r="AS324" i="15"/>
  <c r="AT201" i="15"/>
  <c r="AS77" i="15"/>
  <c r="AS388" i="15"/>
  <c r="AS12" i="15"/>
  <c r="AS79" i="15"/>
  <c r="AS76" i="15"/>
  <c r="AS80" i="15"/>
  <c r="AW9" i="15"/>
  <c r="AS114" i="15"/>
  <c r="AS237" i="15"/>
  <c r="AS9" i="15"/>
  <c r="AU201" i="15"/>
  <c r="AU456" i="15"/>
  <c r="AW465" i="15"/>
  <c r="AW364" i="15"/>
  <c r="AW432" i="15"/>
  <c r="AG497" i="15"/>
  <c r="AR349" i="15"/>
  <c r="AR413" i="15"/>
  <c r="AS148" i="15"/>
  <c r="AR13" i="15"/>
  <c r="AR18" i="15"/>
  <c r="BB550" i="15"/>
  <c r="AV389" i="15"/>
  <c r="AR389" i="15"/>
  <c r="J123" i="15"/>
  <c r="J125" i="15"/>
  <c r="J109" i="15"/>
  <c r="J215" i="15"/>
  <c r="J222" i="15"/>
  <c r="C210" i="15"/>
  <c r="C463" i="15"/>
  <c r="C150" i="15"/>
  <c r="C345" i="15"/>
  <c r="AQ493" i="15"/>
  <c r="AZ291" i="15"/>
  <c r="G547" i="15"/>
  <c r="G505" i="15"/>
  <c r="J562" i="15"/>
  <c r="J571" i="15"/>
  <c r="J214" i="15"/>
  <c r="J221" i="15"/>
  <c r="BN81" i="15"/>
  <c r="BN103" i="15"/>
  <c r="BN105" i="15"/>
  <c r="BN22" i="15"/>
  <c r="BN559" i="15"/>
  <c r="S202" i="15"/>
  <c r="AO346" i="15"/>
  <c r="AO410" i="15"/>
  <c r="BV410" i="15"/>
  <c r="BU67" i="15"/>
  <c r="BU69" i="15"/>
  <c r="BU71" i="15"/>
  <c r="BU61" i="15"/>
  <c r="G67" i="15"/>
  <c r="G69" i="15"/>
  <c r="G71" i="15"/>
  <c r="G61" i="15"/>
  <c r="BL327" i="15"/>
  <c r="BL107" i="15"/>
  <c r="BL329" i="15"/>
  <c r="L45" i="15"/>
  <c r="L525" i="15"/>
  <c r="AE57" i="15"/>
  <c r="AE59" i="15"/>
  <c r="L393" i="15"/>
  <c r="AZ460" i="15"/>
  <c r="AZ262" i="15"/>
  <c r="Y254" i="15"/>
  <c r="Y255" i="15"/>
  <c r="Y358" i="15"/>
  <c r="BV413" i="15"/>
  <c r="BU413" i="15"/>
  <c r="BR47" i="15"/>
  <c r="BR560" i="15"/>
  <c r="BR119" i="15"/>
  <c r="BR121" i="15"/>
  <c r="BO67" i="15"/>
  <c r="BO69" i="15"/>
  <c r="BO71" i="15"/>
  <c r="BC18" i="15"/>
  <c r="BC13" i="15"/>
  <c r="AO41" i="15"/>
  <c r="AN44" i="15"/>
  <c r="AN94" i="15"/>
  <c r="AN58" i="15"/>
  <c r="BL24" i="15"/>
  <c r="BL85" i="15"/>
  <c r="BL86" i="15"/>
  <c r="AB389" i="15"/>
  <c r="BH86" i="15"/>
  <c r="BH85" i="15"/>
  <c r="BH24" i="15"/>
  <c r="AX262" i="15"/>
  <c r="AX460" i="15"/>
  <c r="F283" i="15"/>
  <c r="F291" i="15"/>
  <c r="F358" i="15"/>
  <c r="F260" i="15"/>
  <c r="F423" i="15"/>
  <c r="AM456" i="15"/>
  <c r="AM234" i="15"/>
  <c r="AO344" i="15"/>
  <c r="AO408" i="15"/>
  <c r="AK408" i="15"/>
  <c r="AK344" i="15"/>
  <c r="AJ92" i="15"/>
  <c r="AM24" i="15"/>
  <c r="AM85" i="15"/>
  <c r="AM86" i="15"/>
  <c r="AR456" i="15"/>
  <c r="AR234" i="15"/>
  <c r="AD468" i="15"/>
  <c r="AD366" i="15"/>
  <c r="AD434" i="15"/>
  <c r="D295" i="15"/>
  <c r="D297" i="15"/>
  <c r="D315" i="15"/>
  <c r="J96" i="15"/>
  <c r="J49" i="15"/>
  <c r="J97" i="15"/>
  <c r="BI96" i="15"/>
  <c r="BI49" i="15"/>
  <c r="AF21" i="15"/>
  <c r="AE84" i="15"/>
  <c r="AE22" i="15"/>
  <c r="X295" i="15"/>
  <c r="X297" i="15"/>
  <c r="AA85" i="15"/>
  <c r="AA24" i="15"/>
  <c r="AA86" i="15"/>
  <c r="AL265" i="15"/>
  <c r="AL264" i="15"/>
  <c r="AL366" i="15"/>
  <c r="AL434" i="15"/>
  <c r="AP107" i="15"/>
  <c r="AP329" i="15"/>
  <c r="AT106" i="15"/>
  <c r="AT328" i="15"/>
  <c r="AP106" i="15"/>
  <c r="AP328" i="15"/>
  <c r="AP391" i="15"/>
  <c r="AT392" i="15"/>
  <c r="AP425" i="15"/>
  <c r="AP327" i="15"/>
  <c r="AG344" i="15"/>
  <c r="AG408" i="15"/>
  <c r="BT45" i="15"/>
  <c r="BT525" i="15"/>
  <c r="AQ456" i="15"/>
  <c r="AQ234" i="15"/>
  <c r="U56" i="15"/>
  <c r="U548" i="15"/>
  <c r="U34" i="15"/>
  <c r="AF400" i="15"/>
  <c r="AF336" i="15"/>
  <c r="AW407" i="15"/>
  <c r="AW343" i="15"/>
  <c r="AK413" i="15"/>
  <c r="AG286" i="15"/>
  <c r="I318" i="15"/>
  <c r="I363" i="15"/>
  <c r="I431" i="15"/>
  <c r="I285" i="15"/>
  <c r="I264" i="15"/>
  <c r="AA259" i="15"/>
  <c r="AA292" i="15"/>
  <c r="AA467" i="15"/>
  <c r="AA282" i="15"/>
  <c r="AA295" i="15"/>
  <c r="AA297" i="15"/>
  <c r="AA422" i="15"/>
  <c r="BP422" i="15"/>
  <c r="AA357" i="15"/>
  <c r="AO234" i="15"/>
  <c r="AO456" i="15"/>
  <c r="AO357" i="15"/>
  <c r="AO422" i="15"/>
  <c r="BU422" i="15"/>
  <c r="AO259" i="15"/>
  <c r="AO467" i="15"/>
  <c r="AO282" i="15"/>
  <c r="AO295" i="15"/>
  <c r="AO297" i="15"/>
  <c r="AO292" i="15"/>
  <c r="AG364" i="15"/>
  <c r="AG432" i="15"/>
  <c r="U407" i="15"/>
  <c r="AL460" i="15"/>
  <c r="AK262" i="15"/>
  <c r="BD94" i="15"/>
  <c r="AF234" i="15"/>
  <c r="AF456" i="15"/>
  <c r="F119" i="15"/>
  <c r="F121" i="15"/>
  <c r="F47" i="15"/>
  <c r="F560" i="15"/>
  <c r="Z49" i="15"/>
  <c r="Z97" i="15"/>
  <c r="Z96" i="15"/>
  <c r="AO358" i="15"/>
  <c r="AO423" i="15"/>
  <c r="BU423" i="15"/>
  <c r="AO260" i="15"/>
  <c r="AO265" i="15"/>
  <c r="AO367" i="15"/>
  <c r="AO435" i="15"/>
  <c r="BU435" i="15"/>
  <c r="BQ123" i="15"/>
  <c r="BP318" i="15"/>
  <c r="BP285" i="15"/>
  <c r="BH49" i="15"/>
  <c r="BH159" i="15"/>
  <c r="BH177" i="15"/>
  <c r="BH192" i="15"/>
  <c r="BH96" i="15"/>
  <c r="BH97" i="15"/>
  <c r="AQ292" i="15"/>
  <c r="Y337" i="15"/>
  <c r="Y401" i="15"/>
  <c r="Z123" i="15"/>
  <c r="AX327" i="15"/>
  <c r="AX391" i="15"/>
  <c r="AX425" i="15"/>
  <c r="BB106" i="15"/>
  <c r="BB328" i="15"/>
  <c r="AX106" i="15"/>
  <c r="AX328" i="15"/>
  <c r="AX107" i="15"/>
  <c r="AX329" i="15"/>
  <c r="AQ336" i="15"/>
  <c r="AQ400" i="15"/>
  <c r="AG83" i="15"/>
  <c r="BL391" i="15"/>
  <c r="AG465" i="15"/>
  <c r="BL106" i="15"/>
  <c r="BL328" i="15"/>
  <c r="AS131" i="15"/>
  <c r="AG407" i="15"/>
  <c r="BI125" i="15"/>
  <c r="AZ56" i="15"/>
  <c r="AE107" i="15"/>
  <c r="AE329" i="15"/>
  <c r="AQ505" i="15"/>
  <c r="BS86" i="15"/>
  <c r="BS85" i="15"/>
  <c r="BS24" i="15"/>
  <c r="BS26" i="15"/>
  <c r="Z562" i="15"/>
  <c r="Z571" i="15"/>
  <c r="AO283" i="15"/>
  <c r="C894" i="17"/>
  <c r="AR336" i="15"/>
  <c r="AR400" i="15"/>
  <c r="AS135" i="15"/>
  <c r="AS400" i="15"/>
  <c r="AP456" i="15"/>
  <c r="AP234" i="15"/>
  <c r="AE560" i="15"/>
  <c r="AE119" i="15"/>
  <c r="AE121" i="15"/>
  <c r="AE47" i="15"/>
  <c r="AD393" i="15"/>
  <c r="BB119" i="15"/>
  <c r="BB121" i="15"/>
  <c r="E47" i="15"/>
  <c r="E97" i="15"/>
  <c r="E560" i="15"/>
  <c r="E571" i="15"/>
  <c r="E119" i="15"/>
  <c r="E121" i="15"/>
  <c r="AG55" i="15"/>
  <c r="AG236" i="15"/>
  <c r="AG238" i="15"/>
  <c r="AB363" i="15"/>
  <c r="AB431" i="15"/>
  <c r="AB318" i="15"/>
  <c r="AB285" i="15"/>
  <c r="BU388" i="15"/>
  <c r="BV388" i="15"/>
  <c r="AP85" i="15"/>
  <c r="AP86" i="15"/>
  <c r="AP24" i="15"/>
  <c r="AL367" i="15"/>
  <c r="AL435" i="15"/>
  <c r="AL466" i="15"/>
  <c r="AV13" i="15"/>
  <c r="AV18" i="15"/>
  <c r="AA207" i="15"/>
  <c r="AA461" i="15"/>
  <c r="BD56" i="15"/>
  <c r="BD548" i="15"/>
  <c r="BD92" i="15"/>
  <c r="AV411" i="15"/>
  <c r="AV347" i="15"/>
  <c r="AW146" i="15"/>
  <c r="AW411" i="15"/>
  <c r="G208" i="15"/>
  <c r="G26" i="15"/>
  <c r="AU103" i="15"/>
  <c r="AU105" i="15"/>
  <c r="AR318" i="15"/>
  <c r="AR285" i="15"/>
  <c r="AZ341" i="15"/>
  <c r="AZ405" i="15"/>
  <c r="BA140" i="15"/>
  <c r="AC21" i="15"/>
  <c r="AC84" i="15"/>
  <c r="BK21" i="15"/>
  <c r="BK84" i="15"/>
  <c r="AB84" i="15"/>
  <c r="Y207" i="15"/>
  <c r="Y461" i="15"/>
  <c r="Y338" i="15"/>
  <c r="Y402" i="15"/>
  <c r="AW80" i="15"/>
  <c r="AW52" i="15"/>
  <c r="AW54" i="15"/>
  <c r="AW79" i="15"/>
  <c r="AZ201" i="15"/>
  <c r="AW388" i="15"/>
  <c r="BA9" i="15"/>
  <c r="AW324" i="15"/>
  <c r="AW237" i="15"/>
  <c r="AW201" i="15"/>
  <c r="AX201" i="15"/>
  <c r="AY201" i="15"/>
  <c r="AW77" i="15"/>
  <c r="AW78" i="15"/>
  <c r="AC407" i="15"/>
  <c r="AC343" i="15"/>
  <c r="AU22" i="15"/>
  <c r="AH49" i="15"/>
  <c r="AH159" i="15"/>
  <c r="AH177" i="15"/>
  <c r="AH192" i="15"/>
  <c r="AH97" i="15"/>
  <c r="AH96" i="15"/>
  <c r="AW12" i="15"/>
  <c r="U236" i="15"/>
  <c r="U55" i="15"/>
  <c r="U238" i="15"/>
  <c r="AI400" i="15"/>
  <c r="AI336" i="15"/>
  <c r="T366" i="15"/>
  <c r="T434" i="15"/>
  <c r="T468" i="15"/>
  <c r="AH363" i="15"/>
  <c r="AH431" i="15"/>
  <c r="AH318" i="15"/>
  <c r="AH285" i="15"/>
  <c r="AW114" i="15"/>
  <c r="AH571" i="15"/>
  <c r="AK423" i="15"/>
  <c r="AK358" i="15"/>
  <c r="AK283" i="15"/>
  <c r="C1115" i="17"/>
  <c r="AK260" i="15"/>
  <c r="AK265" i="15"/>
  <c r="BL363" i="15"/>
  <c r="BL431" i="15"/>
  <c r="BL285" i="15"/>
  <c r="BS411" i="15"/>
  <c r="AJ336" i="15"/>
  <c r="AJ400" i="15"/>
  <c r="AV59" i="15"/>
  <c r="AV61" i="15"/>
  <c r="AO542" i="15"/>
  <c r="AR213" i="15"/>
  <c r="AR220" i="15"/>
  <c r="AK282" i="15"/>
  <c r="AK295" i="15"/>
  <c r="AK297" i="15"/>
  <c r="AK467" i="15"/>
  <c r="AK357" i="15"/>
  <c r="AK259" i="15"/>
  <c r="Y347" i="15"/>
  <c r="Y411" i="15"/>
  <c r="T363" i="15"/>
  <c r="T431" i="15"/>
  <c r="T285" i="15"/>
  <c r="T318" i="15"/>
  <c r="N318" i="15"/>
  <c r="N363" i="15"/>
  <c r="N431" i="15"/>
  <c r="AR414" i="15"/>
  <c r="AR350" i="15"/>
  <c r="AS149" i="15"/>
  <c r="AZ493" i="15"/>
  <c r="AZ325" i="15"/>
  <c r="AW60" i="15"/>
  <c r="AW89" i="15"/>
  <c r="AD25" i="15"/>
  <c r="AD26" i="15"/>
  <c r="AD73" i="15"/>
  <c r="BA120" i="15"/>
  <c r="BA60" i="15"/>
  <c r="Y348" i="15"/>
  <c r="BS404" i="15"/>
  <c r="BB47" i="15"/>
  <c r="BB49" i="15"/>
  <c r="AW357" i="15"/>
  <c r="AC95" i="15"/>
  <c r="AC524" i="15"/>
  <c r="BO49" i="15"/>
  <c r="BO97" i="15"/>
  <c r="BO96" i="15"/>
  <c r="J286" i="15"/>
  <c r="J265" i="15"/>
  <c r="J83" i="15"/>
  <c r="AQ291" i="15"/>
  <c r="AX291" i="15"/>
  <c r="AC337" i="15"/>
  <c r="AC401" i="15"/>
  <c r="AV554" i="15"/>
  <c r="AV566" i="15"/>
  <c r="D352" i="15"/>
  <c r="AW259" i="15"/>
  <c r="D152" i="15"/>
  <c r="AG58" i="15"/>
  <c r="AN340" i="15"/>
  <c r="AN404" i="15"/>
  <c r="BT404" i="15"/>
  <c r="AO139" i="15"/>
  <c r="AO209" i="15"/>
  <c r="AO462" i="15"/>
  <c r="AN88" i="15"/>
  <c r="L106" i="15"/>
  <c r="L328" i="15"/>
  <c r="K425" i="15"/>
  <c r="K203" i="15"/>
  <c r="K106" i="15"/>
  <c r="K328" i="15"/>
  <c r="K427" i="15"/>
  <c r="K447" i="15"/>
  <c r="K327" i="15"/>
  <c r="K391" i="15"/>
  <c r="K107" i="15"/>
  <c r="K329" i="15"/>
  <c r="AQ423" i="15"/>
  <c r="BW423" i="15"/>
  <c r="AQ358" i="15"/>
  <c r="AQ260" i="15"/>
  <c r="AQ83" i="15"/>
  <c r="C47" i="15"/>
  <c r="C96" i="15"/>
  <c r="C560" i="15"/>
  <c r="C119" i="15"/>
  <c r="C121" i="15"/>
  <c r="AW264" i="15"/>
  <c r="AW366" i="15"/>
  <c r="AW434" i="15"/>
  <c r="D417" i="15"/>
  <c r="AW467" i="15"/>
  <c r="BT264" i="15"/>
  <c r="BT468" i="15"/>
  <c r="AG524" i="15"/>
  <c r="AG95" i="15"/>
  <c r="L208" i="15"/>
  <c r="L26" i="15"/>
  <c r="AO93" i="15"/>
  <c r="Y14" i="15"/>
  <c r="X77" i="15"/>
  <c r="BI22" i="15"/>
  <c r="BI81" i="15"/>
  <c r="BI103" i="15"/>
  <c r="BI105" i="15"/>
  <c r="AK80" i="15"/>
  <c r="BV405" i="15"/>
  <c r="BU405" i="15"/>
  <c r="W525" i="15"/>
  <c r="W45" i="15"/>
  <c r="H357" i="15"/>
  <c r="H467" i="15"/>
  <c r="H259" i="15"/>
  <c r="H282" i="15"/>
  <c r="H295" i="15"/>
  <c r="H297" i="15"/>
  <c r="H422" i="15"/>
  <c r="H292" i="15"/>
  <c r="AK497" i="15"/>
  <c r="BK145" i="15"/>
  <c r="AC145" i="15"/>
  <c r="AW292" i="15"/>
  <c r="BT285" i="15"/>
  <c r="M550" i="15"/>
  <c r="M553" i="15"/>
  <c r="BA149" i="15"/>
  <c r="AZ350" i="15"/>
  <c r="AZ414" i="15"/>
  <c r="AO412" i="15"/>
  <c r="AO348" i="15"/>
  <c r="AQ422" i="15"/>
  <c r="BW422" i="15"/>
  <c r="AQ467" i="15"/>
  <c r="AQ282" i="15"/>
  <c r="AQ295" i="15"/>
  <c r="AQ297" i="15"/>
  <c r="AQ259" i="15"/>
  <c r="AQ318" i="15"/>
  <c r="AG405" i="15"/>
  <c r="AG341" i="15"/>
  <c r="AO131" i="15"/>
  <c r="S400" i="15"/>
  <c r="S336" i="15"/>
  <c r="K24" i="15"/>
  <c r="K86" i="15"/>
  <c r="K85" i="15"/>
  <c r="H423" i="15"/>
  <c r="H283" i="15"/>
  <c r="H291" i="15"/>
  <c r="H358" i="15"/>
  <c r="H260" i="15"/>
  <c r="K264" i="15"/>
  <c r="K285" i="15"/>
  <c r="K363" i="15"/>
  <c r="K431" i="15"/>
  <c r="K318" i="15"/>
  <c r="AU260" i="15"/>
  <c r="AU423" i="15"/>
  <c r="AU283" i="15"/>
  <c r="C568" i="17"/>
  <c r="AU358" i="15"/>
  <c r="AJ285" i="15"/>
  <c r="AJ363" i="15"/>
  <c r="AJ431" i="15"/>
  <c r="AJ318" i="15"/>
  <c r="AR554" i="15"/>
  <c r="AR566" i="15"/>
  <c r="AT96" i="15"/>
  <c r="AP550" i="15"/>
  <c r="W103" i="15"/>
  <c r="W105" i="15"/>
  <c r="W327" i="15"/>
  <c r="W559" i="15"/>
  <c r="W81" i="15"/>
  <c r="W22" i="15"/>
  <c r="AW406" i="15"/>
  <c r="AW342" i="15"/>
  <c r="AC255" i="15"/>
  <c r="AC254" i="15"/>
  <c r="I208" i="15"/>
  <c r="I26" i="15"/>
  <c r="BA76" i="15"/>
  <c r="BA236" i="15"/>
  <c r="BA12" i="15"/>
  <c r="BA55" i="15"/>
  <c r="BA238" i="15"/>
  <c r="I367" i="15"/>
  <c r="I435" i="15"/>
  <c r="I466" i="15"/>
  <c r="BO571" i="15"/>
  <c r="T336" i="15"/>
  <c r="T400" i="15"/>
  <c r="L285" i="15"/>
  <c r="L318" i="15"/>
  <c r="L363" i="15"/>
  <c r="L431" i="15"/>
  <c r="BT465" i="15"/>
  <c r="BT286" i="15"/>
  <c r="BT83" i="15"/>
  <c r="BT265" i="15"/>
  <c r="BT466" i="15"/>
  <c r="AN57" i="15"/>
  <c r="AN59" i="15"/>
  <c r="AN67" i="15"/>
  <c r="AT49" i="15"/>
  <c r="AT159" i="15"/>
  <c r="AT177" i="15"/>
  <c r="AT192" i="15"/>
  <c r="AZ13" i="15"/>
  <c r="AZ18" i="15"/>
  <c r="AY81" i="15"/>
  <c r="AY103" i="15"/>
  <c r="AY105" i="15"/>
  <c r="AY559" i="15"/>
  <c r="J363" i="15"/>
  <c r="J431" i="15"/>
  <c r="J285" i="15"/>
  <c r="J318" i="15"/>
  <c r="J264" i="15"/>
  <c r="AU282" i="15"/>
  <c r="AU295" i="15"/>
  <c r="AU297" i="15"/>
  <c r="AU357" i="15"/>
  <c r="AU422" i="15"/>
  <c r="AU292" i="15"/>
  <c r="AU259" i="15"/>
  <c r="AU467" i="15"/>
  <c r="AO99" i="15"/>
  <c r="AX45" i="15"/>
  <c r="AX47" i="15"/>
  <c r="AX96" i="15"/>
  <c r="AX525" i="15"/>
  <c r="AW213" i="15"/>
  <c r="AW220" i="15"/>
  <c r="AX213" i="15"/>
  <c r="AW554" i="15"/>
  <c r="AW566" i="15"/>
  <c r="AO337" i="15"/>
  <c r="AO401" i="15"/>
  <c r="BV401" i="15"/>
  <c r="AC349" i="15"/>
  <c r="AC413" i="15"/>
  <c r="O525" i="15"/>
  <c r="O45" i="15"/>
  <c r="O560" i="15"/>
  <c r="AJ340" i="15"/>
  <c r="AJ404" i="15"/>
  <c r="AK139" i="15"/>
  <c r="AK209" i="15"/>
  <c r="AK462" i="15"/>
  <c r="AJ88" i="15"/>
  <c r="Y524" i="15"/>
  <c r="Y95" i="15"/>
  <c r="Y341" i="15"/>
  <c r="Y405" i="15"/>
  <c r="AJ347" i="15"/>
  <c r="AK146" i="15"/>
  <c r="AK347" i="15"/>
  <c r="AJ411" i="15"/>
  <c r="AO350" i="15"/>
  <c r="AO414" i="15"/>
  <c r="AW285" i="15"/>
  <c r="AW282" i="15"/>
  <c r="AW295" i="15"/>
  <c r="AW297" i="15"/>
  <c r="AY283" i="15"/>
  <c r="AY291" i="15"/>
  <c r="AY286" i="15"/>
  <c r="AI505" i="15"/>
  <c r="AI547" i="15"/>
  <c r="AI550" i="15"/>
  <c r="U21" i="15"/>
  <c r="T84" i="15"/>
  <c r="BU107" i="15"/>
  <c r="BV106" i="15"/>
  <c r="BV392" i="15"/>
  <c r="AV22" i="15"/>
  <c r="AV84" i="15"/>
  <c r="AW21" i="15"/>
  <c r="V363" i="15"/>
  <c r="V431" i="15"/>
  <c r="V285" i="15"/>
  <c r="V318" i="15"/>
  <c r="K97" i="15"/>
  <c r="K49" i="15"/>
  <c r="K96" i="15"/>
  <c r="AK499" i="15"/>
  <c r="BC465" i="15"/>
  <c r="BC364" i="15"/>
  <c r="BC432" i="15"/>
  <c r="BC83" i="15"/>
  <c r="BC286" i="15"/>
  <c r="AS346" i="15"/>
  <c r="AS410" i="15"/>
  <c r="AV45" i="15"/>
  <c r="AG523" i="15"/>
  <c r="O447" i="15"/>
  <c r="O446" i="15"/>
  <c r="BA21" i="15"/>
  <c r="BA84" i="15"/>
  <c r="AZ84" i="15"/>
  <c r="C570" i="15"/>
  <c r="K125" i="15"/>
  <c r="K126" i="15"/>
  <c r="K215" i="15"/>
  <c r="K123" i="15"/>
  <c r="K530" i="15"/>
  <c r="K536" i="15"/>
  <c r="N86" i="15"/>
  <c r="N85" i="15"/>
  <c r="N24" i="15"/>
  <c r="AR460" i="15"/>
  <c r="AR262" i="15"/>
  <c r="AF213" i="15"/>
  <c r="AF220" i="15"/>
  <c r="AF554" i="15"/>
  <c r="AF566" i="15"/>
  <c r="AO62" i="15"/>
  <c r="AO66" i="15"/>
  <c r="AO79" i="15"/>
  <c r="E302" i="15"/>
  <c r="E370" i="15"/>
  <c r="E260" i="15"/>
  <c r="E305" i="15"/>
  <c r="E423" i="15"/>
  <c r="E438" i="15"/>
  <c r="E283" i="15"/>
  <c r="E358" i="15"/>
  <c r="C106" i="15"/>
  <c r="C425" i="15"/>
  <c r="C203" i="15"/>
  <c r="C391" i="15"/>
  <c r="C393" i="15"/>
  <c r="C427" i="15"/>
  <c r="C107" i="15"/>
  <c r="C329" i="15"/>
  <c r="C108" i="15"/>
  <c r="C327" i="15"/>
  <c r="K571" i="15"/>
  <c r="K214" i="15"/>
  <c r="K221" i="15"/>
  <c r="K562" i="15"/>
  <c r="AW286" i="15"/>
  <c r="V392" i="15"/>
  <c r="AT460" i="15"/>
  <c r="AT262" i="15"/>
  <c r="BB400" i="15"/>
  <c r="BB336" i="15"/>
  <c r="BC135" i="15"/>
  <c r="BC336" i="15"/>
  <c r="AP560" i="15"/>
  <c r="AP119" i="15"/>
  <c r="AP121" i="15"/>
  <c r="AT122" i="15"/>
  <c r="AP47" i="15"/>
  <c r="X45" i="15"/>
  <c r="X525" i="15"/>
  <c r="N45" i="15"/>
  <c r="N560" i="15"/>
  <c r="N525" i="15"/>
  <c r="AQ460" i="15"/>
  <c r="AQ262" i="15"/>
  <c r="AR39" i="15"/>
  <c r="AF39" i="15"/>
  <c r="AF520" i="15"/>
  <c r="AW39" i="15"/>
  <c r="AW45" i="15" s="1"/>
  <c r="AW119" i="15" s="1"/>
  <c r="AW121" i="15" s="1"/>
  <c r="U255" i="15"/>
  <c r="U254" i="15"/>
  <c r="U282" i="15"/>
  <c r="U295" i="15"/>
  <c r="U297" i="15"/>
  <c r="AS412" i="15"/>
  <c r="AS348" i="15"/>
  <c r="AM45" i="15"/>
  <c r="AM525" i="15"/>
  <c r="AN520" i="15"/>
  <c r="AN39" i="15"/>
  <c r="AN525" i="15"/>
  <c r="AB554" i="15"/>
  <c r="AB566" i="15"/>
  <c r="BR61" i="15"/>
  <c r="BR67" i="15"/>
  <c r="BR69" i="15"/>
  <c r="BR71" i="15"/>
  <c r="AO82" i="15"/>
  <c r="AR82" i="15"/>
  <c r="Y44" i="15"/>
  <c r="BQ159" i="15"/>
  <c r="BQ177" i="15"/>
  <c r="BQ192" i="15"/>
  <c r="AV349" i="15"/>
  <c r="AV413" i="15"/>
  <c r="AW148" i="15"/>
  <c r="AS34" i="15"/>
  <c r="AS39" i="15"/>
  <c r="AS100" i="15"/>
  <c r="AS53" i="15"/>
  <c r="AS54" i="15"/>
  <c r="AS94" i="15"/>
  <c r="AS542" i="15"/>
  <c r="BO107" i="15"/>
  <c r="BY106" i="15"/>
  <c r="BP106" i="15"/>
  <c r="BP392" i="15"/>
  <c r="BO108" i="15"/>
  <c r="O393" i="15"/>
  <c r="AS344" i="15"/>
  <c r="AS408" i="15"/>
  <c r="E467" i="15"/>
  <c r="E259" i="15"/>
  <c r="E304" i="15"/>
  <c r="E292" i="15"/>
  <c r="E301" i="15"/>
  <c r="E369" i="15"/>
  <c r="E422" i="15"/>
  <c r="E437" i="15"/>
  <c r="E357" i="15"/>
  <c r="E282" i="15"/>
  <c r="AG413" i="15"/>
  <c r="AG349" i="15"/>
  <c r="AM505" i="15"/>
  <c r="AM547" i="15"/>
  <c r="AM550" i="15"/>
  <c r="AO548" i="15"/>
  <c r="AO56" i="15"/>
  <c r="AO34" i="15"/>
  <c r="AK522" i="15"/>
  <c r="AK56" i="15"/>
  <c r="AK548" i="15"/>
  <c r="AB466" i="15"/>
  <c r="AB367" i="15"/>
  <c r="AB435" i="15"/>
  <c r="AS548" i="15"/>
  <c r="AS92" i="15"/>
  <c r="AS56" i="15"/>
  <c r="AU262" i="15"/>
  <c r="AU460" i="15"/>
  <c r="BU85" i="15"/>
  <c r="BU86" i="15"/>
  <c r="BU24" i="15"/>
  <c r="BA30" i="15"/>
  <c r="AF347" i="15"/>
  <c r="AF411" i="15"/>
  <c r="AG146" i="15"/>
  <c r="BT401" i="15"/>
  <c r="X92" i="15"/>
  <c r="T88" i="15"/>
  <c r="U139" i="15"/>
  <c r="W209" i="15"/>
  <c r="T340" i="15"/>
  <c r="T404" i="15"/>
  <c r="AO498" i="15"/>
  <c r="AN504" i="15"/>
  <c r="AN547" i="15"/>
  <c r="AN550" i="15"/>
  <c r="AS44" i="15"/>
  <c r="AS45" i="15" s="1"/>
  <c r="AS560" i="15" s="1"/>
  <c r="AS120" i="15"/>
  <c r="AN92" i="15"/>
  <c r="AN554" i="15"/>
  <c r="AN566" i="15"/>
  <c r="BV26" i="15"/>
  <c r="AK521" i="15"/>
  <c r="AO466" i="15"/>
  <c r="X103" i="15"/>
  <c r="X105" i="15"/>
  <c r="X327" i="15"/>
  <c r="X81" i="15"/>
  <c r="X559" i="15"/>
  <c r="X22" i="15"/>
  <c r="X24" i="15"/>
  <c r="X26" i="15"/>
  <c r="AT318" i="15"/>
  <c r="AT363" i="15"/>
  <c r="AT431" i="15"/>
  <c r="AT285" i="15"/>
  <c r="N391" i="15"/>
  <c r="N393" i="15"/>
  <c r="O106" i="15"/>
  <c r="O328" i="15"/>
  <c r="N425" i="15"/>
  <c r="N427" i="15"/>
  <c r="BV203" i="15"/>
  <c r="N106" i="15"/>
  <c r="N328" i="15"/>
  <c r="N203" i="15"/>
  <c r="N107" i="15"/>
  <c r="N329" i="15"/>
  <c r="N327" i="15"/>
  <c r="AJ554" i="15"/>
  <c r="AJ566" i="15"/>
  <c r="AG53" i="15"/>
  <c r="AG54" i="15" s="1"/>
  <c r="AG100" i="15"/>
  <c r="AG93" i="15"/>
  <c r="AG542" i="15"/>
  <c r="AG213" i="15"/>
  <c r="AG220" i="15"/>
  <c r="AG94" i="15"/>
  <c r="AG34" i="15"/>
  <c r="AG99" i="15"/>
  <c r="AB519" i="15"/>
  <c r="AB39" i="15"/>
  <c r="AP82" i="15"/>
  <c r="AI82" i="15"/>
  <c r="AL468" i="15"/>
  <c r="AJ456" i="15"/>
  <c r="AJ234" i="15"/>
  <c r="AM358" i="15"/>
  <c r="AM283" i="15"/>
  <c r="AM423" i="15"/>
  <c r="BS423" i="15"/>
  <c r="AM260" i="15"/>
  <c r="R97" i="15"/>
  <c r="R49" i="15"/>
  <c r="R96" i="15"/>
  <c r="BS286" i="15"/>
  <c r="BS83" i="15"/>
  <c r="BS465" i="15"/>
  <c r="BS265" i="15"/>
  <c r="BS466" i="15"/>
  <c r="Z550" i="15"/>
  <c r="AW58" i="15"/>
  <c r="AF103" i="15"/>
  <c r="AF105" i="15"/>
  <c r="AF327" i="15"/>
  <c r="AI456" i="15"/>
  <c r="AI234" i="15"/>
  <c r="AJ86" i="15"/>
  <c r="AH234" i="15"/>
  <c r="AD109" i="15"/>
  <c r="AD530" i="15"/>
  <c r="AD536" i="15"/>
  <c r="AD127" i="15"/>
  <c r="AG456" i="15"/>
  <c r="U406" i="15"/>
  <c r="U342" i="15"/>
  <c r="BA44" i="15"/>
  <c r="BY97" i="15"/>
  <c r="BY96" i="15"/>
  <c r="BY49" i="15"/>
  <c r="AK493" i="15"/>
  <c r="AK325" i="15"/>
  <c r="AG389" i="15"/>
  <c r="AK389" i="15"/>
  <c r="AC500" i="15"/>
  <c r="AZ413" i="15"/>
  <c r="AZ349" i="15"/>
  <c r="BA148" i="15"/>
  <c r="AM422" i="15"/>
  <c r="BS422" i="15"/>
  <c r="AM259" i="15"/>
  <c r="AM363" i="15"/>
  <c r="AM431" i="15"/>
  <c r="BS431" i="15"/>
  <c r="AM357" i="15"/>
  <c r="AM292" i="15"/>
  <c r="AM467" i="15"/>
  <c r="AM282" i="15"/>
  <c r="AM295" i="15"/>
  <c r="AM297" i="15"/>
  <c r="AG493" i="15"/>
  <c r="AG325" i="15"/>
  <c r="AD159" i="15"/>
  <c r="AD177" i="15"/>
  <c r="AD192" i="15"/>
  <c r="N264" i="15"/>
  <c r="N265" i="15"/>
  <c r="N466" i="15"/>
  <c r="BV265" i="15"/>
  <c r="BV466" i="15"/>
  <c r="BV264" i="15"/>
  <c r="BV468" i="15"/>
  <c r="AG498" i="15"/>
  <c r="AE214" i="15"/>
  <c r="BY123" i="15"/>
  <c r="AG18" i="15"/>
  <c r="AG13" i="15"/>
  <c r="R125" i="15"/>
  <c r="R122" i="15"/>
  <c r="R126" i="15"/>
  <c r="R123" i="15"/>
  <c r="AJ82" i="15"/>
  <c r="AG82" i="15"/>
  <c r="BA34" i="15"/>
  <c r="BN119" i="15"/>
  <c r="BN121" i="15"/>
  <c r="BO122" i="15"/>
  <c r="BN560" i="15"/>
  <c r="BN47" i="15"/>
  <c r="R571" i="15"/>
  <c r="R562" i="15"/>
  <c r="C351" i="15"/>
  <c r="C151" i="15"/>
  <c r="C152" i="15"/>
  <c r="AR505" i="15"/>
  <c r="AR547" i="15"/>
  <c r="BN85" i="15"/>
  <c r="BN86" i="15"/>
  <c r="BN24" i="15"/>
  <c r="BO106" i="15"/>
  <c r="BO392" i="15"/>
  <c r="J127" i="15"/>
  <c r="J216" i="15"/>
  <c r="J124" i="15"/>
  <c r="AR22" i="15"/>
  <c r="AR559" i="15"/>
  <c r="AR103" i="15"/>
  <c r="AR105" i="15"/>
  <c r="AR81" i="15"/>
  <c r="AI49" i="15"/>
  <c r="BK18" i="15"/>
  <c r="BK13" i="15"/>
  <c r="BB562" i="15"/>
  <c r="BB571" i="15"/>
  <c r="BC39" i="15"/>
  <c r="BC45" i="15"/>
  <c r="BC519" i="15"/>
  <c r="R363" i="15"/>
  <c r="R431" i="15"/>
  <c r="R285" i="15"/>
  <c r="BU410" i="15"/>
  <c r="AQ525" i="15"/>
  <c r="AQ45" i="15"/>
  <c r="AA26" i="15"/>
  <c r="BN570" i="15"/>
  <c r="BC285" i="15"/>
  <c r="BC318" i="15"/>
  <c r="BC363" i="15"/>
  <c r="BC431" i="15"/>
  <c r="AI285" i="15"/>
  <c r="AI318" i="15"/>
  <c r="AI363" i="15"/>
  <c r="AI431" i="15"/>
  <c r="BR431" i="15"/>
  <c r="Y139" i="15"/>
  <c r="Y340" i="15"/>
  <c r="X404" i="15"/>
  <c r="X88" i="15"/>
  <c r="X340" i="15"/>
  <c r="AF84" i="15"/>
  <c r="AG21" i="15"/>
  <c r="BL392" i="15"/>
  <c r="AI571" i="15"/>
  <c r="AW501" i="15"/>
  <c r="AV504" i="15"/>
  <c r="AV547" i="15"/>
  <c r="R550" i="15"/>
  <c r="Z264" i="15"/>
  <c r="R295" i="15"/>
  <c r="R297" i="15"/>
  <c r="AZ265" i="15"/>
  <c r="F295" i="15"/>
  <c r="F297" i="15"/>
  <c r="AS493" i="15"/>
  <c r="AS325" i="15"/>
  <c r="AD208" i="15"/>
  <c r="BI159" i="15"/>
  <c r="BI177" i="15"/>
  <c r="F465" i="15"/>
  <c r="F83" i="15"/>
  <c r="F265" i="15"/>
  <c r="F367" i="15"/>
  <c r="F435" i="15"/>
  <c r="F364" i="15"/>
  <c r="F432" i="15"/>
  <c r="F286" i="15"/>
  <c r="AO94" i="15"/>
  <c r="AS413" i="15"/>
  <c r="AS349" i="15"/>
  <c r="AS18" i="15"/>
  <c r="AS13" i="15"/>
  <c r="AV234" i="15"/>
  <c r="BN457" i="15"/>
  <c r="BN459" i="15"/>
  <c r="BN223" i="15"/>
  <c r="AI123" i="15"/>
  <c r="AI125" i="15"/>
  <c r="F318" i="15"/>
  <c r="F264" i="15"/>
  <c r="AD400" i="15"/>
  <c r="AG135" i="15"/>
  <c r="AD336" i="15"/>
  <c r="BB97" i="15"/>
  <c r="BC554" i="15"/>
  <c r="BC566" i="15"/>
  <c r="BR389" i="15"/>
  <c r="AI295" i="15"/>
  <c r="AI297" i="15"/>
  <c r="AG282" i="15"/>
  <c r="AG467" i="15"/>
  <c r="AG422" i="15"/>
  <c r="AG292" i="15"/>
  <c r="AG259" i="15"/>
  <c r="AG357" i="15"/>
  <c r="BR432" i="15"/>
  <c r="AW468" i="15"/>
  <c r="BV408" i="15"/>
  <c r="BU408" i="15"/>
  <c r="AW493" i="15"/>
  <c r="AW325" i="15"/>
  <c r="AS389" i="15"/>
  <c r="AW389" i="15"/>
  <c r="C466" i="15"/>
  <c r="C435" i="15"/>
  <c r="C444" i="15"/>
  <c r="C308" i="15"/>
  <c r="BC547" i="15"/>
  <c r="BC550" i="15"/>
  <c r="BC505" i="15"/>
  <c r="BI127" i="15"/>
  <c r="BI109" i="15"/>
  <c r="BI108" i="15"/>
  <c r="S103" i="15"/>
  <c r="S105" i="15"/>
  <c r="S327" i="15"/>
  <c r="S559" i="15"/>
  <c r="S22" i="15"/>
  <c r="S81" i="15"/>
  <c r="AX264" i="15"/>
  <c r="AX265" i="15"/>
  <c r="AD71" i="15"/>
  <c r="BR468" i="15"/>
  <c r="BR422" i="15"/>
  <c r="G550" i="15"/>
  <c r="G217" i="15"/>
  <c r="G224" i="15"/>
  <c r="G159" i="15"/>
  <c r="G177" i="15"/>
  <c r="G192" i="15"/>
  <c r="G73" i="15"/>
  <c r="BU125" i="15"/>
  <c r="BC295" i="15"/>
  <c r="BC297" i="15"/>
  <c r="BN61" i="15"/>
  <c r="BN67" i="15"/>
  <c r="BN69" i="15"/>
  <c r="BN71" i="15"/>
  <c r="D468" i="15"/>
  <c r="Y259" i="15"/>
  <c r="Y357" i="15"/>
  <c r="BU96" i="15"/>
  <c r="BU97" i="15"/>
  <c r="BU49" i="15"/>
  <c r="S505" i="15"/>
  <c r="S547" i="15"/>
  <c r="S550" i="15"/>
  <c r="AI566" i="15"/>
  <c r="BC559" i="15"/>
  <c r="BC81" i="15"/>
  <c r="BR571" i="15"/>
  <c r="AE86" i="15"/>
  <c r="AE85" i="15"/>
  <c r="AE24" i="15"/>
  <c r="J217" i="15"/>
  <c r="J224" i="15"/>
  <c r="J73" i="15"/>
  <c r="J159" i="15"/>
  <c r="J177" i="15"/>
  <c r="J192" i="15"/>
  <c r="BR96" i="15"/>
  <c r="BR97" i="15"/>
  <c r="BR49" i="15"/>
  <c r="Y423" i="15"/>
  <c r="Y283" i="15"/>
  <c r="Y260" i="15"/>
  <c r="Y364" i="15"/>
  <c r="Y432" i="15"/>
  <c r="L47" i="15"/>
  <c r="L560" i="15"/>
  <c r="L119" i="15"/>
  <c r="L121" i="15"/>
  <c r="BN202" i="15"/>
  <c r="AW265" i="15"/>
  <c r="AW367" i="15"/>
  <c r="AT234" i="15"/>
  <c r="AT456" i="15"/>
  <c r="G204" i="15"/>
  <c r="G134" i="15"/>
  <c r="G116" i="15"/>
  <c r="G111" i="15"/>
  <c r="G333" i="15"/>
  <c r="G108" i="15"/>
  <c r="G113" i="15"/>
  <c r="G331" i="15"/>
  <c r="G529" i="15"/>
  <c r="G532" i="15"/>
  <c r="BN210" i="15"/>
  <c r="BN463" i="15"/>
  <c r="S463" i="15"/>
  <c r="BU562" i="15"/>
  <c r="BU571" i="15"/>
  <c r="D372" i="15"/>
  <c r="D470" i="15"/>
  <c r="U501" i="15"/>
  <c r="T504" i="15"/>
  <c r="AO12" i="15"/>
  <c r="AO76" i="15"/>
  <c r="AO238" i="15"/>
  <c r="AO236" i="15"/>
  <c r="AO55" i="15"/>
  <c r="AO57" i="15"/>
  <c r="T77" i="15"/>
  <c r="T58" i="15"/>
  <c r="U14" i="15"/>
  <c r="I366" i="15"/>
  <c r="I434" i="15"/>
  <c r="I468" i="15"/>
  <c r="BB96" i="15"/>
  <c r="AF57" i="15"/>
  <c r="AF59" i="15"/>
  <c r="AF61" i="15"/>
  <c r="AX392" i="15"/>
  <c r="AX393" i="15"/>
  <c r="BT47" i="15"/>
  <c r="BT97" i="15"/>
  <c r="BT119" i="15"/>
  <c r="BT121" i="15"/>
  <c r="BT560" i="15"/>
  <c r="AP393" i="15"/>
  <c r="AE122" i="15"/>
  <c r="AE125" i="15"/>
  <c r="AE571" i="15"/>
  <c r="AE562" i="15"/>
  <c r="F215" i="15"/>
  <c r="F125" i="15"/>
  <c r="F126" i="15"/>
  <c r="K222" i="15"/>
  <c r="BV389" i="15"/>
  <c r="E124" i="15"/>
  <c r="E123" i="15"/>
  <c r="E215" i="15"/>
  <c r="BQ109" i="15"/>
  <c r="BQ113" i="15"/>
  <c r="E214" i="15"/>
  <c r="AS336" i="15"/>
  <c r="Z159" i="15"/>
  <c r="Z177" i="15"/>
  <c r="Z192" i="15"/>
  <c r="U520" i="15"/>
  <c r="AK264" i="15"/>
  <c r="AK366" i="15"/>
  <c r="AK434" i="15"/>
  <c r="E96" i="15"/>
  <c r="E49" i="15"/>
  <c r="Z127" i="15"/>
  <c r="Z530" i="15"/>
  <c r="Z536" i="15"/>
  <c r="Z109" i="15"/>
  <c r="Z116" i="15"/>
  <c r="Z529" i="15"/>
  <c r="AO286" i="15"/>
  <c r="AO83" i="15"/>
  <c r="AO465" i="15"/>
  <c r="AO364" i="15"/>
  <c r="AO432" i="15"/>
  <c r="BU432" i="15"/>
  <c r="AA285" i="15"/>
  <c r="AA318" i="15"/>
  <c r="AA363" i="15"/>
  <c r="AA431" i="15"/>
  <c r="AV67" i="15"/>
  <c r="AV69" i="15"/>
  <c r="AV71" i="15"/>
  <c r="AO318" i="15"/>
  <c r="AO363" i="15"/>
  <c r="AO431" i="15"/>
  <c r="BU431" i="15"/>
  <c r="AO285" i="15"/>
  <c r="F97" i="15"/>
  <c r="AE49" i="15"/>
  <c r="AE159" i="15"/>
  <c r="AE177" i="15"/>
  <c r="AE96" i="15"/>
  <c r="AE97" i="15"/>
  <c r="AO291" i="15"/>
  <c r="F214" i="15"/>
  <c r="F221" i="15"/>
  <c r="AW57" i="15"/>
  <c r="AW59" i="15"/>
  <c r="AW67" i="15"/>
  <c r="AW69" i="15"/>
  <c r="AW71" i="15"/>
  <c r="AX234" i="15"/>
  <c r="AX456" i="15"/>
  <c r="AW234" i="15"/>
  <c r="AW456" i="15"/>
  <c r="AV559" i="15"/>
  <c r="AV81" i="15"/>
  <c r="AV103" i="15"/>
  <c r="AV105" i="15"/>
  <c r="AV391" i="15"/>
  <c r="AV393" i="15"/>
  <c r="AW347" i="15"/>
  <c r="AK465" i="15"/>
  <c r="AK286" i="15"/>
  <c r="AK364" i="15"/>
  <c r="AK432" i="15"/>
  <c r="AK83" i="15"/>
  <c r="AS414" i="15"/>
  <c r="AS350" i="15"/>
  <c r="AO213" i="15"/>
  <c r="AO220" i="15"/>
  <c r="BA493" i="15"/>
  <c r="BA325" i="15"/>
  <c r="AX220" i="15"/>
  <c r="C397" i="17"/>
  <c r="AK285" i="15"/>
  <c r="AK318" i="15"/>
  <c r="AK363" i="15"/>
  <c r="AK431" i="15"/>
  <c r="AW18" i="15"/>
  <c r="AW13" i="15"/>
  <c r="AZ234" i="15"/>
  <c r="AZ456" i="15"/>
  <c r="BA341" i="15"/>
  <c r="BA405" i="15"/>
  <c r="AQ213" i="15"/>
  <c r="AQ220" i="15"/>
  <c r="AY456" i="15"/>
  <c r="AY234" i="15"/>
  <c r="AP213" i="15"/>
  <c r="AP220" i="15"/>
  <c r="BH25" i="15"/>
  <c r="BU401" i="15"/>
  <c r="AZ103" i="15"/>
  <c r="AZ105" i="15"/>
  <c r="AZ391" i="15"/>
  <c r="AZ22" i="15"/>
  <c r="AZ85" i="15"/>
  <c r="AZ559" i="15"/>
  <c r="AZ81" i="15"/>
  <c r="AU364" i="15"/>
  <c r="AU432" i="15"/>
  <c r="AU83" i="15"/>
  <c r="C97" i="15"/>
  <c r="C49" i="15"/>
  <c r="C217" i="15"/>
  <c r="K393" i="15"/>
  <c r="L392" i="15"/>
  <c r="K26" i="15"/>
  <c r="K73" i="15"/>
  <c r="K208" i="15"/>
  <c r="K446" i="15"/>
  <c r="D418" i="15"/>
  <c r="D353" i="15"/>
  <c r="BO159" i="15"/>
  <c r="BO177" i="15"/>
  <c r="BO192" i="15"/>
  <c r="AU285" i="15"/>
  <c r="AU318" i="15"/>
  <c r="AU363" i="15"/>
  <c r="AU431" i="15"/>
  <c r="W24" i="15"/>
  <c r="W26" i="15"/>
  <c r="W85" i="15"/>
  <c r="W86" i="15"/>
  <c r="K366" i="15"/>
  <c r="K434" i="15"/>
  <c r="K468" i="15"/>
  <c r="AQ285" i="15"/>
  <c r="AQ363" i="15"/>
  <c r="AQ431" i="15"/>
  <c r="BW431" i="15"/>
  <c r="AO404" i="15"/>
  <c r="AO88" i="15"/>
  <c r="AO340" i="15"/>
  <c r="AR209" i="15"/>
  <c r="AR462" i="15"/>
  <c r="J466" i="15"/>
  <c r="J367" i="15"/>
  <c r="J435" i="15"/>
  <c r="H83" i="15"/>
  <c r="H364" i="15"/>
  <c r="H432" i="15"/>
  <c r="H286" i="15"/>
  <c r="H465" i="15"/>
  <c r="H265" i="15"/>
  <c r="BA414" i="15"/>
  <c r="BA350" i="15"/>
  <c r="BI107" i="15"/>
  <c r="AE106" i="15"/>
  <c r="AE328" i="15"/>
  <c r="K311" i="15"/>
  <c r="K379" i="15"/>
  <c r="K310" i="15"/>
  <c r="K378" i="15"/>
  <c r="W560" i="15"/>
  <c r="W562" i="15"/>
  <c r="W47" i="15"/>
  <c r="W49" i="15"/>
  <c r="W73" i="15"/>
  <c r="W119" i="15"/>
  <c r="W121" i="15"/>
  <c r="AY327" i="15"/>
  <c r="AY107" i="15"/>
  <c r="AY329" i="15"/>
  <c r="AC259" i="15"/>
  <c r="AC292" i="15"/>
  <c r="AC422" i="15"/>
  <c r="AC357" i="15"/>
  <c r="AC467" i="15"/>
  <c r="AC282" i="15"/>
  <c r="AC295" i="15"/>
  <c r="AC297" i="15"/>
  <c r="AU291" i="15"/>
  <c r="AC410" i="15"/>
  <c r="AC346" i="15"/>
  <c r="C124" i="15"/>
  <c r="C123" i="15"/>
  <c r="C215" i="15"/>
  <c r="C222" i="15"/>
  <c r="C122" i="15"/>
  <c r="C126" i="15"/>
  <c r="BU412" i="15"/>
  <c r="BV412" i="15"/>
  <c r="AQ286" i="15"/>
  <c r="AQ465" i="15"/>
  <c r="BA13" i="15"/>
  <c r="AC260" i="15"/>
  <c r="AC358" i="15"/>
  <c r="AC423" i="15"/>
  <c r="AC283" i="15"/>
  <c r="C1540" i="17"/>
  <c r="AC291" i="15"/>
  <c r="W425" i="15"/>
  <c r="W391" i="15"/>
  <c r="BO391" i="15"/>
  <c r="BO393" i="15"/>
  <c r="M556" i="15"/>
  <c r="M567" i="15"/>
  <c r="M565" i="15"/>
  <c r="H285" i="15"/>
  <c r="H363" i="15"/>
  <c r="H431" i="15"/>
  <c r="H318" i="15"/>
  <c r="H264" i="15"/>
  <c r="H366" i="15"/>
  <c r="H434" i="15"/>
  <c r="BI85" i="15"/>
  <c r="BI24" i="15"/>
  <c r="BI86" i="15"/>
  <c r="C571" i="15"/>
  <c r="AB525" i="15"/>
  <c r="AB45" i="15"/>
  <c r="AB47" i="15"/>
  <c r="AB97" i="15"/>
  <c r="X86" i="15"/>
  <c r="X85" i="15"/>
  <c r="AO504" i="15"/>
  <c r="AO505" i="15"/>
  <c r="AW413" i="15"/>
  <c r="AW349" i="15"/>
  <c r="AV119" i="15"/>
  <c r="AV121" i="15"/>
  <c r="AV47" i="15"/>
  <c r="AV96" i="15"/>
  <c r="AV49" i="15"/>
  <c r="AV159" i="15"/>
  <c r="AV177" i="15"/>
  <c r="AV192" i="15"/>
  <c r="AV560" i="15"/>
  <c r="AV571" i="15"/>
  <c r="AK404" i="15"/>
  <c r="AN209" i="15"/>
  <c r="AN462" i="15"/>
  <c r="AK340" i="15"/>
  <c r="AK88" i="15"/>
  <c r="AR264" i="15"/>
  <c r="AR265" i="15"/>
  <c r="N446" i="15"/>
  <c r="N447" i="15"/>
  <c r="U283" i="15"/>
  <c r="U291" i="15"/>
  <c r="U358" i="15"/>
  <c r="U423" i="15"/>
  <c r="U260" i="15"/>
  <c r="E291" i="15"/>
  <c r="K159" i="15"/>
  <c r="K177" i="15"/>
  <c r="K192" i="15"/>
  <c r="K217" i="15"/>
  <c r="K224" i="15"/>
  <c r="AW84" i="15"/>
  <c r="AX119" i="15"/>
  <c r="AX121" i="15"/>
  <c r="AX560" i="15"/>
  <c r="AX562" i="15"/>
  <c r="U467" i="15"/>
  <c r="U422" i="15"/>
  <c r="U259" i="15"/>
  <c r="U357" i="15"/>
  <c r="U292" i="15"/>
  <c r="X425" i="15"/>
  <c r="U404" i="15"/>
  <c r="V209" i="15"/>
  <c r="V462" i="15"/>
  <c r="W462" i="15"/>
  <c r="AU213" i="15"/>
  <c r="AT213" i="15"/>
  <c r="AT220" i="15"/>
  <c r="AS213" i="15"/>
  <c r="AS220" i="15"/>
  <c r="AV213" i="15"/>
  <c r="AV220" i="15"/>
  <c r="AS554" i="15"/>
  <c r="AS566" i="15"/>
  <c r="AP97" i="15"/>
  <c r="AP96" i="15"/>
  <c r="AP49" i="15"/>
  <c r="AP159" i="15"/>
  <c r="AP177" i="15"/>
  <c r="AP192" i="15"/>
  <c r="AT264" i="15"/>
  <c r="AT468" i="15"/>
  <c r="N208" i="15"/>
  <c r="N26" i="15"/>
  <c r="BV208" i="15"/>
  <c r="O47" i="15"/>
  <c r="O119" i="15"/>
  <c r="O121" i="15"/>
  <c r="AG520" i="15"/>
  <c r="BU26" i="15"/>
  <c r="BU73" i="15"/>
  <c r="E318" i="15"/>
  <c r="E285" i="15"/>
  <c r="E264" i="15"/>
  <c r="E363" i="15"/>
  <c r="E431" i="15"/>
  <c r="E440" i="15"/>
  <c r="AF525" i="15"/>
  <c r="AF45" i="15"/>
  <c r="N119" i="15"/>
  <c r="N121" i="15"/>
  <c r="N215" i="15"/>
  <c r="N222" i="15"/>
  <c r="N47" i="15"/>
  <c r="N49" i="15"/>
  <c r="AP125" i="15"/>
  <c r="AP123" i="15"/>
  <c r="C328" i="15"/>
  <c r="C392" i="15"/>
  <c r="E286" i="15"/>
  <c r="E265" i="15"/>
  <c r="E83" i="15"/>
  <c r="E364" i="15"/>
  <c r="E432" i="15"/>
  <c r="E441" i="15"/>
  <c r="E465" i="15"/>
  <c r="AV86" i="15"/>
  <c r="AV24" i="15"/>
  <c r="AV85" i="15"/>
  <c r="AK411" i="15"/>
  <c r="BV311" i="15"/>
  <c r="C310" i="15"/>
  <c r="C378" i="15"/>
  <c r="C311" i="15"/>
  <c r="C379" i="15"/>
  <c r="AG411" i="15"/>
  <c r="AG347" i="15"/>
  <c r="AO520" i="15"/>
  <c r="AO39" i="15"/>
  <c r="AO525" i="15"/>
  <c r="AP571" i="15"/>
  <c r="AP562" i="15"/>
  <c r="K109" i="15"/>
  <c r="K395" i="15"/>
  <c r="K124" i="15"/>
  <c r="K216" i="15"/>
  <c r="K127" i="15"/>
  <c r="AI213" i="15"/>
  <c r="AI220" i="15"/>
  <c r="AJ213" i="15"/>
  <c r="AJ220" i="15"/>
  <c r="X209" i="15"/>
  <c r="X462" i="15"/>
  <c r="AU264" i="15"/>
  <c r="AU265" i="15"/>
  <c r="AH213" i="15"/>
  <c r="AH220" i="15"/>
  <c r="AM560" i="15"/>
  <c r="AM571" i="15"/>
  <c r="AM47" i="15"/>
  <c r="AM119" i="15"/>
  <c r="AM121" i="15"/>
  <c r="AR45" i="15"/>
  <c r="AR525" i="15"/>
  <c r="X119" i="15"/>
  <c r="X121" i="15"/>
  <c r="X125" i="15"/>
  <c r="X530" i="15"/>
  <c r="X47" i="15"/>
  <c r="X560" i="15"/>
  <c r="BC400" i="15"/>
  <c r="AM209" i="15"/>
  <c r="AM462" i="15"/>
  <c r="AN45" i="15"/>
  <c r="N311" i="15"/>
  <c r="N379" i="15"/>
  <c r="N310" i="15"/>
  <c r="N378" i="15"/>
  <c r="AN505" i="15"/>
  <c r="AO554" i="15"/>
  <c r="AO566" i="15"/>
  <c r="AO92" i="15"/>
  <c r="E295" i="15"/>
  <c r="E297" i="15"/>
  <c r="AS520" i="15"/>
  <c r="AQ265" i="15"/>
  <c r="AQ367" i="15"/>
  <c r="AQ435" i="15"/>
  <c r="BW435" i="15"/>
  <c r="AQ264" i="15"/>
  <c r="AQ366" i="15"/>
  <c r="AQ434" i="15"/>
  <c r="BW434" i="15"/>
  <c r="C447" i="15"/>
  <c r="C446" i="15"/>
  <c r="BA520" i="15"/>
  <c r="AD111" i="15"/>
  <c r="AD333" i="15"/>
  <c r="AD116" i="15"/>
  <c r="AD529" i="15"/>
  <c r="AD532" i="15"/>
  <c r="AD533" i="15"/>
  <c r="AD134" i="15"/>
  <c r="AD113" i="15"/>
  <c r="AD426" i="15"/>
  <c r="AD108" i="15"/>
  <c r="AD395" i="15"/>
  <c r="AD331" i="15"/>
  <c r="BO214" i="15"/>
  <c r="BN571" i="15"/>
  <c r="AG202" i="15"/>
  <c r="N367" i="15"/>
  <c r="N435" i="15"/>
  <c r="AM318" i="15"/>
  <c r="AM285" i="15"/>
  <c r="BY159" i="15"/>
  <c r="BY177" i="15"/>
  <c r="BY192" i="15"/>
  <c r="N366" i="15"/>
  <c r="N434" i="15"/>
  <c r="N468" i="15"/>
  <c r="BY73" i="15"/>
  <c r="AF107" i="15"/>
  <c r="AF329" i="15"/>
  <c r="AF391" i="15"/>
  <c r="AF393" i="15"/>
  <c r="AF425" i="15"/>
  <c r="AM465" i="15"/>
  <c r="AM286" i="15"/>
  <c r="AM83" i="15"/>
  <c r="AM364" i="15"/>
  <c r="AM432" i="15"/>
  <c r="BS432" i="15"/>
  <c r="BN562" i="15"/>
  <c r="BN572" i="15"/>
  <c r="AG81" i="15"/>
  <c r="AG559" i="15"/>
  <c r="AG103" i="15"/>
  <c r="AM291" i="15"/>
  <c r="BN123" i="15"/>
  <c r="BN124" i="15"/>
  <c r="BN122" i="15"/>
  <c r="BO215" i="15"/>
  <c r="AU202" i="15"/>
  <c r="BA413" i="15"/>
  <c r="BA349" i="15"/>
  <c r="R159" i="15"/>
  <c r="R177" i="15"/>
  <c r="R192" i="15"/>
  <c r="R73" i="15"/>
  <c r="BN49" i="15"/>
  <c r="BN97" i="15"/>
  <c r="BN96" i="15"/>
  <c r="R127" i="15"/>
  <c r="R530" i="15"/>
  <c r="R536" i="15"/>
  <c r="R109" i="15"/>
  <c r="AX366" i="15"/>
  <c r="AX434" i="15"/>
  <c r="AX468" i="15"/>
  <c r="AN69" i="15"/>
  <c r="AN71" i="15"/>
  <c r="AY367" i="15"/>
  <c r="AY435" i="15"/>
  <c r="AY466" i="15"/>
  <c r="AG84" i="15"/>
  <c r="AG22" i="15"/>
  <c r="BC525" i="15"/>
  <c r="G205" i="15"/>
  <c r="BR159" i="15"/>
  <c r="BR177" i="15"/>
  <c r="BR192" i="15"/>
  <c r="BU530" i="15"/>
  <c r="BU536" i="15"/>
  <c r="BU127" i="15"/>
  <c r="BU109" i="15"/>
  <c r="AW125" i="15"/>
  <c r="AW123" i="15"/>
  <c r="AG400" i="15"/>
  <c r="AG336" i="15"/>
  <c r="AS547" i="15"/>
  <c r="AS505" i="15"/>
  <c r="AI127" i="15"/>
  <c r="AI109" i="15"/>
  <c r="AI113" i="15"/>
  <c r="AI426" i="15"/>
  <c r="AI530" i="15"/>
  <c r="AI536" i="15"/>
  <c r="AI126" i="15"/>
  <c r="Y404" i="15"/>
  <c r="Y88" i="15"/>
  <c r="AB209" i="15"/>
  <c r="AB462" i="15"/>
  <c r="BN156" i="15"/>
  <c r="L214" i="15"/>
  <c r="L221" i="15"/>
  <c r="L571" i="15"/>
  <c r="L562" i="15"/>
  <c r="AG295" i="15"/>
  <c r="AG297" i="15"/>
  <c r="BB159" i="15"/>
  <c r="BB177" i="15"/>
  <c r="BB192" i="15"/>
  <c r="AI159" i="15"/>
  <c r="AI177" i="15"/>
  <c r="AI192" i="15"/>
  <c r="AR24" i="15"/>
  <c r="AR86" i="15"/>
  <c r="AR85" i="15"/>
  <c r="C353" i="15"/>
  <c r="C418" i="15"/>
  <c r="AW435" i="15"/>
  <c r="AW466" i="15"/>
  <c r="L49" i="15"/>
  <c r="L73" i="15"/>
  <c r="L159" i="15"/>
  <c r="L177" i="15"/>
  <c r="L192" i="15"/>
  <c r="L96" i="15"/>
  <c r="L97" i="15"/>
  <c r="W106" i="15"/>
  <c r="W328" i="15"/>
  <c r="S425" i="15"/>
  <c r="S391" i="15"/>
  <c r="S107" i="15"/>
  <c r="S329" i="15"/>
  <c r="S106" i="15"/>
  <c r="S328" i="15"/>
  <c r="C471" i="15"/>
  <c r="C376" i="15"/>
  <c r="BQ400" i="15"/>
  <c r="AS81" i="15"/>
  <c r="AS22" i="15"/>
  <c r="AS103" i="15"/>
  <c r="AS559" i="15"/>
  <c r="AZ466" i="15"/>
  <c r="AZ367" i="15"/>
  <c r="AZ435" i="15"/>
  <c r="BK81" i="15"/>
  <c r="BK103" i="15"/>
  <c r="C156" i="15"/>
  <c r="C417" i="15"/>
  <c r="C352" i="15"/>
  <c r="G335" i="15"/>
  <c r="G138" i="15"/>
  <c r="Y291" i="15"/>
  <c r="BU159" i="15"/>
  <c r="BU177" i="15"/>
  <c r="BU192" i="15"/>
  <c r="AR425" i="15"/>
  <c r="AA209" i="15"/>
  <c r="AA462" i="15"/>
  <c r="AQ560" i="15"/>
  <c r="AQ47" i="15"/>
  <c r="AQ119" i="15"/>
  <c r="AQ121" i="15"/>
  <c r="Y363" i="15"/>
  <c r="Y431" i="15"/>
  <c r="Y318" i="15"/>
  <c r="F468" i="15"/>
  <c r="F366" i="15"/>
  <c r="F434" i="15"/>
  <c r="AV505" i="15"/>
  <c r="AR550" i="15"/>
  <c r="G457" i="15"/>
  <c r="G459" i="15"/>
  <c r="G360" i="15"/>
  <c r="G223" i="15"/>
  <c r="AO13" i="15"/>
  <c r="AO18" i="15"/>
  <c r="AO81" i="15"/>
  <c r="T505" i="15"/>
  <c r="T547" i="15"/>
  <c r="T550" i="15"/>
  <c r="Y286" i="15"/>
  <c r="Y83" i="15"/>
  <c r="Z209" i="15"/>
  <c r="Z462" i="15"/>
  <c r="G535" i="15"/>
  <c r="G533" i="15"/>
  <c r="AX466" i="15"/>
  <c r="AX367" i="15"/>
  <c r="AX435" i="15"/>
  <c r="Y209" i="15"/>
  <c r="Y462" i="15"/>
  <c r="BI113" i="15"/>
  <c r="BI134" i="15"/>
  <c r="BI138" i="15"/>
  <c r="BI116" i="15"/>
  <c r="BI111" i="15"/>
  <c r="AG285" i="15"/>
  <c r="AG318" i="15"/>
  <c r="AG363" i="15"/>
  <c r="AG431" i="15"/>
  <c r="F466" i="15"/>
  <c r="BN152" i="15"/>
  <c r="AK468" i="15"/>
  <c r="F124" i="15"/>
  <c r="Y124" i="15"/>
  <c r="F216" i="15"/>
  <c r="F127" i="15"/>
  <c r="BT571" i="15"/>
  <c r="E159" i="15"/>
  <c r="E177" i="15"/>
  <c r="E192" i="15"/>
  <c r="E217" i="15"/>
  <c r="BT125" i="15"/>
  <c r="BT49" i="15"/>
  <c r="BT96" i="15"/>
  <c r="AF67" i="15"/>
  <c r="AF69" i="15"/>
  <c r="AF71" i="15"/>
  <c r="BQ116" i="15"/>
  <c r="BQ529" i="15"/>
  <c r="BQ111" i="15"/>
  <c r="AE109" i="15"/>
  <c r="AE530" i="15"/>
  <c r="AE536" i="15"/>
  <c r="AE126" i="15"/>
  <c r="AE127" i="15"/>
  <c r="Z134" i="15"/>
  <c r="Z335" i="15"/>
  <c r="Z108" i="15"/>
  <c r="Z331" i="15"/>
  <c r="Z535" i="15"/>
  <c r="Z395" i="15"/>
  <c r="Z113" i="15"/>
  <c r="Z426" i="15"/>
  <c r="Z111" i="15"/>
  <c r="Z333" i="15"/>
  <c r="AV425" i="15"/>
  <c r="AV107" i="15"/>
  <c r="AV329" i="15"/>
  <c r="AV327" i="15"/>
  <c r="AW81" i="15"/>
  <c r="AW559" i="15"/>
  <c r="AW103" i="15"/>
  <c r="AW105" i="15"/>
  <c r="AW202" i="15"/>
  <c r="AX202" i="15"/>
  <c r="AK367" i="15"/>
  <c r="AK435" i="15"/>
  <c r="AK466" i="15"/>
  <c r="AZ202" i="15"/>
  <c r="AY202" i="15"/>
  <c r="BH26" i="15"/>
  <c r="BH73" i="15"/>
  <c r="H468" i="15"/>
  <c r="W123" i="15"/>
  <c r="AZ86" i="15"/>
  <c r="AZ24" i="15"/>
  <c r="AZ327" i="15"/>
  <c r="AZ107" i="15"/>
  <c r="AZ329" i="15"/>
  <c r="AZ106" i="15"/>
  <c r="AZ328" i="15"/>
  <c r="W571" i="15"/>
  <c r="C159" i="15"/>
  <c r="C177" i="15"/>
  <c r="C192" i="15"/>
  <c r="C194" i="15"/>
  <c r="C196" i="15"/>
  <c r="C197" i="15"/>
  <c r="C199" i="15"/>
  <c r="AC286" i="15"/>
  <c r="AC318" i="15"/>
  <c r="AC363" i="15"/>
  <c r="AC431" i="15"/>
  <c r="AC285" i="15"/>
  <c r="AC264" i="15"/>
  <c r="AC366" i="15"/>
  <c r="AC434" i="15"/>
  <c r="N214" i="15"/>
  <c r="N221" i="15"/>
  <c r="N562" i="15"/>
  <c r="N571" i="15"/>
  <c r="E470" i="15"/>
  <c r="E372" i="15"/>
  <c r="U364" i="15"/>
  <c r="U432" i="15"/>
  <c r="AR468" i="15"/>
  <c r="AR366" i="15"/>
  <c r="AR434" i="15"/>
  <c r="AV562" i="15"/>
  <c r="AB560" i="15"/>
  <c r="AB571" i="15"/>
  <c r="AB119" i="15"/>
  <c r="AB121" i="15"/>
  <c r="AR119" i="15"/>
  <c r="AR121" i="15"/>
  <c r="AR47" i="15"/>
  <c r="AR97" i="15"/>
  <c r="AR560" i="15"/>
  <c r="AV97" i="15"/>
  <c r="E367" i="15"/>
  <c r="E435" i="15"/>
  <c r="E444" i="15"/>
  <c r="E308" i="15"/>
  <c r="E466" i="15"/>
  <c r="N96" i="15"/>
  <c r="N97" i="15"/>
  <c r="BV450" i="15"/>
  <c r="BV447" i="15"/>
  <c r="O562" i="15"/>
  <c r="O214" i="15"/>
  <c r="O221" i="15"/>
  <c r="O571" i="15"/>
  <c r="AR466" i="15"/>
  <c r="AR367" i="15"/>
  <c r="AR435" i="15"/>
  <c r="AM97" i="15"/>
  <c r="AM96" i="15"/>
  <c r="AM49" i="15"/>
  <c r="AM159" i="15"/>
  <c r="AM177" i="15"/>
  <c r="AM192" i="15"/>
  <c r="O96" i="15"/>
  <c r="AO547" i="15"/>
  <c r="AN119" i="15"/>
  <c r="AM562" i="15"/>
  <c r="AU466" i="15"/>
  <c r="AU367" i="15"/>
  <c r="AU435" i="15"/>
  <c r="K529" i="15"/>
  <c r="K535" i="15"/>
  <c r="K134" i="15"/>
  <c r="K335" i="15"/>
  <c r="K108" i="15"/>
  <c r="K331" i="15"/>
  <c r="AT366" i="15"/>
  <c r="AT434" i="15"/>
  <c r="AX49" i="15"/>
  <c r="AX159" i="15"/>
  <c r="AX177" i="15"/>
  <c r="AX192" i="15"/>
  <c r="AX97" i="15"/>
  <c r="X49" i="15"/>
  <c r="X159" i="15"/>
  <c r="X177" i="15"/>
  <c r="AQ468" i="15"/>
  <c r="E469" i="15"/>
  <c r="E373" i="15"/>
  <c r="AP109" i="15"/>
  <c r="AP530" i="15"/>
  <c r="AP536" i="15"/>
  <c r="E366" i="15"/>
  <c r="E434" i="15"/>
  <c r="E443" i="15"/>
  <c r="E307" i="15"/>
  <c r="E472" i="15"/>
  <c r="E468" i="15"/>
  <c r="U363" i="15"/>
  <c r="U431" i="15"/>
  <c r="U285" i="15"/>
  <c r="U318" i="15"/>
  <c r="AX571" i="15"/>
  <c r="AD335" i="15"/>
  <c r="AD399" i="15"/>
  <c r="AD138" i="15"/>
  <c r="AD144" i="15"/>
  <c r="AD150" i="15"/>
  <c r="AD351" i="15"/>
  <c r="AD397" i="15"/>
  <c r="R331" i="15"/>
  <c r="R108" i="15"/>
  <c r="R134" i="15"/>
  <c r="R138" i="15"/>
  <c r="R116" i="15"/>
  <c r="R529" i="15"/>
  <c r="R535" i="15"/>
  <c r="R111" i="15"/>
  <c r="R333" i="15"/>
  <c r="R395" i="15"/>
  <c r="R113" i="15"/>
  <c r="AQ125" i="15"/>
  <c r="L217" i="15"/>
  <c r="L224" i="15"/>
  <c r="AS85" i="15"/>
  <c r="AS24" i="15"/>
  <c r="AS86" i="15"/>
  <c r="AV550" i="15"/>
  <c r="AQ571" i="15"/>
  <c r="AG86" i="15"/>
  <c r="BN391" i="15"/>
  <c r="BN392" i="15"/>
  <c r="AS550" i="15"/>
  <c r="BC119" i="15"/>
  <c r="BC121" i="15"/>
  <c r="AI134" i="15"/>
  <c r="AI138" i="15"/>
  <c r="AI116" i="15"/>
  <c r="AI529" i="15"/>
  <c r="AI535" i="15"/>
  <c r="AO103" i="15"/>
  <c r="AO559" i="15"/>
  <c r="AQ96" i="15"/>
  <c r="AQ97" i="15"/>
  <c r="AQ49" i="15"/>
  <c r="G339" i="15"/>
  <c r="G144" i="15"/>
  <c r="BU108" i="15"/>
  <c r="BU116" i="15"/>
  <c r="BU529" i="15"/>
  <c r="BU535" i="15"/>
  <c r="BU134" i="15"/>
  <c r="BU138" i="15"/>
  <c r="BU144" i="15"/>
  <c r="BU150" i="15"/>
  <c r="Z138" i="15"/>
  <c r="Z144" i="15"/>
  <c r="AE113" i="15"/>
  <c r="AE426" i="15"/>
  <c r="AE331" i="15"/>
  <c r="AE111" i="15"/>
  <c r="AE333" i="15"/>
  <c r="AE110" i="15"/>
  <c r="AE332" i="15"/>
  <c r="AE116" i="15"/>
  <c r="AE529" i="15"/>
  <c r="AE395" i="15"/>
  <c r="BQ395" i="15" s="1"/>
  <c r="BQ397" i="15" s="1"/>
  <c r="AE134" i="15"/>
  <c r="AE138" i="15"/>
  <c r="AE339" i="15"/>
  <c r="AE108" i="15"/>
  <c r="AC468" i="15"/>
  <c r="K532" i="15"/>
  <c r="K533" i="15"/>
  <c r="N159" i="15"/>
  <c r="N177" i="15"/>
  <c r="N192" i="15"/>
  <c r="AB123" i="15"/>
  <c r="E375" i="15"/>
  <c r="AS119" i="15"/>
  <c r="AS121" i="15"/>
  <c r="AS47" i="15"/>
  <c r="K138" i="15"/>
  <c r="K144" i="15"/>
  <c r="K345" i="15"/>
  <c r="K399" i="15"/>
  <c r="K428" i="15"/>
  <c r="K449" i="15"/>
  <c r="AR96" i="15"/>
  <c r="AR49" i="15"/>
  <c r="AR159" i="15"/>
  <c r="AR177" i="15"/>
  <c r="AR571" i="15"/>
  <c r="AR562" i="15"/>
  <c r="AD403" i="15"/>
  <c r="AD409" i="15"/>
  <c r="R335" i="15"/>
  <c r="R399" i="15"/>
  <c r="AQ159" i="15"/>
  <c r="AQ177" i="15"/>
  <c r="AQ192" i="15"/>
  <c r="G210" i="15"/>
  <c r="G463" i="15"/>
  <c r="G345" i="15"/>
  <c r="G150" i="15"/>
  <c r="AE397" i="15"/>
  <c r="AT214" i="15"/>
  <c r="AS214" i="15"/>
  <c r="D67" i="17"/>
  <c r="AD339" i="15"/>
  <c r="AS571" i="15"/>
  <c r="AW203" i="15"/>
  <c r="U340" i="15"/>
  <c r="BL209" i="15"/>
  <c r="U209" i="15"/>
  <c r="AY391" i="15"/>
  <c r="AY425" i="15"/>
  <c r="AU107" i="15"/>
  <c r="AU329" i="15"/>
  <c r="AU425" i="15"/>
  <c r="AJ24" i="15"/>
  <c r="AJ85" i="15"/>
  <c r="BO123" i="15"/>
  <c r="BY122" i="15"/>
  <c r="BO124" i="15"/>
  <c r="T413" i="15"/>
  <c r="T349" i="15"/>
  <c r="U148" i="15"/>
  <c r="W107" i="15"/>
  <c r="W329" i="15"/>
  <c r="BI106" i="15"/>
  <c r="AA106" i="15"/>
  <c r="AA328" i="15"/>
  <c r="D366" i="15"/>
  <c r="D434" i="15"/>
  <c r="D443" i="15"/>
  <c r="D307" i="15"/>
  <c r="D472" i="15"/>
  <c r="BU404" i="15"/>
  <c r="BV404" i="15"/>
  <c r="C469" i="15"/>
  <c r="C373" i="15"/>
  <c r="AW47" i="15"/>
  <c r="AW96" i="15"/>
  <c r="AW560" i="15"/>
  <c r="AW562" i="15"/>
  <c r="Y422" i="15"/>
  <c r="Y467" i="15"/>
  <c r="Y292" i="15"/>
  <c r="AU286" i="15"/>
  <c r="AU465" i="15"/>
  <c r="F571" i="15"/>
  <c r="F562" i="15"/>
  <c r="Y77" i="15"/>
  <c r="C562" i="15"/>
  <c r="C572" i="15"/>
  <c r="C214" i="15"/>
  <c r="C221" i="15"/>
  <c r="AL209" i="15"/>
  <c r="AB410" i="15"/>
  <c r="AB346" i="15"/>
  <c r="Y522" i="15"/>
  <c r="Y548" i="15"/>
  <c r="BO565" i="15"/>
  <c r="BO556" i="15"/>
  <c r="BO567" i="15"/>
  <c r="BC61" i="15"/>
  <c r="BC67" i="15"/>
  <c r="BC69" i="15"/>
  <c r="BC71" i="15"/>
  <c r="AO264" i="15"/>
  <c r="AO366" i="15"/>
  <c r="AO434" i="15"/>
  <c r="BU434" i="15"/>
  <c r="AK342" i="15"/>
  <c r="AK406" i="15"/>
  <c r="CC47" i="15"/>
  <c r="CC49" i="15"/>
  <c r="CC73" i="15"/>
  <c r="CC560" i="15"/>
  <c r="R67" i="15"/>
  <c r="R69" i="15"/>
  <c r="R71" i="15"/>
  <c r="R61" i="15"/>
  <c r="BA324" i="15"/>
  <c r="BB201" i="15"/>
  <c r="BB234" i="15"/>
  <c r="BA237" i="15"/>
  <c r="BA78" i="15"/>
  <c r="BA388" i="15"/>
  <c r="BA389" i="15"/>
  <c r="BA52" i="15"/>
  <c r="BA201" i="15"/>
  <c r="BA234" i="15"/>
  <c r="BD201" i="15"/>
  <c r="BD456" i="15"/>
  <c r="BC201" i="15"/>
  <c r="BC234" i="15"/>
  <c r="BA89" i="15"/>
  <c r="AC76" i="15"/>
  <c r="AC55" i="15"/>
  <c r="AC12" i="15"/>
  <c r="AC18" i="15"/>
  <c r="AC236" i="15"/>
  <c r="AC238" i="15"/>
  <c r="AU81" i="15"/>
  <c r="AX61" i="15"/>
  <c r="D67" i="15"/>
  <c r="D69" i="15"/>
  <c r="D71" i="15"/>
  <c r="D61" i="15"/>
  <c r="AO42" i="15"/>
  <c r="AN104" i="15"/>
  <c r="AN120" i="15"/>
  <c r="AN121" i="15"/>
  <c r="AS206" i="15"/>
  <c r="AS460" i="15"/>
  <c r="AV206" i="15"/>
  <c r="AV262" i="15"/>
  <c r="M203" i="15"/>
  <c r="M427" i="15"/>
  <c r="M446" i="15"/>
  <c r="M106" i="15"/>
  <c r="M328" i="15"/>
  <c r="M425" i="15"/>
  <c r="M107" i="15"/>
  <c r="M329" i="15"/>
  <c r="AM61" i="15"/>
  <c r="AM67" i="15"/>
  <c r="AM69" i="15"/>
  <c r="AM71" i="15"/>
  <c r="BS107" i="15"/>
  <c r="H446" i="15"/>
  <c r="CC119" i="15"/>
  <c r="CC121" i="15"/>
  <c r="CC125" i="15"/>
  <c r="AA107" i="15"/>
  <c r="AA329" i="15"/>
  <c r="BW54" i="15"/>
  <c r="BW57" i="15"/>
  <c r="BW59" i="15"/>
  <c r="BW67" i="15"/>
  <c r="BW69" i="15"/>
  <c r="BW71" i="15"/>
  <c r="J67" i="15"/>
  <c r="J69" i="15"/>
  <c r="J71" i="15"/>
  <c r="AA425" i="15"/>
  <c r="BD405" i="15"/>
  <c r="BD341" i="15"/>
  <c r="AA391" i="15"/>
  <c r="BD413" i="15"/>
  <c r="BD349" i="15"/>
  <c r="BI61" i="15"/>
  <c r="Z260" i="15"/>
  <c r="BH83" i="15"/>
  <c r="Z358" i="15"/>
  <c r="Z423" i="15"/>
  <c r="AS180" i="15"/>
  <c r="AS99" i="15"/>
  <c r="AR184" i="15"/>
  <c r="AR192" i="15" s="1"/>
  <c r="I414" i="15"/>
  <c r="I411" i="15"/>
  <c r="Y29" i="15"/>
  <c r="Y92" i="15" s="1"/>
  <c r="Y93" i="15"/>
  <c r="X542" i="15"/>
  <c r="X131" i="15"/>
  <c r="X53" i="15"/>
  <c r="X54" i="15"/>
  <c r="AE414" i="15"/>
  <c r="AF149" i="15"/>
  <c r="AF414" i="15"/>
  <c r="AE350" i="15"/>
  <c r="AA54" i="15"/>
  <c r="AA57" i="15"/>
  <c r="AA59" i="15"/>
  <c r="AB13" i="15"/>
  <c r="AB18" i="15"/>
  <c r="AB22" i="15"/>
  <c r="Z422" i="15"/>
  <c r="BO152" i="15"/>
  <c r="BO194" i="15" s="1"/>
  <c r="BO196" i="15" s="1"/>
  <c r="R106" i="15"/>
  <c r="R328" i="15"/>
  <c r="R425" i="15"/>
  <c r="E449" i="15"/>
  <c r="E450" i="15"/>
  <c r="L67" i="15"/>
  <c r="L69" i="15"/>
  <c r="L71" i="15"/>
  <c r="L61" i="15"/>
  <c r="AL560" i="15"/>
  <c r="AL47" i="15"/>
  <c r="AL49" i="15"/>
  <c r="AL119" i="15"/>
  <c r="AL121" i="15"/>
  <c r="AL123" i="15"/>
  <c r="U206" i="15"/>
  <c r="U460" i="15"/>
  <c r="X206" i="15"/>
  <c r="BL206" i="15"/>
  <c r="W206" i="15"/>
  <c r="W460" i="15"/>
  <c r="V206" i="15"/>
  <c r="V262" i="15"/>
  <c r="V265" i="15"/>
  <c r="X497" i="15"/>
  <c r="Y497" i="15"/>
  <c r="Z282" i="15"/>
  <c r="AJ501" i="15"/>
  <c r="AI512" i="15"/>
  <c r="AK346" i="15"/>
  <c r="AK410" i="15"/>
  <c r="AP400" i="15"/>
  <c r="BW400" i="15"/>
  <c r="AP336" i="15"/>
  <c r="V67" i="15"/>
  <c r="V69" i="15"/>
  <c r="V71" i="15"/>
  <c r="V61" i="15"/>
  <c r="BT407" i="15"/>
  <c r="BU407" i="15"/>
  <c r="BP24" i="15"/>
  <c r="BP26" i="15"/>
  <c r="BP85" i="15"/>
  <c r="BP86" i="15"/>
  <c r="BT467" i="15"/>
  <c r="BD286" i="15"/>
  <c r="Y238" i="15"/>
  <c r="Y55" i="15"/>
  <c r="O203" i="15"/>
  <c r="O310" i="15"/>
  <c r="O378" i="15"/>
  <c r="O107" i="15"/>
  <c r="O329" i="15"/>
  <c r="O327" i="15"/>
  <c r="AA206" i="15"/>
  <c r="AA262" i="15"/>
  <c r="AA264" i="15"/>
  <c r="AA468" i="15"/>
  <c r="Y206" i="15"/>
  <c r="C363" i="15"/>
  <c r="C431" i="15"/>
  <c r="C440" i="15"/>
  <c r="C264" i="15"/>
  <c r="C468" i="15"/>
  <c r="AS343" i="15"/>
  <c r="AS407" i="15"/>
  <c r="AW207" i="15"/>
  <c r="AW461" i="15"/>
  <c r="AY207" i="15"/>
  <c r="AY461" i="15"/>
  <c r="AX207" i="15"/>
  <c r="AX461" i="15"/>
  <c r="AZ207" i="15"/>
  <c r="AZ461" i="15"/>
  <c r="AW402" i="15"/>
  <c r="AW338" i="15"/>
  <c r="X498" i="15"/>
  <c r="T408" i="15"/>
  <c r="AR52" i="15"/>
  <c r="AR54" i="15"/>
  <c r="AY254" i="15"/>
  <c r="BL400" i="15"/>
  <c r="K401" i="15"/>
  <c r="U479" i="15"/>
  <c r="O85" i="15"/>
  <c r="W148" i="15"/>
  <c r="V349" i="15"/>
  <c r="E135" i="15"/>
  <c r="U135" i="15"/>
  <c r="U400" i="15"/>
  <c r="F135" i="15"/>
  <c r="F400" i="15"/>
  <c r="Y236" i="15"/>
  <c r="CE391" i="15"/>
  <c r="BC388" i="15"/>
  <c r="BC389" i="15"/>
  <c r="AW182" i="15"/>
  <c r="AW184" i="15"/>
  <c r="AQ479" i="15"/>
  <c r="BV209" i="15"/>
  <c r="BV462" i="15"/>
  <c r="BU209" i="15"/>
  <c r="D389" i="17"/>
  <c r="D383" i="17"/>
  <c r="D400" i="17"/>
  <c r="D107" i="17"/>
  <c r="D69" i="17"/>
  <c r="D72" i="17"/>
  <c r="BD149" i="15"/>
  <c r="BE149" i="15"/>
  <c r="BE350" i="15"/>
  <c r="BC350" i="15"/>
  <c r="AV88" i="15"/>
  <c r="AW139" i="15"/>
  <c r="AW404" i="15"/>
  <c r="AV404" i="15"/>
  <c r="AV340" i="15"/>
  <c r="BD340" i="15"/>
  <c r="BD404" i="15"/>
  <c r="BD88" i="15"/>
  <c r="AZ340" i="15"/>
  <c r="AZ404" i="15"/>
  <c r="AZ88" i="15"/>
  <c r="BA139" i="15"/>
  <c r="BA209" i="15"/>
  <c r="BU462" i="15"/>
  <c r="AU88" i="15"/>
  <c r="BC404" i="15"/>
  <c r="BV88" i="15"/>
  <c r="AU404" i="15"/>
  <c r="BC340" i="15"/>
  <c r="BU88" i="15"/>
  <c r="AU340" i="15"/>
  <c r="AY88" i="15"/>
  <c r="BC88" i="15"/>
  <c r="BW209" i="15"/>
  <c r="BW462" i="15"/>
  <c r="AY340" i="15"/>
  <c r="AY404" i="15"/>
  <c r="AL97" i="15"/>
  <c r="AL96" i="15"/>
  <c r="AL571" i="15"/>
  <c r="AL562" i="15"/>
  <c r="Z83" i="15"/>
  <c r="Z465" i="15"/>
  <c r="Z286" i="15"/>
  <c r="Z265" i="15"/>
  <c r="Z367" i="15"/>
  <c r="Z435" i="15"/>
  <c r="BA456" i="15"/>
  <c r="AY393" i="15"/>
  <c r="AW571" i="15"/>
  <c r="U462" i="15"/>
  <c r="AY422" i="15"/>
  <c r="AY357" i="15"/>
  <c r="AY292" i="15"/>
  <c r="AY259" i="15"/>
  <c r="AY264" i="15"/>
  <c r="AY467" i="15"/>
  <c r="AY282" i="15"/>
  <c r="W262" i="15"/>
  <c r="W264" i="15"/>
  <c r="AN60" i="15"/>
  <c r="AN61" i="15"/>
  <c r="AN89" i="15"/>
  <c r="AO104" i="15"/>
  <c r="AO89" i="15"/>
  <c r="AW49" i="15"/>
  <c r="AW159" i="15"/>
  <c r="AW97" i="15"/>
  <c r="BL462" i="15"/>
  <c r="AJ504" i="15"/>
  <c r="AJ547" i="15"/>
  <c r="AJ550" i="15"/>
  <c r="BL262" i="15"/>
  <c r="BL460" i="15"/>
  <c r="Y31" i="15"/>
  <c r="Y519" i="15"/>
  <c r="Y53" i="15"/>
  <c r="Y54" i="15"/>
  <c r="Y57" i="15"/>
  <c r="Y131" i="15"/>
  <c r="AO44" i="15"/>
  <c r="AO45" i="15"/>
  <c r="AO47" i="15"/>
  <c r="AO97" i="15"/>
  <c r="AL462" i="15"/>
  <c r="X262" i="15"/>
  <c r="X265" i="15"/>
  <c r="X460" i="15"/>
  <c r="AB103" i="15"/>
  <c r="AB105" i="15"/>
  <c r="AB559" i="15"/>
  <c r="AB81" i="15"/>
  <c r="BC456" i="15"/>
  <c r="F336" i="15"/>
  <c r="Y135" i="15"/>
  <c r="Y262" i="15"/>
  <c r="Y265" i="15"/>
  <c r="Y466" i="15"/>
  <c r="Y460" i="15"/>
  <c r="Z295" i="15"/>
  <c r="Z297" i="15"/>
  <c r="AG149" i="15"/>
  <c r="AG414" i="15"/>
  <c r="AF350" i="15"/>
  <c r="AA393" i="15"/>
  <c r="AO468" i="15"/>
  <c r="E336" i="15"/>
  <c r="C366" i="15"/>
  <c r="C434" i="15"/>
  <c r="C443" i="15"/>
  <c r="AL122" i="15"/>
  <c r="M310" i="15"/>
  <c r="M378" i="15"/>
  <c r="M311" i="15"/>
  <c r="M379" i="15"/>
  <c r="BD234" i="15"/>
  <c r="BB456" i="15"/>
  <c r="AD345" i="15"/>
  <c r="BD350" i="15"/>
  <c r="BD414" i="15"/>
  <c r="AW340" i="15"/>
  <c r="AZ209" i="15"/>
  <c r="AZ462" i="15"/>
  <c r="AW88" i="15"/>
  <c r="AY209" i="15"/>
  <c r="AY462" i="15"/>
  <c r="Y264" i="15"/>
  <c r="Y366" i="15"/>
  <c r="Y434" i="15"/>
  <c r="AB106" i="15"/>
  <c r="AB328" i="15"/>
  <c r="AY285" i="15"/>
  <c r="V264" i="15"/>
  <c r="V366" i="15"/>
  <c r="V434" i="15"/>
  <c r="AW177" i="15"/>
  <c r="AB86" i="15"/>
  <c r="AO105" i="15"/>
  <c r="AO391" i="15"/>
  <c r="AL159" i="15"/>
  <c r="AL177" i="15"/>
  <c r="AL192" i="15"/>
  <c r="U336" i="15"/>
  <c r="X264" i="15"/>
  <c r="X366" i="15"/>
  <c r="X434" i="15"/>
  <c r="Y39" i="15"/>
  <c r="Y525" i="15"/>
  <c r="AY295" i="15"/>
  <c r="AY297" i="15"/>
  <c r="Y468" i="15"/>
  <c r="D1090" i="17"/>
  <c r="D278" i="17"/>
  <c r="D373" i="17"/>
  <c r="D281" i="17"/>
  <c r="D1615" i="17"/>
  <c r="C696" i="17"/>
  <c r="C1257" i="17"/>
  <c r="J1247" i="17"/>
  <c r="C692" i="17"/>
  <c r="D1579" i="17"/>
  <c r="D393" i="17"/>
  <c r="D416" i="17"/>
  <c r="D417" i="17"/>
  <c r="D1521" i="17"/>
  <c r="C1581" i="17"/>
  <c r="C1592" i="17"/>
  <c r="D475" i="17"/>
  <c r="D423" i="17"/>
  <c r="D453" i="17"/>
  <c r="D1043" i="17"/>
  <c r="D425" i="17"/>
  <c r="D478" i="17"/>
  <c r="D1040" i="17"/>
  <c r="D1052" i="17"/>
  <c r="C1079" i="17"/>
  <c r="C1081" i="17"/>
  <c r="D1038" i="17"/>
  <c r="C1082" i="17"/>
  <c r="D1041" i="17"/>
  <c r="D1045" i="17"/>
  <c r="D1039" i="17"/>
  <c r="C1078" i="17"/>
  <c r="D1044" i="17"/>
  <c r="D1046" i="17"/>
  <c r="C1083" i="17"/>
  <c r="K1039" i="17"/>
  <c r="K489" i="17"/>
  <c r="D1340" i="17"/>
  <c r="D1341" i="17"/>
  <c r="D488" i="17"/>
  <c r="D1344" i="17"/>
  <c r="D1315" i="17"/>
  <c r="D1314" i="17"/>
  <c r="D1303" i="17"/>
  <c r="D590" i="17"/>
  <c r="D1585" i="17"/>
  <c r="D1573" i="17"/>
  <c r="D1574" i="17"/>
  <c r="D1196" i="17"/>
  <c r="D1613" i="17"/>
  <c r="D1576" i="17"/>
  <c r="D1577" i="17"/>
  <c r="D1612" i="17"/>
  <c r="D1571" i="17"/>
  <c r="D1578" i="17"/>
  <c r="C640" i="17"/>
  <c r="D1610" i="17"/>
  <c r="D1572" i="17"/>
  <c r="D1195" i="17"/>
  <c r="D987" i="17"/>
  <c r="C641" i="17"/>
  <c r="D603" i="17"/>
  <c r="D1611" i="17"/>
  <c r="D1247" i="17"/>
  <c r="C1134" i="17"/>
  <c r="D183" i="17"/>
  <c r="D206" i="17"/>
  <c r="D207" i="17"/>
  <c r="D549" i="17"/>
  <c r="D1291" i="17"/>
  <c r="D1502" i="17"/>
  <c r="J1571" i="17"/>
  <c r="C825" i="17"/>
  <c r="D1106" i="17"/>
  <c r="C182" i="17"/>
  <c r="C194" i="17"/>
  <c r="D427" i="17"/>
  <c r="D1290" i="17"/>
  <c r="D1092" i="17"/>
  <c r="D1464" i="17"/>
  <c r="D1093" i="17"/>
  <c r="D1096" i="17"/>
  <c r="C1130" i="17"/>
  <c r="D159" i="17"/>
  <c r="D119" i="17"/>
  <c r="D1157" i="17"/>
  <c r="C1549" i="17"/>
  <c r="C1550" i="17"/>
  <c r="D1183" i="17"/>
  <c r="D332" i="17"/>
  <c r="D928" i="17"/>
  <c r="D126" i="17"/>
  <c r="D1237" i="17"/>
  <c r="D1156" i="17"/>
  <c r="D161" i="17"/>
  <c r="D1186" i="17"/>
  <c r="D121" i="17"/>
  <c r="D229" i="17"/>
  <c r="Q128" i="19"/>
  <c r="Q129" i="19"/>
  <c r="P413" i="15"/>
  <c r="P408" i="15"/>
  <c r="P388" i="15"/>
  <c r="P389" i="15"/>
  <c r="P402" i="15"/>
  <c r="P405" i="15"/>
  <c r="P407" i="15"/>
  <c r="P282" i="15"/>
  <c r="P404" i="15"/>
  <c r="BE139" i="15"/>
  <c r="P340" i="15"/>
  <c r="P88" i="15"/>
  <c r="BE523" i="15"/>
  <c r="BE522" i="15"/>
  <c r="P234" i="15"/>
  <c r="AD115" i="19"/>
  <c r="AQ124" i="19"/>
  <c r="AL161" i="19"/>
  <c r="BT128" i="19"/>
  <c r="BT129" i="19"/>
  <c r="X111" i="19"/>
  <c r="AS60" i="19"/>
  <c r="BC118" i="19"/>
  <c r="AY486" i="15"/>
  <c r="AY509" i="15"/>
  <c r="G128" i="19"/>
  <c r="G129" i="19"/>
  <c r="Y122" i="19"/>
  <c r="Z122" i="19"/>
  <c r="AH135" i="19"/>
  <c r="AH161" i="19"/>
  <c r="AB123" i="19"/>
  <c r="AS150" i="19"/>
  <c r="AE116" i="19"/>
  <c r="AR134" i="19"/>
  <c r="AV116" i="19"/>
  <c r="BA490" i="15"/>
  <c r="BA513" i="15"/>
  <c r="O513" i="15"/>
  <c r="AI116" i="19"/>
  <c r="AJ116" i="19"/>
  <c r="AR120" i="19"/>
  <c r="AS120" i="19"/>
  <c r="AH136" i="19"/>
  <c r="AH145" i="19" s="1"/>
  <c r="AH146" i="19" s="1"/>
  <c r="BO145" i="19"/>
  <c r="BO146" i="19"/>
  <c r="AL485" i="15"/>
  <c r="K489" i="15"/>
  <c r="AO125" i="19"/>
  <c r="AY125" i="19"/>
  <c r="AU489" i="15"/>
  <c r="AU512" i="15"/>
  <c r="AT489" i="15"/>
  <c r="AT512" i="15"/>
  <c r="BC136" i="19"/>
  <c r="AI121" i="19"/>
  <c r="AJ121" i="19"/>
  <c r="AF128" i="19"/>
  <c r="AF129" i="19"/>
  <c r="AV120" i="19"/>
  <c r="BA151" i="19"/>
  <c r="AZ134" i="19"/>
  <c r="AT486" i="15"/>
  <c r="AT509" i="15"/>
  <c r="AY118" i="19"/>
  <c r="U113" i="19"/>
  <c r="V113" i="19"/>
  <c r="Y114" i="19"/>
  <c r="Z114" i="19"/>
  <c r="BW485" i="15"/>
  <c r="BW508" i="15"/>
  <c r="AX486" i="15"/>
  <c r="AX509" i="15"/>
  <c r="BE346" i="15"/>
  <c r="P213" i="15"/>
  <c r="P220" i="15"/>
  <c r="P505" i="15"/>
  <c r="P547" i="15"/>
  <c r="P559" i="15"/>
  <c r="P202" i="15"/>
  <c r="P22" i="15"/>
  <c r="P103" i="15"/>
  <c r="P105" i="15"/>
  <c r="P81" i="15"/>
  <c r="P292" i="15"/>
  <c r="P422" i="15"/>
  <c r="P135" i="15"/>
  <c r="P255" i="15"/>
  <c r="P401" i="15"/>
  <c r="P456" i="15"/>
  <c r="P411" i="15"/>
  <c r="P548" i="15"/>
  <c r="P412" i="15"/>
  <c r="P131" i="15"/>
  <c r="P406" i="15"/>
  <c r="P414" i="15"/>
  <c r="P31" i="15"/>
  <c r="P94" i="15"/>
  <c r="X466" i="15"/>
  <c r="X367" i="15"/>
  <c r="X435" i="15"/>
  <c r="BV391" i="15"/>
  <c r="BV393" i="15"/>
  <c r="AO393" i="15"/>
  <c r="Z466" i="15"/>
  <c r="Y45" i="15"/>
  <c r="BW61" i="15"/>
  <c r="AV460" i="15"/>
  <c r="V460" i="15"/>
  <c r="Z364" i="15"/>
  <c r="Z432" i="15"/>
  <c r="Y367" i="15"/>
  <c r="Y435" i="15"/>
  <c r="X148" i="15"/>
  <c r="W349" i="15"/>
  <c r="K403" i="15"/>
  <c r="K409" i="15"/>
  <c r="AB562" i="15"/>
  <c r="V468" i="15"/>
  <c r="X504" i="15"/>
  <c r="AA366" i="15"/>
  <c r="AA434" i="15"/>
  <c r="U262" i="15"/>
  <c r="W413" i="15"/>
  <c r="BO413" i="15"/>
  <c r="AO60" i="15"/>
  <c r="O311" i="15"/>
  <c r="O379" i="15"/>
  <c r="AC13" i="15"/>
  <c r="AO120" i="15"/>
  <c r="AO58" i="15"/>
  <c r="AO59" i="15"/>
  <c r="AW122" i="15"/>
  <c r="AS123" i="15"/>
  <c r="AS125" i="15"/>
  <c r="K397" i="15"/>
  <c r="AO425" i="15"/>
  <c r="AO107" i="15"/>
  <c r="AO329" i="15"/>
  <c r="AO327" i="15"/>
  <c r="AB107" i="15"/>
  <c r="AB329" i="15"/>
  <c r="AB425" i="15"/>
  <c r="BD209" i="15"/>
  <c r="BD462" i="15"/>
  <c r="K339" i="15"/>
  <c r="AI532" i="15"/>
  <c r="AI533" i="15"/>
  <c r="X73" i="15"/>
  <c r="K116" i="15"/>
  <c r="AF119" i="15"/>
  <c r="AF121" i="15"/>
  <c r="AP116" i="15"/>
  <c r="AP529" i="15"/>
  <c r="AP134" i="15"/>
  <c r="X127" i="15"/>
  <c r="X109" i="15"/>
  <c r="BU111" i="15"/>
  <c r="BU113" i="15"/>
  <c r="AE144" i="15"/>
  <c r="AE150" i="15"/>
  <c r="AP331" i="15"/>
  <c r="AP127" i="15"/>
  <c r="AC465" i="15"/>
  <c r="K450" i="15"/>
  <c r="AO550" i="15"/>
  <c r="K111" i="15"/>
  <c r="K333" i="15"/>
  <c r="K110" i="15"/>
  <c r="K332" i="15"/>
  <c r="K204" i="15"/>
  <c r="K113" i="15"/>
  <c r="K205" i="15"/>
  <c r="O97" i="15"/>
  <c r="O49" i="15"/>
  <c r="U83" i="15"/>
  <c r="U286" i="15"/>
  <c r="U465" i="15"/>
  <c r="X96" i="15"/>
  <c r="X97" i="15"/>
  <c r="AI399" i="15"/>
  <c r="AI403" i="15"/>
  <c r="AI409" i="15"/>
  <c r="AI415" i="15"/>
  <c r="AI335" i="15"/>
  <c r="AD396" i="15"/>
  <c r="AB96" i="15"/>
  <c r="AB49" i="15"/>
  <c r="W159" i="15"/>
  <c r="W177" i="15"/>
  <c r="W97" i="15"/>
  <c r="BQ134" i="15"/>
  <c r="F109" i="15"/>
  <c r="K223" i="15"/>
  <c r="X391" i="15"/>
  <c r="X393" i="15"/>
  <c r="W96" i="15"/>
  <c r="X107" i="15"/>
  <c r="X329" i="15"/>
  <c r="J529" i="15"/>
  <c r="J204" i="15"/>
  <c r="AS562" i="15"/>
  <c r="BR125" i="15"/>
  <c r="BR123" i="15"/>
  <c r="BQ127" i="15"/>
  <c r="BQ530" i="15"/>
  <c r="BQ536" i="15"/>
  <c r="O392" i="15"/>
  <c r="AM391" i="15"/>
  <c r="AM393" i="15"/>
  <c r="AM107" i="15"/>
  <c r="AM425" i="15"/>
  <c r="AV202" i="15"/>
  <c r="AE25" i="15"/>
  <c r="AQ209" i="15"/>
  <c r="AQ462" i="15"/>
  <c r="AP209" i="15"/>
  <c r="AP462" i="15"/>
  <c r="AD106" i="15"/>
  <c r="AD328" i="15"/>
  <c r="BH106" i="15"/>
  <c r="AD203" i="15"/>
  <c r="AW318" i="15"/>
  <c r="AW363" i="15"/>
  <c r="AW431" i="15"/>
  <c r="BD99" i="15"/>
  <c r="BD93" i="15"/>
  <c r="BD131" i="15"/>
  <c r="BD542" i="15"/>
  <c r="BD53" i="15"/>
  <c r="BD54" i="15"/>
  <c r="BD100" i="15"/>
  <c r="K440" i="15"/>
  <c r="AU560" i="15"/>
  <c r="BC84" i="15"/>
  <c r="M525" i="15"/>
  <c r="M45" i="15"/>
  <c r="I505" i="15"/>
  <c r="I547" i="15"/>
  <c r="R86" i="15"/>
  <c r="R85" i="15"/>
  <c r="BB391" i="15"/>
  <c r="BB327" i="15"/>
  <c r="BB425" i="15"/>
  <c r="BB107" i="15"/>
  <c r="BB329" i="15"/>
  <c r="C283" i="15"/>
  <c r="BO255" i="15"/>
  <c r="W247" i="15"/>
  <c r="BJ55" i="15"/>
  <c r="BJ57" i="15"/>
  <c r="BJ76" i="15"/>
  <c r="BJ12" i="15"/>
  <c r="AV341" i="15"/>
  <c r="AW140" i="15"/>
  <c r="AV405" i="15"/>
  <c r="AG120" i="15"/>
  <c r="BK23" i="15"/>
  <c r="AC23" i="15"/>
  <c r="BA14" i="15"/>
  <c r="AZ77" i="15"/>
  <c r="BD58" i="15"/>
  <c r="BD77" i="15"/>
  <c r="BE130" i="15"/>
  <c r="BE84" i="15"/>
  <c r="T209" i="15"/>
  <c r="T462" i="15"/>
  <c r="Y344" i="15"/>
  <c r="Y408" i="15"/>
  <c r="BU213" i="15"/>
  <c r="BU220" i="15"/>
  <c r="BU554" i="15"/>
  <c r="BU566" i="15"/>
  <c r="AK15" i="15"/>
  <c r="AJ78" i="15"/>
  <c r="BE404" i="15"/>
  <c r="BE340" i="15"/>
  <c r="S45" i="15"/>
  <c r="S119" i="15"/>
  <c r="S121" i="15"/>
  <c r="S525" i="15"/>
  <c r="BJ94" i="15"/>
  <c r="BJ44" i="15"/>
  <c r="BJ58" i="15"/>
  <c r="AL391" i="15"/>
  <c r="AL425" i="15"/>
  <c r="AL327" i="15"/>
  <c r="I391" i="15"/>
  <c r="U346" i="15"/>
  <c r="BS67" i="15"/>
  <c r="BS69" i="15"/>
  <c r="BS71" i="15"/>
  <c r="BE62" i="15"/>
  <c r="BE66" i="15"/>
  <c r="T62" i="15"/>
  <c r="T66" i="15"/>
  <c r="AE285" i="15"/>
  <c r="AE282" i="15"/>
  <c r="AE295" i="15"/>
  <c r="AE297" i="15"/>
  <c r="BW282" i="15"/>
  <c r="BW295" i="15"/>
  <c r="BW297" i="15"/>
  <c r="BW467" i="15"/>
  <c r="BW259" i="15"/>
  <c r="BW292" i="15"/>
  <c r="V364" i="15"/>
  <c r="V432" i="15"/>
  <c r="V286" i="15"/>
  <c r="V465" i="15"/>
  <c r="BW39" i="15"/>
  <c r="BW519" i="15"/>
  <c r="BL47" i="15"/>
  <c r="BL560" i="15"/>
  <c r="BL119" i="15"/>
  <c r="BL121" i="15"/>
  <c r="BL123" i="15"/>
  <c r="AA39" i="15"/>
  <c r="AA520" i="15"/>
  <c r="AZ402" i="15"/>
  <c r="BA137" i="15"/>
  <c r="AZ338" i="15"/>
  <c r="E553" i="15"/>
  <c r="E550" i="15"/>
  <c r="AI350" i="15"/>
  <c r="AJ149" i="15"/>
  <c r="AJ364" i="15"/>
  <c r="AJ432" i="15"/>
  <c r="AJ465" i="15"/>
  <c r="AJ286" i="15"/>
  <c r="AJ83" i="15"/>
  <c r="I525" i="15"/>
  <c r="I45" i="15"/>
  <c r="U68" i="15"/>
  <c r="Y104" i="15"/>
  <c r="X89" i="15"/>
  <c r="AP259" i="15"/>
  <c r="AP467" i="15"/>
  <c r="Z391" i="15"/>
  <c r="Z327" i="15"/>
  <c r="Z425" i="15"/>
  <c r="Z106" i="15"/>
  <c r="Z328" i="15"/>
  <c r="AP511" i="15"/>
  <c r="AE363" i="15"/>
  <c r="AE431" i="15"/>
  <c r="BQ431" i="15"/>
  <c r="AE318" i="15"/>
  <c r="AE264" i="15"/>
  <c r="BA346" i="15"/>
  <c r="BA410" i="15"/>
  <c r="H327" i="15"/>
  <c r="H391" i="15"/>
  <c r="I392" i="15" s="1"/>
  <c r="H393" i="15"/>
  <c r="H203" i="15"/>
  <c r="H106" i="15"/>
  <c r="H328" i="15"/>
  <c r="H107" i="15"/>
  <c r="H329" i="15"/>
  <c r="AC37" i="15"/>
  <c r="AB521" i="15"/>
  <c r="BK37" i="15"/>
  <c r="BK131" i="15"/>
  <c r="AW94" i="15"/>
  <c r="AN206" i="15"/>
  <c r="AN460" i="15"/>
  <c r="AK114" i="15"/>
  <c r="AM206" i="15"/>
  <c r="W57" i="15"/>
  <c r="W59" i="15"/>
  <c r="BJ93" i="15"/>
  <c r="BJ131" i="15"/>
  <c r="BZ525" i="15"/>
  <c r="BZ45" i="15"/>
  <c r="AB184" i="15"/>
  <c r="BK182" i="15"/>
  <c r="BK184" i="15"/>
  <c r="AC182" i="15"/>
  <c r="AC184" i="15"/>
  <c r="BR103" i="15"/>
  <c r="BR105" i="15"/>
  <c r="BR202" i="15"/>
  <c r="BR81" i="15"/>
  <c r="BR559" i="15"/>
  <c r="T31" i="15"/>
  <c r="U29" i="15"/>
  <c r="BU505" i="15"/>
  <c r="BU506" i="15"/>
  <c r="BU547" i="15"/>
  <c r="BA17" i="15"/>
  <c r="AZ80" i="15"/>
  <c r="BO292" i="15"/>
  <c r="BO467" i="15"/>
  <c r="BO259" i="15"/>
  <c r="BO301" i="15"/>
  <c r="BO437" i="15"/>
  <c r="AL357" i="15"/>
  <c r="AL422" i="15"/>
  <c r="AL282" i="15"/>
  <c r="AL295" i="15"/>
  <c r="AL297" i="15"/>
  <c r="AL467" i="15"/>
  <c r="H47" i="15"/>
  <c r="H119" i="15"/>
  <c r="H121" i="15"/>
  <c r="G310" i="15"/>
  <c r="G378" i="15"/>
  <c r="F67" i="15"/>
  <c r="F69" i="15"/>
  <c r="F71" i="15"/>
  <c r="C449" i="15"/>
  <c r="BE524" i="15"/>
  <c r="BE95" i="15"/>
  <c r="BA68" i="15"/>
  <c r="BE34" i="15"/>
  <c r="BE520" i="15"/>
  <c r="U171" i="15"/>
  <c r="U17" i="15"/>
  <c r="BE80" i="15"/>
  <c r="BE338" i="15"/>
  <c r="AW20" i="15"/>
  <c r="BE207" i="15"/>
  <c r="BE461" i="15"/>
  <c r="AB93" i="15"/>
  <c r="Z292" i="15"/>
  <c r="BJ34" i="15"/>
  <c r="BJ39" i="15"/>
  <c r="BJ45" i="15"/>
  <c r="K413" i="15"/>
  <c r="K415" i="15"/>
  <c r="U499" i="15"/>
  <c r="AC143" i="15"/>
  <c r="D1287" i="17"/>
  <c r="AJ283" i="15"/>
  <c r="C1167" i="17"/>
  <c r="U46" i="15"/>
  <c r="AC20" i="15"/>
  <c r="BK20" i="15"/>
  <c r="BE12" i="15"/>
  <c r="BE18" i="15"/>
  <c r="BE388" i="15"/>
  <c r="BE389" i="15"/>
  <c r="BE237" i="15"/>
  <c r="T407" i="15"/>
  <c r="D103" i="15"/>
  <c r="D105" i="15"/>
  <c r="D525" i="15"/>
  <c r="D45" i="15"/>
  <c r="BE337" i="15"/>
  <c r="U498" i="15"/>
  <c r="U182" i="15"/>
  <c r="U184" i="15"/>
  <c r="U173" i="15"/>
  <c r="BW412" i="15"/>
  <c r="AU54" i="15"/>
  <c r="U43" i="15"/>
  <c r="U44" i="15"/>
  <c r="D449" i="15"/>
  <c r="BE55" i="15"/>
  <c r="BE236" i="15"/>
  <c r="BE76" i="15"/>
  <c r="BE190" i="15"/>
  <c r="AJ410" i="15"/>
  <c r="U143" i="15"/>
  <c r="X238" i="15"/>
  <c r="BR410" i="15"/>
  <c r="BE405" i="15"/>
  <c r="Y278" i="15"/>
  <c r="U162" i="15"/>
  <c r="AL54" i="15"/>
  <c r="BA190" i="15"/>
  <c r="BD190" i="15"/>
  <c r="BE279" i="15"/>
  <c r="BO279" i="15"/>
  <c r="U175" i="15"/>
  <c r="AI99" i="15"/>
  <c r="AQ68" i="15"/>
  <c r="AS68" i="15"/>
  <c r="M254" i="15"/>
  <c r="BE255" i="15"/>
  <c r="BE423" i="15"/>
  <c r="BI139" i="15"/>
  <c r="BV504" i="15"/>
  <c r="BO515" i="15"/>
  <c r="BO516" i="15"/>
  <c r="AA479" i="15"/>
  <c r="C54" i="15"/>
  <c r="C57" i="15"/>
  <c r="C59" i="15"/>
  <c r="BU510" i="15"/>
  <c r="BE548" i="15"/>
  <c r="BE184" i="15"/>
  <c r="BD34" i="15"/>
  <c r="BE120" i="15"/>
  <c r="BE56" i="15"/>
  <c r="BE406" i="15"/>
  <c r="BE58" i="15"/>
  <c r="BE341" i="15"/>
  <c r="BE201" i="15"/>
  <c r="BE234" i="15"/>
  <c r="BE209" i="15"/>
  <c r="BE462" i="15"/>
  <c r="BE238" i="15"/>
  <c r="BE283" i="15"/>
  <c r="BE324" i="15"/>
  <c r="BE9" i="15"/>
  <c r="BE52" i="15"/>
  <c r="BE79" i="15"/>
  <c r="BE88" i="15"/>
  <c r="BE252" i="15"/>
  <c r="BE464" i="15"/>
  <c r="BE402" i="15"/>
  <c r="BE410" i="15"/>
  <c r="BE420" i="15"/>
  <c r="BE44" i="15"/>
  <c r="BE89" i="15"/>
  <c r="AV125" i="15"/>
  <c r="AV123" i="15"/>
  <c r="AV122" i="15"/>
  <c r="AJ425" i="15"/>
  <c r="AJ391" i="15"/>
  <c r="AJ107" i="15"/>
  <c r="AJ329" i="15"/>
  <c r="AJ327" i="15"/>
  <c r="AJ106" i="15"/>
  <c r="AJ328" i="15"/>
  <c r="AA67" i="15"/>
  <c r="AA69" i="15"/>
  <c r="AA71" i="15"/>
  <c r="AA61" i="15"/>
  <c r="AO96" i="15"/>
  <c r="BL264" i="15"/>
  <c r="BL265" i="15"/>
  <c r="AR57" i="15"/>
  <c r="AR59" i="15"/>
  <c r="BA462" i="15"/>
  <c r="AV265" i="15"/>
  <c r="AV264" i="15"/>
  <c r="BB209" i="15"/>
  <c r="AD415" i="15"/>
  <c r="BV310" i="15"/>
  <c r="AG350" i="15"/>
  <c r="BA404" i="15"/>
  <c r="BC209" i="15"/>
  <c r="BA88" i="15"/>
  <c r="BA340" i="15"/>
  <c r="X554" i="15"/>
  <c r="X566" i="15"/>
  <c r="X536" i="15"/>
  <c r="AD151" i="15"/>
  <c r="AY318" i="15"/>
  <c r="AY363" i="15"/>
  <c r="AY431" i="15"/>
  <c r="Y100" i="15"/>
  <c r="Y94" i="15"/>
  <c r="Y542" i="15"/>
  <c r="AA265" i="15"/>
  <c r="AW192" i="15"/>
  <c r="E400" i="15"/>
  <c r="E403" i="15"/>
  <c r="E409" i="15"/>
  <c r="AW209" i="15"/>
  <c r="AS262" i="15"/>
  <c r="Y498" i="15"/>
  <c r="AS49" i="15"/>
  <c r="AS97" i="15"/>
  <c r="AS96" i="15"/>
  <c r="AE345" i="15"/>
  <c r="Z345" i="15"/>
  <c r="Z150" i="15"/>
  <c r="R426" i="15"/>
  <c r="K210" i="15"/>
  <c r="K463" i="15"/>
  <c r="K150" i="15"/>
  <c r="K437" i="15"/>
  <c r="Z339" i="15"/>
  <c r="AE335" i="15"/>
  <c r="AE399" i="15"/>
  <c r="O217" i="15"/>
  <c r="O159" i="15"/>
  <c r="O177" i="15"/>
  <c r="O192" i="15"/>
  <c r="BT159" i="15"/>
  <c r="BT177" i="15"/>
  <c r="BT192" i="15"/>
  <c r="AI111" i="15"/>
  <c r="AI333" i="15"/>
  <c r="AI331" i="15"/>
  <c r="AI110" i="15"/>
  <c r="AI332" i="15"/>
  <c r="AI395" i="15"/>
  <c r="G458" i="15"/>
  <c r="G361" i="15"/>
  <c r="AG24" i="15"/>
  <c r="AG85" i="15"/>
  <c r="AN560" i="15"/>
  <c r="AN47" i="15"/>
  <c r="AQ530" i="15"/>
  <c r="AQ536" i="15"/>
  <c r="AQ122" i="15"/>
  <c r="AQ123" i="15"/>
  <c r="W392" i="15"/>
  <c r="S393" i="15"/>
  <c r="BU126" i="15"/>
  <c r="BT530" i="15"/>
  <c r="BT536" i="15"/>
  <c r="BT109" i="15"/>
  <c r="BI122" i="15"/>
  <c r="W125" i="15"/>
  <c r="X123" i="15"/>
  <c r="AY203" i="15"/>
  <c r="AW327" i="15"/>
  <c r="AW107" i="15"/>
  <c r="AW329" i="15"/>
  <c r="BQ535" i="15"/>
  <c r="BC47" i="15"/>
  <c r="BC49" i="15"/>
  <c r="BC560" i="15"/>
  <c r="AS525" i="15"/>
  <c r="BT123" i="15"/>
  <c r="AW61" i="15"/>
  <c r="AU391" i="15"/>
  <c r="AU327" i="15"/>
  <c r="AY106" i="15"/>
  <c r="AY328" i="15"/>
  <c r="AD535" i="15"/>
  <c r="BU122" i="15"/>
  <c r="AW525" i="15"/>
  <c r="J504" i="15"/>
  <c r="Y23" i="15"/>
  <c r="X68" i="15"/>
  <c r="Y68" i="15"/>
  <c r="E13" i="15"/>
  <c r="E18" i="15"/>
  <c r="AK23" i="15"/>
  <c r="AJ68" i="15"/>
  <c r="AK68" i="15"/>
  <c r="AK179" i="15"/>
  <c r="AK184" i="15"/>
  <c r="AJ184" i="15"/>
  <c r="AH125" i="15"/>
  <c r="M61" i="15"/>
  <c r="M67" i="15"/>
  <c r="M69" i="15"/>
  <c r="M71" i="15"/>
  <c r="AN411" i="15"/>
  <c r="AN347" i="15"/>
  <c r="AO146" i="15"/>
  <c r="AP67" i="15"/>
  <c r="AP69" i="15"/>
  <c r="AP71" i="15"/>
  <c r="AP61" i="15"/>
  <c r="J465" i="15"/>
  <c r="J364" i="15"/>
  <c r="J432" i="15"/>
  <c r="AK422" i="15"/>
  <c r="AK292" i="15"/>
  <c r="AU504" i="15"/>
  <c r="V45" i="15"/>
  <c r="V525" i="15"/>
  <c r="S560" i="15"/>
  <c r="S47" i="15"/>
  <c r="AN93" i="15"/>
  <c r="AN99" i="15"/>
  <c r="AN12" i="15"/>
  <c r="AF493" i="15"/>
  <c r="H447" i="15"/>
  <c r="S54" i="15"/>
  <c r="S57" i="15"/>
  <c r="S59" i="15"/>
  <c r="AW423" i="15"/>
  <c r="AW358" i="15"/>
  <c r="M327" i="15"/>
  <c r="M391" i="15"/>
  <c r="F388" i="15"/>
  <c r="F410" i="15"/>
  <c r="G381" i="15"/>
  <c r="F402" i="15"/>
  <c r="F406" i="15"/>
  <c r="F411" i="15"/>
  <c r="F404" i="15"/>
  <c r="F413" i="15"/>
  <c r="F427" i="15"/>
  <c r="F408" i="15"/>
  <c r="F405" i="15"/>
  <c r="N67" i="15"/>
  <c r="N69" i="15"/>
  <c r="N71" i="15"/>
  <c r="N61" i="15"/>
  <c r="AD123" i="15"/>
  <c r="N285" i="15"/>
  <c r="AK43" i="15"/>
  <c r="AJ44" i="15"/>
  <c r="AJ58" i="15"/>
  <c r="AJ59" i="15"/>
  <c r="AJ61" i="15"/>
  <c r="BV53" i="15"/>
  <c r="BV93" i="15"/>
  <c r="BV131" i="15"/>
  <c r="BV94" i="15"/>
  <c r="BV99" i="15"/>
  <c r="BV100" i="15"/>
  <c r="BV542" i="15"/>
  <c r="AY29" i="15"/>
  <c r="BV31" i="15"/>
  <c r="BV92" i="15"/>
  <c r="BA112" i="15"/>
  <c r="BB206" i="15"/>
  <c r="BA206" i="15"/>
  <c r="BA460" i="15"/>
  <c r="O255" i="15"/>
  <c r="O254" i="15"/>
  <c r="BA247" i="15"/>
  <c r="BW103" i="15"/>
  <c r="BW105" i="15"/>
  <c r="BW81" i="15"/>
  <c r="BW202" i="15"/>
  <c r="BW559" i="15"/>
  <c r="BW22" i="15"/>
  <c r="BD236" i="15"/>
  <c r="BD55" i="15"/>
  <c r="BD238" i="15"/>
  <c r="BD12" i="15"/>
  <c r="BP400" i="15"/>
  <c r="AO464" i="15"/>
  <c r="C880" i="17"/>
  <c r="J870" i="17"/>
  <c r="BD76" i="15"/>
  <c r="R532" i="15"/>
  <c r="BN533" i="15"/>
  <c r="BH119" i="15"/>
  <c r="BH121" i="15"/>
  <c r="BH560" i="15"/>
  <c r="AD214" i="15"/>
  <c r="AD221" i="15"/>
  <c r="AK29" i="15"/>
  <c r="AJ31" i="15"/>
  <c r="E59" i="15"/>
  <c r="BT103" i="15"/>
  <c r="BT105" i="15"/>
  <c r="BT107" i="15"/>
  <c r="BT22" i="15"/>
  <c r="BT202" i="15"/>
  <c r="BT559" i="15"/>
  <c r="AY114" i="15"/>
  <c r="BV402" i="15"/>
  <c r="BU402" i="15"/>
  <c r="BQ24" i="15"/>
  <c r="BQ86" i="15"/>
  <c r="BQ85" i="15"/>
  <c r="AG283" i="15"/>
  <c r="BR505" i="15"/>
  <c r="BR506" i="15"/>
  <c r="BR547" i="15"/>
  <c r="J107" i="15"/>
  <c r="J329" i="15"/>
  <c r="J427" i="15"/>
  <c r="J446" i="15"/>
  <c r="J425" i="15"/>
  <c r="J391" i="15"/>
  <c r="V207" i="15"/>
  <c r="V461" i="15"/>
  <c r="BL207" i="15"/>
  <c r="BL461" i="15"/>
  <c r="W207" i="15"/>
  <c r="W461" i="15"/>
  <c r="U338" i="15"/>
  <c r="U207" i="15"/>
  <c r="U461" i="15"/>
  <c r="U402" i="15"/>
  <c r="X207" i="15"/>
  <c r="X461" i="15"/>
  <c r="AW499" i="15"/>
  <c r="D85" i="15"/>
  <c r="D24" i="15"/>
  <c r="D265" i="15"/>
  <c r="AL85" i="15"/>
  <c r="AC149" i="15"/>
  <c r="AS524" i="15"/>
  <c r="AG412" i="15"/>
  <c r="BJ104" i="15"/>
  <c r="BJ89" i="15"/>
  <c r="E347" i="15"/>
  <c r="E411" i="15"/>
  <c r="Z346" i="15"/>
  <c r="Z410" i="15"/>
  <c r="E126" i="15"/>
  <c r="E216" i="15"/>
  <c r="E223" i="15"/>
  <c r="X180" i="15"/>
  <c r="W184" i="15"/>
  <c r="W192" i="15" s="1"/>
  <c r="BK30" i="15"/>
  <c r="AC30" i="15"/>
  <c r="J544" i="17"/>
  <c r="BW318" i="15"/>
  <c r="AL86" i="15"/>
  <c r="AL400" i="15"/>
  <c r="AL336" i="15"/>
  <c r="BP45" i="15"/>
  <c r="BP525" i="15"/>
  <c r="S248" i="15"/>
  <c r="BN247" i="15"/>
  <c r="BS408" i="15"/>
  <c r="R202" i="15"/>
  <c r="AH103" i="15"/>
  <c r="AH105" i="15"/>
  <c r="AH559" i="15"/>
  <c r="AW401" i="15"/>
  <c r="AW337" i="15"/>
  <c r="AC41" i="15"/>
  <c r="AC44" i="15"/>
  <c r="BK41" i="15"/>
  <c r="D302" i="15"/>
  <c r="D370" i="15"/>
  <c r="D358" i="15"/>
  <c r="D283" i="15"/>
  <c r="D423" i="15"/>
  <c r="D438" i="15"/>
  <c r="AG337" i="15"/>
  <c r="AG401" i="15"/>
  <c r="U104" i="15"/>
  <c r="T60" i="15"/>
  <c r="Z24" i="15"/>
  <c r="Z26" i="15"/>
  <c r="Z73" i="15"/>
  <c r="Z86" i="15"/>
  <c r="CE395" i="15"/>
  <c r="CE116" i="15"/>
  <c r="CE134" i="15"/>
  <c r="CE138" i="15"/>
  <c r="CE144" i="15"/>
  <c r="AQ89" i="15"/>
  <c r="AS104" i="15"/>
  <c r="C457" i="15"/>
  <c r="C360" i="15"/>
  <c r="D202" i="15"/>
  <c r="BB86" i="15"/>
  <c r="BB24" i="15"/>
  <c r="AQ53" i="15"/>
  <c r="AQ54" i="15"/>
  <c r="BT54" i="15"/>
  <c r="BW388" i="15"/>
  <c r="BW389" i="15"/>
  <c r="D1292" i="17"/>
  <c r="D1289" i="17"/>
  <c r="C302" i="15"/>
  <c r="C370" i="15"/>
  <c r="D1249" i="17"/>
  <c r="AT82" i="15"/>
  <c r="BT388" i="15"/>
  <c r="BT389" i="15"/>
  <c r="AS464" i="15"/>
  <c r="F220" i="15"/>
  <c r="E515" i="15"/>
  <c r="E516" i="15"/>
  <c r="BZ504" i="15"/>
  <c r="BO216" i="15"/>
  <c r="BO223" i="15"/>
  <c r="AB400" i="15"/>
  <c r="AB336" i="15"/>
  <c r="BD184" i="15"/>
  <c r="BO278" i="15"/>
  <c r="O504" i="15"/>
  <c r="BO127" i="15"/>
  <c r="BD254" i="15"/>
  <c r="BE358" i="15"/>
  <c r="BE135" i="15"/>
  <c r="BE336" i="15"/>
  <c r="P357" i="15"/>
  <c r="P467" i="15"/>
  <c r="P259" i="15"/>
  <c r="AM488" i="15"/>
  <c r="AM511" i="15"/>
  <c r="AR124" i="19"/>
  <c r="AN488" i="15"/>
  <c r="AL508" i="15"/>
  <c r="AD509" i="15"/>
  <c r="BD136" i="19"/>
  <c r="K512" i="15"/>
  <c r="AU486" i="15"/>
  <c r="AU509" i="15"/>
  <c r="AW120" i="19"/>
  <c r="BE260" i="15"/>
  <c r="BE254" i="15"/>
  <c r="BE259" i="15"/>
  <c r="BE13" i="15"/>
  <c r="P519" i="15"/>
  <c r="P39" i="15"/>
  <c r="P295" i="15"/>
  <c r="P297" i="15"/>
  <c r="P358" i="15"/>
  <c r="P423" i="15"/>
  <c r="P260" i="15"/>
  <c r="P283" i="15"/>
  <c r="P400" i="15"/>
  <c r="P336" i="15"/>
  <c r="P85" i="15"/>
  <c r="P86" i="15"/>
  <c r="P24" i="15"/>
  <c r="AC83" i="15"/>
  <c r="AD83" i="15"/>
  <c r="BE401" i="15"/>
  <c r="BE400" i="15"/>
  <c r="BI88" i="15"/>
  <c r="BJ139" i="15"/>
  <c r="BJ88" i="15"/>
  <c r="BI144" i="15"/>
  <c r="BI150" i="15"/>
  <c r="BR562" i="15"/>
  <c r="AC521" i="15"/>
  <c r="AC131" i="15"/>
  <c r="AC53" i="15"/>
  <c r="AC54" i="15"/>
  <c r="AC99" i="15"/>
  <c r="AC542" i="15"/>
  <c r="AC213" i="15"/>
  <c r="AC220" i="15"/>
  <c r="AC100" i="15"/>
  <c r="Z392" i="15"/>
  <c r="BP391" i="15"/>
  <c r="AC93" i="15"/>
  <c r="I393" i="15"/>
  <c r="BB393" i="15"/>
  <c r="BB392" i="15"/>
  <c r="I550" i="15"/>
  <c r="BQ532" i="15"/>
  <c r="BQ533" i="15"/>
  <c r="AU57" i="15"/>
  <c r="AU59" i="15"/>
  <c r="U504" i="15"/>
  <c r="AM460" i="15"/>
  <c r="AM262" i="15"/>
  <c r="E565" i="15"/>
  <c r="E556" i="15"/>
  <c r="BL49" i="15"/>
  <c r="BL159" i="15"/>
  <c r="BL177" i="15"/>
  <c r="BL192" i="15"/>
  <c r="BL96" i="15"/>
  <c r="BL97" i="15"/>
  <c r="BJ59" i="15"/>
  <c r="BJ67" i="15"/>
  <c r="BJ69" i="15"/>
  <c r="BJ71" i="15"/>
  <c r="BR127" i="15"/>
  <c r="BR530" i="15"/>
  <c r="BR536" i="15"/>
  <c r="BR109" i="15"/>
  <c r="AS109" i="15"/>
  <c r="AW126" i="15"/>
  <c r="AS530" i="15"/>
  <c r="AS536" i="15"/>
  <c r="AS127" i="15"/>
  <c r="Y47" i="15"/>
  <c r="Y119" i="15"/>
  <c r="Y121" i="15"/>
  <c r="Y560" i="15"/>
  <c r="AP318" i="15"/>
  <c r="AP285" i="15"/>
  <c r="AP363" i="15"/>
  <c r="AP431" i="15"/>
  <c r="BV431" i="15"/>
  <c r="AP264" i="15"/>
  <c r="AP468" i="15"/>
  <c r="M47" i="15"/>
  <c r="M560" i="15"/>
  <c r="M119" i="15"/>
  <c r="M121" i="15"/>
  <c r="M125" i="15"/>
  <c r="M216" i="15"/>
  <c r="AD311" i="15"/>
  <c r="AD379" i="15"/>
  <c r="AD310" i="15"/>
  <c r="AD378" i="15"/>
  <c r="J223" i="15"/>
  <c r="J302" i="15"/>
  <c r="J370" i="15"/>
  <c r="J457" i="15"/>
  <c r="J459" i="15"/>
  <c r="J305" i="15"/>
  <c r="J360" i="15"/>
  <c r="J304" i="15"/>
  <c r="J301" i="15"/>
  <c r="J369" i="15"/>
  <c r="K315" i="15"/>
  <c r="AB159" i="15"/>
  <c r="AB177" i="15"/>
  <c r="AB192" i="15"/>
  <c r="X111" i="15"/>
  <c r="X333" i="15"/>
  <c r="X395" i="15"/>
  <c r="X397" i="15"/>
  <c r="X331" i="15"/>
  <c r="X116" i="15"/>
  <c r="X529" i="15"/>
  <c r="X535" i="15"/>
  <c r="X108" i="15"/>
  <c r="X113" i="15"/>
  <c r="X426" i="15"/>
  <c r="X134" i="15"/>
  <c r="AY83" i="15"/>
  <c r="AX83" i="15"/>
  <c r="AZ83" i="15"/>
  <c r="AW83" i="15"/>
  <c r="AW22" i="15"/>
  <c r="BU550" i="15"/>
  <c r="BR107" i="15"/>
  <c r="AN262" i="15"/>
  <c r="H310" i="15"/>
  <c r="H378" i="15"/>
  <c r="H311" i="15"/>
  <c r="H379" i="15"/>
  <c r="BC207" i="15"/>
  <c r="BC461" i="15"/>
  <c r="BA402" i="15"/>
  <c r="BA338" i="15"/>
  <c r="BA207" i="15"/>
  <c r="BA461" i="15"/>
  <c r="BB207" i="15"/>
  <c r="BB461" i="15"/>
  <c r="BD207" i="15"/>
  <c r="BD461" i="15"/>
  <c r="BW45" i="15"/>
  <c r="BW525" i="15"/>
  <c r="AW405" i="15"/>
  <c r="AW341" i="15"/>
  <c r="W255" i="15"/>
  <c r="BO302" i="15"/>
  <c r="BO438" i="15"/>
  <c r="BO260" i="15"/>
  <c r="BO286" i="15"/>
  <c r="BD554" i="15"/>
  <c r="D560" i="15"/>
  <c r="S214" i="15"/>
  <c r="D119" i="15"/>
  <c r="D121" i="15"/>
  <c r="D47" i="15"/>
  <c r="D97" i="15"/>
  <c r="AJ291" i="15"/>
  <c r="AC22" i="15"/>
  <c r="BD520" i="15"/>
  <c r="BD39" i="15"/>
  <c r="BO283" i="15"/>
  <c r="BO291" i="15"/>
  <c r="AL57" i="15"/>
  <c r="AL59" i="15"/>
  <c r="U408" i="15"/>
  <c r="U344" i="15"/>
  <c r="Y60" i="15"/>
  <c r="Y89" i="15"/>
  <c r="BW264" i="15"/>
  <c r="BW468" i="15"/>
  <c r="BW285" i="15"/>
  <c r="AL393" i="15"/>
  <c r="BS391" i="15"/>
  <c r="BS393" i="15"/>
  <c r="AP392" i="15"/>
  <c r="AD392" i="15"/>
  <c r="C291" i="15"/>
  <c r="C316" i="15"/>
  <c r="AE26" i="15"/>
  <c r="AE73" i="15"/>
  <c r="BI25" i="15"/>
  <c r="AF25" i="15"/>
  <c r="J532" i="15"/>
  <c r="J533" i="15"/>
  <c r="J535" i="15"/>
  <c r="AP335" i="15"/>
  <c r="AP399" i="15"/>
  <c r="AP403" i="15"/>
  <c r="AP138" i="15"/>
  <c r="BE60" i="15"/>
  <c r="D427" i="15"/>
  <c r="D425" i="15"/>
  <c r="D391" i="15"/>
  <c r="D393" i="15"/>
  <c r="D107" i="15"/>
  <c r="D329" i="15"/>
  <c r="D108" i="15"/>
  <c r="D327" i="15"/>
  <c r="D106" i="15"/>
  <c r="D328" i="15"/>
  <c r="S203" i="15"/>
  <c r="R203" i="15"/>
  <c r="D203" i="15"/>
  <c r="AC408" i="15"/>
  <c r="AC344" i="15"/>
  <c r="BO318" i="15"/>
  <c r="BO304" i="15"/>
  <c r="BO264" i="15"/>
  <c r="U31" i="15"/>
  <c r="BA77" i="15"/>
  <c r="G110" i="15"/>
  <c r="G332" i="15"/>
  <c r="F110" i="15"/>
  <c r="F332" i="15"/>
  <c r="F395" i="15"/>
  <c r="F396" i="15"/>
  <c r="F204" i="15"/>
  <c r="F331" i="15"/>
  <c r="F108" i="15"/>
  <c r="F111" i="15"/>
  <c r="F333" i="15"/>
  <c r="F529" i="15"/>
  <c r="F134" i="15"/>
  <c r="F116" i="15"/>
  <c r="F113" i="15"/>
  <c r="U264" i="15"/>
  <c r="U265" i="15"/>
  <c r="U367" i="15"/>
  <c r="U435" i="15"/>
  <c r="Y148" i="15"/>
  <c r="Y413" i="15"/>
  <c r="BV505" i="15"/>
  <c r="BV506" i="15"/>
  <c r="BV547" i="15"/>
  <c r="BV550" i="15"/>
  <c r="Y285" i="15"/>
  <c r="Y282" i="15"/>
  <c r="Y295" i="15"/>
  <c r="Y297" i="15"/>
  <c r="BE343" i="15"/>
  <c r="BE407" i="15"/>
  <c r="BK83" i="15"/>
  <c r="U58" i="15"/>
  <c r="H125" i="15"/>
  <c r="H126" i="15"/>
  <c r="BQ215" i="15"/>
  <c r="AE215" i="15"/>
  <c r="T519" i="15"/>
  <c r="T39" i="15"/>
  <c r="BK92" i="15"/>
  <c r="BK93" i="15"/>
  <c r="BK100" i="15"/>
  <c r="BK99" i="15"/>
  <c r="BK542" i="15"/>
  <c r="BK53" i="15"/>
  <c r="BK54" i="15"/>
  <c r="AJ414" i="15"/>
  <c r="AJ350" i="15"/>
  <c r="AK149" i="15"/>
  <c r="AA45" i="15"/>
  <c r="AA525" i="15"/>
  <c r="AK78" i="15"/>
  <c r="AU571" i="15"/>
  <c r="AU562" i="15"/>
  <c r="AV214" i="15"/>
  <c r="AV221" i="15"/>
  <c r="AU214" i="15"/>
  <c r="AU221" i="15"/>
  <c r="AX214" i="15"/>
  <c r="AX221" i="15"/>
  <c r="C398" i="17"/>
  <c r="D398" i="17"/>
  <c r="AW214" i="15"/>
  <c r="AW221" i="15"/>
  <c r="K426" i="15"/>
  <c r="M467" i="15"/>
  <c r="M422" i="15"/>
  <c r="M282" i="15"/>
  <c r="M292" i="15"/>
  <c r="M259" i="15"/>
  <c r="M357" i="15"/>
  <c r="H49" i="15"/>
  <c r="H217" i="15"/>
  <c r="H224" i="15"/>
  <c r="H96" i="15"/>
  <c r="H97" i="15"/>
  <c r="BZ119" i="15"/>
  <c r="BZ121" i="15"/>
  <c r="BZ125" i="15"/>
  <c r="BL125" i="15"/>
  <c r="AH126" i="15"/>
  <c r="BJ13" i="15"/>
  <c r="BJ18" i="15"/>
  <c r="K302" i="15"/>
  <c r="K370" i="15"/>
  <c r="K457" i="15"/>
  <c r="K459" i="15"/>
  <c r="K360" i="15"/>
  <c r="K301" i="15"/>
  <c r="K369" i="15"/>
  <c r="K304" i="15"/>
  <c r="X547" i="15"/>
  <c r="X505" i="15"/>
  <c r="BE325" i="15"/>
  <c r="BE493" i="15"/>
  <c r="BE465" i="15"/>
  <c r="BE291" i="15"/>
  <c r="BE456" i="15"/>
  <c r="BK56" i="15"/>
  <c r="BK31" i="15"/>
  <c r="BK39" i="15"/>
  <c r="E67" i="15"/>
  <c r="E69" i="15"/>
  <c r="E71" i="15"/>
  <c r="E61" i="15"/>
  <c r="AV127" i="15"/>
  <c r="AV530" i="15"/>
  <c r="AV536" i="15"/>
  <c r="AV109" i="15"/>
  <c r="BO282" i="15"/>
  <c r="BO315" i="15"/>
  <c r="BO285" i="15"/>
  <c r="BP47" i="15"/>
  <c r="BP119" i="15"/>
  <c r="BP121" i="15"/>
  <c r="BP560" i="15"/>
  <c r="BJ60" i="15"/>
  <c r="BJ61" i="15"/>
  <c r="R208" i="15"/>
  <c r="D208" i="15"/>
  <c r="D26" i="15"/>
  <c r="AJ519" i="15"/>
  <c r="AJ39" i="15"/>
  <c r="BA254" i="15"/>
  <c r="BA255" i="15"/>
  <c r="AY99" i="15"/>
  <c r="AZ29" i="15"/>
  <c r="AY94" i="15"/>
  <c r="AY100" i="15"/>
  <c r="AY542" i="15"/>
  <c r="AY31" i="15"/>
  <c r="AY93" i="15"/>
  <c r="AY92" i="15"/>
  <c r="AY131" i="15"/>
  <c r="AH109" i="15"/>
  <c r="AH530" i="15"/>
  <c r="AH536" i="15"/>
  <c r="AH127" i="15"/>
  <c r="E81" i="15"/>
  <c r="E103" i="15"/>
  <c r="E105" i="15"/>
  <c r="E202" i="15"/>
  <c r="E221" i="15"/>
  <c r="E559" i="15"/>
  <c r="E22" i="15"/>
  <c r="BO202" i="15"/>
  <c r="BO221" i="15"/>
  <c r="W530" i="15"/>
  <c r="W536" i="15"/>
  <c r="BI126" i="15"/>
  <c r="W127" i="15"/>
  <c r="W109" i="15"/>
  <c r="AS265" i="15"/>
  <c r="AS264" i="15"/>
  <c r="BZ547" i="15"/>
  <c r="BZ505" i="15"/>
  <c r="BV39" i="15"/>
  <c r="BV519" i="15"/>
  <c r="AK31" i="15"/>
  <c r="AK131" i="15"/>
  <c r="AK99" i="15"/>
  <c r="AK94" i="15"/>
  <c r="AK100" i="15"/>
  <c r="AK92" i="15"/>
  <c r="AK542" i="15"/>
  <c r="AK93" i="15"/>
  <c r="AK53" i="15"/>
  <c r="AK54" i="15"/>
  <c r="O467" i="15"/>
  <c r="O292" i="15"/>
  <c r="O422" i="15"/>
  <c r="O282" i="15"/>
  <c r="O259" i="15"/>
  <c r="O357" i="15"/>
  <c r="BV554" i="15"/>
  <c r="BV566" i="15"/>
  <c r="BV213" i="15"/>
  <c r="BV220" i="15"/>
  <c r="BW213" i="15"/>
  <c r="BW220" i="15"/>
  <c r="G400" i="15"/>
  <c r="G413" i="15"/>
  <c r="G427" i="15"/>
  <c r="G410" i="15"/>
  <c r="G406" i="15"/>
  <c r="G405" i="15"/>
  <c r="G408" i="15"/>
  <c r="G425" i="15"/>
  <c r="G414" i="15"/>
  <c r="G391" i="15"/>
  <c r="G388" i="15"/>
  <c r="G395" i="15"/>
  <c r="G411" i="15"/>
  <c r="G401" i="15"/>
  <c r="G412" i="15"/>
  <c r="G402" i="15"/>
  <c r="G407" i="15"/>
  <c r="G404" i="15"/>
  <c r="G426" i="15"/>
  <c r="G399" i="15"/>
  <c r="AU505" i="15"/>
  <c r="AU547" i="15"/>
  <c r="AU393" i="15"/>
  <c r="AY392" i="15"/>
  <c r="BC462" i="15"/>
  <c r="BV446" i="15"/>
  <c r="BV449" i="15"/>
  <c r="AV366" i="15"/>
  <c r="AV434" i="15"/>
  <c r="AV468" i="15"/>
  <c r="AH425" i="15"/>
  <c r="BQ26" i="15"/>
  <c r="BQ73" i="15"/>
  <c r="BQ208" i="15"/>
  <c r="BV54" i="15"/>
  <c r="BT146" i="19" s="1"/>
  <c r="AY53" i="15"/>
  <c r="AY54" i="15"/>
  <c r="AY311" i="15"/>
  <c r="AY379" i="15"/>
  <c r="AY310" i="15"/>
  <c r="AY378" i="15"/>
  <c r="BK44" i="15"/>
  <c r="BK45" i="15" s="1"/>
  <c r="BK58" i="15"/>
  <c r="BK94" i="15"/>
  <c r="E315" i="15"/>
  <c r="E316" i="15"/>
  <c r="AW504" i="15"/>
  <c r="BR550" i="15"/>
  <c r="O358" i="15"/>
  <c r="O423" i="15"/>
  <c r="O283" i="15"/>
  <c r="O260" i="15"/>
  <c r="G429" i="15"/>
  <c r="K351" i="15"/>
  <c r="K151" i="15"/>
  <c r="K152" i="15"/>
  <c r="AA367" i="15"/>
  <c r="AA435" i="15"/>
  <c r="AA466" i="15"/>
  <c r="AD417" i="15"/>
  <c r="AD352" i="15"/>
  <c r="AD156" i="15"/>
  <c r="BB462" i="15"/>
  <c r="AV367" i="15"/>
  <c r="AV435" i="15"/>
  <c r="AV466" i="15"/>
  <c r="BL468" i="15"/>
  <c r="BL366" i="15"/>
  <c r="BL434" i="15"/>
  <c r="BT57" i="15"/>
  <c r="BT59" i="15"/>
  <c r="BT67" i="15"/>
  <c r="BT69" i="15"/>
  <c r="BT71" i="15"/>
  <c r="AS89" i="15"/>
  <c r="AS60" i="15"/>
  <c r="U60" i="15"/>
  <c r="BT562" i="15"/>
  <c r="BW24" i="15"/>
  <c r="BW86" i="15"/>
  <c r="BW85" i="15"/>
  <c r="BA262" i="15"/>
  <c r="F446" i="15"/>
  <c r="F447" i="15"/>
  <c r="F389" i="15"/>
  <c r="F397" i="15"/>
  <c r="AO347" i="15"/>
  <c r="AO411" i="15"/>
  <c r="AS105" i="15"/>
  <c r="Z151" i="15"/>
  <c r="Z152" i="15"/>
  <c r="Z351" i="15"/>
  <c r="AW462" i="15"/>
  <c r="AW310" i="15"/>
  <c r="AW378" i="15"/>
  <c r="AD152" i="15"/>
  <c r="AC85" i="15"/>
  <c r="O505" i="15"/>
  <c r="O547" i="15"/>
  <c r="D291" i="15"/>
  <c r="D316" i="15"/>
  <c r="AQ57" i="15"/>
  <c r="AQ59" i="15"/>
  <c r="AC414" i="15"/>
  <c r="AC350" i="15"/>
  <c r="C1325" i="17"/>
  <c r="AG291" i="15"/>
  <c r="BB460" i="15"/>
  <c r="BB262" i="15"/>
  <c r="BU389" i="15"/>
  <c r="BC571" i="15"/>
  <c r="BC562" i="15"/>
  <c r="AE403" i="15"/>
  <c r="BQ403" i="15"/>
  <c r="BQ399" i="15"/>
  <c r="AT217" i="15"/>
  <c r="AS159" i="15"/>
  <c r="AS177" i="15"/>
  <c r="AS217" i="15"/>
  <c r="Y504" i="15"/>
  <c r="E415" i="15"/>
  <c r="BW203" i="15"/>
  <c r="BW311" i="15"/>
  <c r="BW106" i="15"/>
  <c r="BW392" i="15"/>
  <c r="BW107" i="15"/>
  <c r="BD357" i="15"/>
  <c r="BD259" i="15"/>
  <c r="BD363" i="15"/>
  <c r="BD431" i="15"/>
  <c r="BD422" i="15"/>
  <c r="BD282" i="15"/>
  <c r="BD467" i="15"/>
  <c r="BD292" i="15"/>
  <c r="BP410" i="15"/>
  <c r="M393" i="15"/>
  <c r="M392" i="15"/>
  <c r="N392" i="15"/>
  <c r="CE150" i="15"/>
  <c r="CE152" i="15"/>
  <c r="BN254" i="15"/>
  <c r="BN255" i="15"/>
  <c r="S247" i="15"/>
  <c r="J393" i="15"/>
  <c r="J392" i="15"/>
  <c r="K392" i="15"/>
  <c r="BT85" i="15"/>
  <c r="BT24" i="15"/>
  <c r="BT26" i="15"/>
  <c r="BT73" i="15"/>
  <c r="BT86" i="15"/>
  <c r="U532" i="15"/>
  <c r="U533" i="15"/>
  <c r="R533" i="15"/>
  <c r="BD206" i="15"/>
  <c r="BD460" i="15"/>
  <c r="C238" i="17"/>
  <c r="D238" i="17"/>
  <c r="BC206" i="15"/>
  <c r="BC460" i="15"/>
  <c r="BA114" i="15"/>
  <c r="C240" i="17"/>
  <c r="D240" i="17"/>
  <c r="AD122" i="15"/>
  <c r="AN13" i="15"/>
  <c r="AN18" i="15"/>
  <c r="S49" i="15"/>
  <c r="S96" i="15"/>
  <c r="S97" i="15"/>
  <c r="BT411" i="15"/>
  <c r="BU411" i="15"/>
  <c r="BC97" i="15"/>
  <c r="BT113" i="15"/>
  <c r="BT108" i="15"/>
  <c r="BU110" i="15"/>
  <c r="BU396" i="15"/>
  <c r="AI396" i="15"/>
  <c r="AI397" i="15"/>
  <c r="Y554" i="15"/>
  <c r="Y566" i="15"/>
  <c r="AB213" i="15"/>
  <c r="AB220" i="15"/>
  <c r="Z213" i="15"/>
  <c r="AA213" i="15"/>
  <c r="AA220" i="15"/>
  <c r="Y213" i="15"/>
  <c r="Y571" i="15"/>
  <c r="D367" i="15"/>
  <c r="D435" i="15"/>
  <c r="D444" i="15"/>
  <c r="D466" i="15"/>
  <c r="D308" i="15"/>
  <c r="BD18" i="15"/>
  <c r="BD103" i="15"/>
  <c r="BD105" i="15"/>
  <c r="BE202" i="15"/>
  <c r="BD13" i="15"/>
  <c r="AH562" i="15"/>
  <c r="AC31" i="15"/>
  <c r="AC39" i="15"/>
  <c r="AC548" i="15"/>
  <c r="AC92" i="15"/>
  <c r="AC56" i="15"/>
  <c r="AC57" i="15" s="1"/>
  <c r="BT203" i="15"/>
  <c r="BT106" i="15"/>
  <c r="BT392" i="15"/>
  <c r="BU106" i="15"/>
  <c r="BU392" i="15"/>
  <c r="BU203" i="15"/>
  <c r="S571" i="15"/>
  <c r="S562" i="15"/>
  <c r="J547" i="15"/>
  <c r="J505" i="15"/>
  <c r="AN96" i="15"/>
  <c r="AN49" i="15"/>
  <c r="AN97" i="15"/>
  <c r="AJ393" i="15"/>
  <c r="AJ392" i="15"/>
  <c r="BE286" i="15"/>
  <c r="BE364" i="15"/>
  <c r="BE432" i="15"/>
  <c r="P318" i="15"/>
  <c r="BE83" i="15"/>
  <c r="P285" i="15"/>
  <c r="P363" i="15"/>
  <c r="P431" i="15"/>
  <c r="BE467" i="15"/>
  <c r="BE357" i="15"/>
  <c r="BE292" i="15"/>
  <c r="BE422" i="15"/>
  <c r="BE136" i="19"/>
  <c r="P83" i="15"/>
  <c r="P465" i="15"/>
  <c r="P286" i="15"/>
  <c r="P364" i="15"/>
  <c r="P432" i="15"/>
  <c r="P525" i="15"/>
  <c r="P45" i="15"/>
  <c r="P47" i="15"/>
  <c r="P208" i="15"/>
  <c r="P26" i="15"/>
  <c r="P291" i="15"/>
  <c r="BK57" i="15"/>
  <c r="BK59" i="15"/>
  <c r="U519" i="15"/>
  <c r="D96" i="15"/>
  <c r="D49" i="15"/>
  <c r="W423" i="15"/>
  <c r="BO423" i="15"/>
  <c r="W283" i="15"/>
  <c r="W291" i="15"/>
  <c r="W358" i="15"/>
  <c r="W260" i="15"/>
  <c r="J372" i="15"/>
  <c r="J470" i="15"/>
  <c r="M215" i="15"/>
  <c r="M222" i="15"/>
  <c r="M530" i="15"/>
  <c r="M536" i="15"/>
  <c r="M123" i="15"/>
  <c r="M122" i="15"/>
  <c r="N122" i="15"/>
  <c r="BU215" i="15"/>
  <c r="BU222" i="15" s="1"/>
  <c r="BZ123" i="15"/>
  <c r="BR215" i="15"/>
  <c r="AA119" i="15"/>
  <c r="AA121" i="15"/>
  <c r="AB215" i="15"/>
  <c r="AA560" i="15"/>
  <c r="AA47" i="15"/>
  <c r="F304" i="15"/>
  <c r="F360" i="15"/>
  <c r="F457" i="15"/>
  <c r="F459" i="15"/>
  <c r="F223" i="15"/>
  <c r="F302" i="15"/>
  <c r="F370" i="15"/>
  <c r="F301" i="15"/>
  <c r="F369" i="15"/>
  <c r="F305" i="15"/>
  <c r="BO307" i="15"/>
  <c r="BO468" i="15"/>
  <c r="AP339" i="15"/>
  <c r="AP144" i="15"/>
  <c r="AP345" i="15"/>
  <c r="D124" i="15"/>
  <c r="D215" i="15"/>
  <c r="D123" i="15"/>
  <c r="E122" i="15"/>
  <c r="D122" i="15"/>
  <c r="S215" i="15"/>
  <c r="BN215" i="15"/>
  <c r="R215" i="15"/>
  <c r="R222" i="15"/>
  <c r="AN265" i="15"/>
  <c r="AN367" i="15"/>
  <c r="AN264" i="15"/>
  <c r="AN366" i="15"/>
  <c r="BU214" i="15"/>
  <c r="BU221" i="15"/>
  <c r="M562" i="15"/>
  <c r="M572" i="15"/>
  <c r="M571" i="15"/>
  <c r="M214" i="15"/>
  <c r="M221" i="15"/>
  <c r="Z214" i="15"/>
  <c r="BR108" i="15"/>
  <c r="BR111" i="15"/>
  <c r="BR113" i="15"/>
  <c r="BR134" i="15"/>
  <c r="BR138" i="15"/>
  <c r="BR144" i="15"/>
  <c r="BR150" i="15"/>
  <c r="BR116" i="15"/>
  <c r="BR529" i="15"/>
  <c r="BR532" i="15"/>
  <c r="BR533" i="15"/>
  <c r="M264" i="15"/>
  <c r="M363" i="15"/>
  <c r="M431" i="15"/>
  <c r="M318" i="15"/>
  <c r="M285" i="15"/>
  <c r="AK350" i="15"/>
  <c r="AK414" i="15"/>
  <c r="F426" i="15"/>
  <c r="F205" i="15"/>
  <c r="BO470" i="15"/>
  <c r="BO440" i="15"/>
  <c r="D311" i="15"/>
  <c r="D379" i="15"/>
  <c r="D222" i="15"/>
  <c r="D310" i="15"/>
  <c r="D378" i="15"/>
  <c r="D392" i="15"/>
  <c r="AG25" i="15"/>
  <c r="AL67" i="15"/>
  <c r="AL69" i="15"/>
  <c r="AL71" i="15"/>
  <c r="AL61" i="15"/>
  <c r="D214" i="15"/>
  <c r="D221" i="15"/>
  <c r="D571" i="15"/>
  <c r="AW86" i="15"/>
  <c r="AW24" i="15"/>
  <c r="AW85" i="15"/>
  <c r="J469" i="15"/>
  <c r="J373" i="15"/>
  <c r="M96" i="15"/>
  <c r="M97" i="15"/>
  <c r="M49" i="15"/>
  <c r="Z215" i="15"/>
  <c r="AA215" i="15"/>
  <c r="Y123" i="15"/>
  <c r="Y125" i="15"/>
  <c r="Y127" i="15"/>
  <c r="AM264" i="15"/>
  <c r="AM265" i="15"/>
  <c r="K470" i="15"/>
  <c r="K372" i="15"/>
  <c r="M295" i="15"/>
  <c r="M297" i="15"/>
  <c r="T45" i="15"/>
  <c r="T525" i="15"/>
  <c r="Y349" i="15"/>
  <c r="R310" i="15"/>
  <c r="R378" i="15"/>
  <c r="R311" i="15"/>
  <c r="R379" i="15"/>
  <c r="BO316" i="15"/>
  <c r="BJ25" i="15"/>
  <c r="BL25" i="15"/>
  <c r="BL26" i="15"/>
  <c r="BL73" i="15"/>
  <c r="BI26" i="15"/>
  <c r="BI73" i="15"/>
  <c r="Y96" i="15"/>
  <c r="Y97" i="15"/>
  <c r="Y49" i="15"/>
  <c r="AS395" i="15"/>
  <c r="AS331" i="15"/>
  <c r="AS116" i="15"/>
  <c r="AS529" i="15"/>
  <c r="AS134" i="15"/>
  <c r="AS113" i="15"/>
  <c r="AS111" i="15"/>
  <c r="AS333" i="15"/>
  <c r="BJ22" i="15"/>
  <c r="BJ103" i="15"/>
  <c r="BJ105" i="15"/>
  <c r="AF106" i="15"/>
  <c r="AF328" i="15"/>
  <c r="BJ81" i="15"/>
  <c r="AF202" i="15"/>
  <c r="K307" i="15"/>
  <c r="K472" i="15"/>
  <c r="K458" i="15"/>
  <c r="K361" i="15"/>
  <c r="K429" i="15"/>
  <c r="K443" i="15"/>
  <c r="F138" i="15"/>
  <c r="F144" i="15"/>
  <c r="F335" i="15"/>
  <c r="F399" i="15"/>
  <c r="D447" i="15"/>
  <c r="D446" i="15"/>
  <c r="X399" i="15"/>
  <c r="X403" i="15"/>
  <c r="X409" i="15"/>
  <c r="X335" i="15"/>
  <c r="X138" i="15"/>
  <c r="X144" i="15"/>
  <c r="F535" i="15"/>
  <c r="S311" i="15"/>
  <c r="S379" i="15"/>
  <c r="S310" i="15"/>
  <c r="S378" i="15"/>
  <c r="BN203" i="15"/>
  <c r="BN222" i="15" s="1"/>
  <c r="S222" i="15"/>
  <c r="BD566" i="15"/>
  <c r="J315" i="15"/>
  <c r="J316" i="15"/>
  <c r="AP366" i="15"/>
  <c r="AP434" i="15"/>
  <c r="BV434" i="15"/>
  <c r="U505" i="15"/>
  <c r="U547" i="15"/>
  <c r="X550" i="15"/>
  <c r="H73" i="15"/>
  <c r="BQ217" i="15"/>
  <c r="BQ224" i="15"/>
  <c r="AE217" i="15"/>
  <c r="H159" i="15"/>
  <c r="H177" i="15"/>
  <c r="H192" i="15"/>
  <c r="U466" i="15"/>
  <c r="BD45" i="15"/>
  <c r="BD560" i="15"/>
  <c r="BD525" i="15"/>
  <c r="BO83" i="15"/>
  <c r="BO465" i="15"/>
  <c r="BO265" i="15"/>
  <c r="BO305" i="15"/>
  <c r="BO469" i="15"/>
  <c r="BW560" i="15"/>
  <c r="BW119" i="15"/>
  <c r="BW121" i="15"/>
  <c r="BW47" i="15"/>
  <c r="AU67" i="15"/>
  <c r="AU69" i="15"/>
  <c r="AU71" i="15"/>
  <c r="AU61" i="15"/>
  <c r="BL109" i="15"/>
  <c r="AH110" i="15"/>
  <c r="AH332" i="15"/>
  <c r="H127" i="15"/>
  <c r="H124" i="15"/>
  <c r="H216" i="15"/>
  <c r="U468" i="15"/>
  <c r="U366" i="15"/>
  <c r="U434" i="15"/>
  <c r="BE363" i="15"/>
  <c r="BE431" i="15"/>
  <c r="BE318" i="15"/>
  <c r="J550" i="15"/>
  <c r="BC159" i="15"/>
  <c r="BC177" i="15"/>
  <c r="BC192" i="15"/>
  <c r="AN22" i="15"/>
  <c r="AN103" i="15"/>
  <c r="AN105" i="15"/>
  <c r="AO203" i="15"/>
  <c r="AN559" i="15"/>
  <c r="AN81" i="15"/>
  <c r="AO202" i="15"/>
  <c r="AP202" i="15"/>
  <c r="Y505" i="15"/>
  <c r="Y547" i="15"/>
  <c r="O550" i="15"/>
  <c r="BW26" i="15"/>
  <c r="AN213" i="15"/>
  <c r="AN220" i="15"/>
  <c r="AM213" i="15"/>
  <c r="AM220" i="15"/>
  <c r="AK213" i="15"/>
  <c r="AK220" i="15"/>
  <c r="BV525" i="15"/>
  <c r="BV45" i="15"/>
  <c r="BV560" i="15"/>
  <c r="AS468" i="15"/>
  <c r="AS366" i="15"/>
  <c r="AS434" i="15"/>
  <c r="AJ45" i="15"/>
  <c r="AJ119" i="15"/>
  <c r="AJ121" i="15"/>
  <c r="AJ525" i="15"/>
  <c r="BT310" i="15"/>
  <c r="BT311" i="15"/>
  <c r="BW310" i="15"/>
  <c r="AD353" i="15"/>
  <c r="AD418" i="15"/>
  <c r="AD194" i="15"/>
  <c r="AD196" i="15"/>
  <c r="K352" i="15"/>
  <c r="K417" i="15"/>
  <c r="K156" i="15"/>
  <c r="AW505" i="15"/>
  <c r="AW547" i="15"/>
  <c r="AS466" i="15"/>
  <c r="AS367" i="15"/>
  <c r="AS435" i="15"/>
  <c r="BP562" i="15"/>
  <c r="BP571" i="15"/>
  <c r="BP214" i="15"/>
  <c r="BO295" i="15"/>
  <c r="BO297" i="15"/>
  <c r="K353" i="15"/>
  <c r="K194" i="15"/>
  <c r="K196" i="15"/>
  <c r="K418" i="15"/>
  <c r="E85" i="15"/>
  <c r="E24" i="15"/>
  <c r="E86" i="15"/>
  <c r="BA29" i="15"/>
  <c r="AZ94" i="15"/>
  <c r="AZ542" i="15"/>
  <c r="AZ131" i="15"/>
  <c r="AZ93" i="15"/>
  <c r="AZ53" i="15"/>
  <c r="AZ54" i="15"/>
  <c r="AZ99" i="15"/>
  <c r="AZ100" i="15"/>
  <c r="AZ92" i="15"/>
  <c r="AZ31" i="15"/>
  <c r="BP123" i="15"/>
  <c r="BP122" i="15"/>
  <c r="BP530" i="15"/>
  <c r="BP536" i="15"/>
  <c r="BP215" i="15"/>
  <c r="S159" i="15"/>
  <c r="S177" i="15"/>
  <c r="AU550" i="15"/>
  <c r="BD295" i="15"/>
  <c r="BD297" i="15"/>
  <c r="AV203" i="15"/>
  <c r="AS391" i="15"/>
  <c r="AS107" i="15"/>
  <c r="AS329" i="15"/>
  <c r="AU203" i="15"/>
  <c r="AS425" i="15"/>
  <c r="AS327" i="15"/>
  <c r="AS108" i="15"/>
  <c r="AS106" i="15"/>
  <c r="AS328" i="15"/>
  <c r="AW106" i="15"/>
  <c r="AW328" i="15"/>
  <c r="BT61" i="15"/>
  <c r="O286" i="15"/>
  <c r="O265" i="15"/>
  <c r="O465" i="15"/>
  <c r="O83" i="15"/>
  <c r="O364" i="15"/>
  <c r="O432" i="15"/>
  <c r="G428" i="15"/>
  <c r="G403" i="15"/>
  <c r="G409" i="15"/>
  <c r="G415" i="15"/>
  <c r="G397" i="15"/>
  <c r="G396" i="15"/>
  <c r="E570" i="15"/>
  <c r="E562" i="15"/>
  <c r="BP97" i="15"/>
  <c r="BP96" i="15"/>
  <c r="BP49" i="15"/>
  <c r="BP159" i="15"/>
  <c r="BP177" i="15"/>
  <c r="BP192" i="15"/>
  <c r="AV395" i="15"/>
  <c r="AV113" i="15"/>
  <c r="AV116" i="15"/>
  <c r="AV529" i="15"/>
  <c r="AV108" i="15"/>
  <c r="AV331" i="15"/>
  <c r="AV111" i="15"/>
  <c r="AV333" i="15"/>
  <c r="AV134" i="15"/>
  <c r="BD81" i="15"/>
  <c r="BD559" i="15"/>
  <c r="D471" i="15"/>
  <c r="D376" i="15"/>
  <c r="BC262" i="15"/>
  <c r="S254" i="15"/>
  <c r="S255" i="15"/>
  <c r="BB264" i="15"/>
  <c r="BB265" i="15"/>
  <c r="Z353" i="15"/>
  <c r="Z418" i="15"/>
  <c r="Z194" i="15"/>
  <c r="Z196" i="15"/>
  <c r="O291" i="15"/>
  <c r="AY57" i="15"/>
  <c r="AY59" i="15"/>
  <c r="G389" i="15"/>
  <c r="H389" i="15"/>
  <c r="I389" i="15"/>
  <c r="G447" i="15"/>
  <c r="G446" i="15"/>
  <c r="O264" i="15"/>
  <c r="O285" i="15"/>
  <c r="BZ550" i="15"/>
  <c r="AH113" i="15"/>
  <c r="AH134" i="15"/>
  <c r="AH111" i="15"/>
  <c r="AH333" i="15"/>
  <c r="AH395" i="15"/>
  <c r="AH108" i="15"/>
  <c r="AH116" i="15"/>
  <c r="AH529" i="15"/>
  <c r="AH331" i="15"/>
  <c r="BA423" i="15"/>
  <c r="BA358" i="15"/>
  <c r="BA260" i="15"/>
  <c r="BA283" i="15"/>
  <c r="BU311" i="15"/>
  <c r="BU310" i="15"/>
  <c r="AC554" i="15"/>
  <c r="AC566" i="15"/>
  <c r="BT208" i="15"/>
  <c r="BU208" i="15"/>
  <c r="BN260" i="15"/>
  <c r="BN302" i="15"/>
  <c r="BN438" i="15"/>
  <c r="BD285" i="15"/>
  <c r="BD318" i="15"/>
  <c r="Z156" i="15"/>
  <c r="Z417" i="15"/>
  <c r="Z352" i="15"/>
  <c r="BV57" i="15"/>
  <c r="BV59" i="15"/>
  <c r="H392" i="15"/>
  <c r="G393" i="15"/>
  <c r="O295" i="15"/>
  <c r="O297" i="15"/>
  <c r="E425" i="15"/>
  <c r="BA422" i="15"/>
  <c r="BA467" i="15"/>
  <c r="BA292" i="15"/>
  <c r="BA282" i="15"/>
  <c r="BA259" i="15"/>
  <c r="BA264" i="15"/>
  <c r="BA468" i="15"/>
  <c r="BA357" i="15"/>
  <c r="AY554" i="15"/>
  <c r="AY566" i="15"/>
  <c r="AZ213" i="15"/>
  <c r="AZ220" i="15"/>
  <c r="AY213" i="15"/>
  <c r="AY220" i="15"/>
  <c r="AN159" i="15"/>
  <c r="AN177" i="15"/>
  <c r="AN192" i="15"/>
  <c r="BD262" i="15"/>
  <c r="BN259" i="15"/>
  <c r="BN264" i="15"/>
  <c r="BN467" i="15"/>
  <c r="BN292" i="15"/>
  <c r="BN301" i="15"/>
  <c r="BN437" i="15"/>
  <c r="AE208" i="15"/>
  <c r="BJ106" i="15"/>
  <c r="AK57" i="15"/>
  <c r="AK519" i="15"/>
  <c r="AK39" i="15"/>
  <c r="BI110" i="15"/>
  <c r="W113" i="15"/>
  <c r="W116" i="15"/>
  <c r="W529" i="15"/>
  <c r="W535" i="15"/>
  <c r="W108" i="15"/>
  <c r="W395" i="15"/>
  <c r="W331" i="15"/>
  <c r="W111" i="15"/>
  <c r="W333" i="15"/>
  <c r="AY519" i="15"/>
  <c r="AY39" i="15"/>
  <c r="P119" i="15"/>
  <c r="P121" i="15"/>
  <c r="P560" i="15"/>
  <c r="BW123" i="15"/>
  <c r="BW125" i="15"/>
  <c r="BN311" i="15"/>
  <c r="BN310" i="15"/>
  <c r="AS397" i="15"/>
  <c r="F307" i="15"/>
  <c r="F308" i="15"/>
  <c r="F361" i="15"/>
  <c r="F429" i="15"/>
  <c r="F458" i="15"/>
  <c r="BO472" i="15"/>
  <c r="BO443" i="15"/>
  <c r="BW571" i="15"/>
  <c r="BW562" i="15"/>
  <c r="Y159" i="15"/>
  <c r="Y177" i="15"/>
  <c r="Z217" i="15"/>
  <c r="F373" i="15"/>
  <c r="F469" i="15"/>
  <c r="BO441" i="15"/>
  <c r="BD119" i="15"/>
  <c r="BD121" i="15"/>
  <c r="BD571" i="15"/>
  <c r="BD47" i="15"/>
  <c r="AS426" i="15"/>
  <c r="BU216" i="15"/>
  <c r="W83" i="15"/>
  <c r="W364" i="15"/>
  <c r="W432" i="15"/>
  <c r="W286" i="15"/>
  <c r="W465" i="15"/>
  <c r="W265" i="15"/>
  <c r="BO466" i="15"/>
  <c r="BO308" i="15"/>
  <c r="Y530" i="15"/>
  <c r="Y536" i="15"/>
  <c r="Z216" i="15"/>
  <c r="Y109" i="15"/>
  <c r="BZ127" i="15"/>
  <c r="BZ530" i="15"/>
  <c r="BZ536" i="15"/>
  <c r="BR216" i="15"/>
  <c r="BL113" i="15"/>
  <c r="BL116" i="15"/>
  <c r="BL108" i="15"/>
  <c r="BL395" i="15"/>
  <c r="BL396" i="15"/>
  <c r="AN468" i="15"/>
  <c r="AN434" i="15"/>
  <c r="BT434" i="15"/>
  <c r="F315" i="15"/>
  <c r="F316" i="15"/>
  <c r="AA49" i="15"/>
  <c r="AA159" i="15"/>
  <c r="AA177" i="15"/>
  <c r="AA192" i="15"/>
  <c r="AA97" i="15"/>
  <c r="AA96" i="15"/>
  <c r="X339" i="15"/>
  <c r="AS138" i="15"/>
  <c r="AS335" i="15"/>
  <c r="AS399" i="15"/>
  <c r="AS403" i="15"/>
  <c r="AN466" i="15"/>
  <c r="AN435" i="15"/>
  <c r="BT435" i="15"/>
  <c r="AP150" i="15"/>
  <c r="AA562" i="15"/>
  <c r="AA571" i="15"/>
  <c r="U550" i="15"/>
  <c r="F428" i="15"/>
  <c r="F403" i="15"/>
  <c r="F409" i="15"/>
  <c r="F415" i="15"/>
  <c r="K375" i="15"/>
  <c r="BJ85" i="15"/>
  <c r="BJ24" i="15"/>
  <c r="BJ26" i="15"/>
  <c r="BJ86" i="15"/>
  <c r="AM367" i="15"/>
  <c r="AM435" i="15"/>
  <c r="BS435" i="15"/>
  <c r="AM466" i="15"/>
  <c r="M159" i="15"/>
  <c r="M177" i="15"/>
  <c r="M192" i="15"/>
  <c r="M73" i="15"/>
  <c r="M217" i="15"/>
  <c r="M224" i="15"/>
  <c r="BU217" i="15"/>
  <c r="BU224" i="15"/>
  <c r="AH25" i="15"/>
  <c r="AG26" i="15"/>
  <c r="M468" i="15"/>
  <c r="M366" i="15"/>
  <c r="M434" i="15"/>
  <c r="AB214" i="15"/>
  <c r="AA123" i="15"/>
  <c r="AA125" i="15"/>
  <c r="AA122" i="15"/>
  <c r="T47" i="15"/>
  <c r="T119" i="15"/>
  <c r="T121" i="15"/>
  <c r="T560" i="15"/>
  <c r="AM468" i="15"/>
  <c r="AM366" i="15"/>
  <c r="AM434" i="15"/>
  <c r="BS434" i="15"/>
  <c r="AP409" i="15"/>
  <c r="AA214" i="15"/>
  <c r="F372" i="15"/>
  <c r="F470" i="15"/>
  <c r="BA366" i="15"/>
  <c r="BA434" i="15"/>
  <c r="AK525" i="15"/>
  <c r="BN304" i="15"/>
  <c r="BR151" i="15"/>
  <c r="BR152" i="15"/>
  <c r="BR194" i="15"/>
  <c r="BR196" i="15"/>
  <c r="AH335" i="15"/>
  <c r="AH399" i="15"/>
  <c r="BV47" i="15"/>
  <c r="BV119" i="15"/>
  <c r="BV121" i="15"/>
  <c r="BV122" i="15"/>
  <c r="AZ57" i="15"/>
  <c r="AZ59" i="15"/>
  <c r="AY525" i="15"/>
  <c r="AY45" i="15"/>
  <c r="W397" i="15"/>
  <c r="BD264" i="15"/>
  <c r="BD265" i="15"/>
  <c r="BN265" i="15"/>
  <c r="BN308" i="15"/>
  <c r="AH426" i="15"/>
  <c r="AY61" i="15"/>
  <c r="AY67" i="15"/>
  <c r="AY69" i="15"/>
  <c r="AY71" i="15"/>
  <c r="AU311" i="15"/>
  <c r="AU379" i="15"/>
  <c r="BW446" i="15"/>
  <c r="BW449" i="15"/>
  <c r="BV61" i="15"/>
  <c r="BV67" i="15"/>
  <c r="BV69" i="15"/>
  <c r="BV71" i="15"/>
  <c r="G449" i="15"/>
  <c r="G450" i="15"/>
  <c r="AU427" i="15"/>
  <c r="AV427" i="15"/>
  <c r="AN85" i="15"/>
  <c r="AN86" i="15"/>
  <c r="AN24" i="15"/>
  <c r="BU446" i="15"/>
  <c r="BU449" i="15"/>
  <c r="O367" i="15"/>
  <c r="O435" i="15"/>
  <c r="O466" i="15"/>
  <c r="AZ554" i="15"/>
  <c r="BK67" i="15"/>
  <c r="BK69" i="15"/>
  <c r="BK71" i="15"/>
  <c r="BK47" i="15"/>
  <c r="BK560" i="15"/>
  <c r="BK119" i="15"/>
  <c r="BK121" i="15"/>
  <c r="BK125" i="15"/>
  <c r="BK126" i="15"/>
  <c r="Y550" i="15"/>
  <c r="BC264" i="15"/>
  <c r="BC265" i="15"/>
  <c r="AZ519" i="15"/>
  <c r="AZ39" i="15"/>
  <c r="AW550" i="15"/>
  <c r="BW447" i="15"/>
  <c r="BW450" i="15"/>
  <c r="BA363" i="15"/>
  <c r="BA431" i="15"/>
  <c r="BA285" i="15"/>
  <c r="BA318" i="15"/>
  <c r="W426" i="15"/>
  <c r="BA295" i="15"/>
  <c r="BA297" i="15"/>
  <c r="BU447" i="15"/>
  <c r="BU450" i="15"/>
  <c r="BA291" i="15"/>
  <c r="AH532" i="15"/>
  <c r="AH533" i="15"/>
  <c r="AH535" i="15"/>
  <c r="S302" i="15"/>
  <c r="S370" i="15"/>
  <c r="S260" i="15"/>
  <c r="S358" i="15"/>
  <c r="S423" i="15"/>
  <c r="BN423" i="15"/>
  <c r="S283" i="15"/>
  <c r="AS393" i="15"/>
  <c r="AS392" i="15"/>
  <c r="BA100" i="15"/>
  <c r="BA94" i="15"/>
  <c r="BA131" i="15"/>
  <c r="BA93" i="15"/>
  <c r="BA31" i="15"/>
  <c r="BA542" i="15"/>
  <c r="BA53" i="15"/>
  <c r="BA54" i="15"/>
  <c r="BT447" i="15"/>
  <c r="BT450" i="15"/>
  <c r="AJ560" i="15"/>
  <c r="AJ571" i="15"/>
  <c r="AC45" i="15"/>
  <c r="AC525" i="15"/>
  <c r="O366" i="15"/>
  <c r="O434" i="15"/>
  <c r="O468" i="15"/>
  <c r="BA83" i="15"/>
  <c r="BA286" i="15"/>
  <c r="BA265" i="15"/>
  <c r="BA364" i="15"/>
  <c r="BA432" i="15"/>
  <c r="BA465" i="15"/>
  <c r="S301" i="15"/>
  <c r="S369" i="15"/>
  <c r="S259" i="15"/>
  <c r="S467" i="15"/>
  <c r="S292" i="15"/>
  <c r="S422" i="15"/>
  <c r="BN422" i="15"/>
  <c r="S357" i="15"/>
  <c r="S282" i="15"/>
  <c r="BD107" i="15"/>
  <c r="BD329" i="15"/>
  <c r="BD327" i="15"/>
  <c r="BD391" i="15"/>
  <c r="BD106" i="15"/>
  <c r="BD328" i="15"/>
  <c r="BD425" i="15"/>
  <c r="AV426" i="15"/>
  <c r="AV311" i="15"/>
  <c r="AV379" i="15"/>
  <c r="BT449" i="15"/>
  <c r="BT446" i="15"/>
  <c r="AN562" i="15"/>
  <c r="AH397" i="15"/>
  <c r="AH396" i="15"/>
  <c r="BR395" i="15"/>
  <c r="BR397" i="15"/>
  <c r="BB367" i="15"/>
  <c r="BB435" i="15"/>
  <c r="BB466" i="15"/>
  <c r="BD562" i="15"/>
  <c r="AV138" i="15"/>
  <c r="AV339" i="15"/>
  <c r="AV399" i="15"/>
  <c r="AV335" i="15"/>
  <c r="AV397" i="15"/>
  <c r="E26" i="15"/>
  <c r="E73" i="15"/>
  <c r="E208" i="15"/>
  <c r="E224" i="15"/>
  <c r="P571" i="15"/>
  <c r="P214" i="15"/>
  <c r="P221" i="15"/>
  <c r="P562" i="15"/>
  <c r="P123" i="15"/>
  <c r="P122" i="15"/>
  <c r="P215" i="15"/>
  <c r="P530" i="15"/>
  <c r="P536" i="15"/>
  <c r="P125" i="15"/>
  <c r="P97" i="15"/>
  <c r="T214" i="15"/>
  <c r="AI25" i="15"/>
  <c r="AH26" i="15"/>
  <c r="AH73" i="15"/>
  <c r="F375" i="15"/>
  <c r="F472" i="15"/>
  <c r="BN447" i="15"/>
  <c r="BN450" i="15"/>
  <c r="T122" i="15"/>
  <c r="T126" i="15"/>
  <c r="AA530" i="15"/>
  <c r="AA536" i="15"/>
  <c r="AA127" i="15"/>
  <c r="AA109" i="15"/>
  <c r="AA126" i="15"/>
  <c r="BO471" i="15"/>
  <c r="BO444" i="15"/>
  <c r="T49" i="15"/>
  <c r="T97" i="15"/>
  <c r="T96" i="15"/>
  <c r="AP351" i="15"/>
  <c r="Y111" i="15"/>
  <c r="Y333" i="15"/>
  <c r="Y116" i="15"/>
  <c r="Y529" i="15"/>
  <c r="Y535" i="15"/>
  <c r="AA204" i="15"/>
  <c r="Y113" i="15"/>
  <c r="Z204" i="15"/>
  <c r="Y331" i="15"/>
  <c r="Y134" i="15"/>
  <c r="Y335" i="15"/>
  <c r="Y395" i="15"/>
  <c r="W367" i="15"/>
  <c r="W435" i="15"/>
  <c r="W466" i="15"/>
  <c r="X345" i="15"/>
  <c r="X150" i="15"/>
  <c r="X351" i="15"/>
  <c r="AA216" i="15"/>
  <c r="BD125" i="15"/>
  <c r="BD109" i="15"/>
  <c r="BD123" i="15"/>
  <c r="BW127" i="15"/>
  <c r="BW530" i="15"/>
  <c r="BW536" i="15"/>
  <c r="BW109" i="15"/>
  <c r="AS339" i="15"/>
  <c r="F443" i="15"/>
  <c r="F444" i="15"/>
  <c r="F450" i="15"/>
  <c r="F441" i="15"/>
  <c r="F437" i="15"/>
  <c r="F438" i="15"/>
  <c r="F449" i="15"/>
  <c r="F210" i="15"/>
  <c r="F463" i="15"/>
  <c r="F150" i="15"/>
  <c r="F345" i="15"/>
  <c r="BN449" i="15"/>
  <c r="BN446" i="15"/>
  <c r="S295" i="15"/>
  <c r="S297" i="15"/>
  <c r="S315" i="15"/>
  <c r="AV144" i="15"/>
  <c r="AV345" i="15"/>
  <c r="AZ45" i="15"/>
  <c r="AZ525" i="15"/>
  <c r="BV96" i="15"/>
  <c r="BV49" i="15"/>
  <c r="BV97" i="15"/>
  <c r="AC560" i="15"/>
  <c r="AC119" i="15"/>
  <c r="AC121" i="15"/>
  <c r="AC47" i="15"/>
  <c r="AJ562" i="15"/>
  <c r="S291" i="15"/>
  <c r="S316" i="15"/>
  <c r="BC367" i="15"/>
  <c r="BC435" i="15"/>
  <c r="BC466" i="15"/>
  <c r="AZ566" i="15"/>
  <c r="AV447" i="15"/>
  <c r="BD367" i="15"/>
  <c r="BD435" i="15"/>
  <c r="BD466" i="15"/>
  <c r="AY119" i="15"/>
  <c r="AY121" i="15"/>
  <c r="AY47" i="15"/>
  <c r="AY560" i="15"/>
  <c r="AY571" i="15"/>
  <c r="BA367" i="15"/>
  <c r="BA435" i="15"/>
  <c r="BA466" i="15"/>
  <c r="AJ123" i="15"/>
  <c r="AJ125" i="15"/>
  <c r="AJ122" i="15"/>
  <c r="AN122" i="15"/>
  <c r="BD213" i="15"/>
  <c r="BD220" i="15"/>
  <c r="BA213" i="15"/>
  <c r="BA220" i="15"/>
  <c r="BB213" i="15"/>
  <c r="BB220" i="15"/>
  <c r="BC468" i="15"/>
  <c r="BC366" i="15"/>
  <c r="BC434" i="15"/>
  <c r="BK123" i="15"/>
  <c r="BK122" i="15"/>
  <c r="BC213" i="15"/>
  <c r="BC220" i="15"/>
  <c r="BN466" i="15"/>
  <c r="BD468" i="15"/>
  <c r="BD366" i="15"/>
  <c r="BD434" i="15"/>
  <c r="BA519" i="15"/>
  <c r="AZ61" i="15"/>
  <c r="BR156" i="15"/>
  <c r="BD392" i="15"/>
  <c r="BD393" i="15"/>
  <c r="S363" i="15"/>
  <c r="S431" i="15"/>
  <c r="S264" i="15"/>
  <c r="S307" i="15"/>
  <c r="S318" i="15"/>
  <c r="S304" i="15"/>
  <c r="S372" i="15"/>
  <c r="S285" i="15"/>
  <c r="S286" i="15"/>
  <c r="S364" i="15"/>
  <c r="S432" i="15"/>
  <c r="S465" i="15"/>
  <c r="S305" i="15"/>
  <c r="S265" i="15"/>
  <c r="S466" i="15"/>
  <c r="BK97" i="15"/>
  <c r="BV125" i="15"/>
  <c r="BW122" i="15"/>
  <c r="BR399" i="15"/>
  <c r="BN470" i="15"/>
  <c r="BN440" i="15"/>
  <c r="BV571" i="15"/>
  <c r="BV562" i="15"/>
  <c r="BV214" i="15"/>
  <c r="BV221" i="15"/>
  <c r="BW214" i="15"/>
  <c r="BW221" i="15"/>
  <c r="BN468" i="15"/>
  <c r="BN307" i="15"/>
  <c r="P124" i="15"/>
  <c r="P216" i="15"/>
  <c r="P109" i="15"/>
  <c r="P134" i="15"/>
  <c r="P127" i="15"/>
  <c r="BD127" i="15"/>
  <c r="BD530" i="15"/>
  <c r="BD536" i="15"/>
  <c r="AA304" i="15"/>
  <c r="AA223" i="15"/>
  <c r="AA302" i="15"/>
  <c r="AA370" i="15"/>
  <c r="AA360" i="15"/>
  <c r="AA301" i="15"/>
  <c r="AA369" i="15"/>
  <c r="AA457" i="15"/>
  <c r="AA459" i="15"/>
  <c r="AA305" i="15"/>
  <c r="BW116" i="15"/>
  <c r="BW529" i="15"/>
  <c r="BW532" i="15"/>
  <c r="BW113" i="15"/>
  <c r="BW111" i="15"/>
  <c r="BW134" i="15"/>
  <c r="BW108" i="15"/>
  <c r="Y397" i="15"/>
  <c r="Z428" i="15"/>
  <c r="Z438" i="15"/>
  <c r="Y399" i="15"/>
  <c r="Y138" i="15"/>
  <c r="Y339" i="15"/>
  <c r="AA134" i="15"/>
  <c r="BP109" i="15"/>
  <c r="BP110" i="15"/>
  <c r="BP396" i="15"/>
  <c r="AA108" i="15"/>
  <c r="AA331" i="15"/>
  <c r="AA116" i="15"/>
  <c r="AA529" i="15"/>
  <c r="AA535" i="15"/>
  <c r="AA113" i="15"/>
  <c r="AA111" i="15"/>
  <c r="AA333" i="15"/>
  <c r="AA110" i="15"/>
  <c r="AA332" i="15"/>
  <c r="AA395" i="15"/>
  <c r="F151" i="15"/>
  <c r="F351" i="15"/>
  <c r="T159" i="15"/>
  <c r="T177" i="15"/>
  <c r="T217" i="15"/>
  <c r="Z302" i="15"/>
  <c r="Z370" i="15"/>
  <c r="Z301" i="15"/>
  <c r="Z369" i="15"/>
  <c r="Z305" i="15"/>
  <c r="Z469" i="15"/>
  <c r="Z457" i="15"/>
  <c r="Z304" i="15"/>
  <c r="Z360" i="15"/>
  <c r="Z223" i="15"/>
  <c r="Z315" i="15"/>
  <c r="AJ25" i="15"/>
  <c r="AK25" i="15"/>
  <c r="AL25" i="15"/>
  <c r="Z205" i="15"/>
  <c r="Z307" i="15"/>
  <c r="AA205" i="15"/>
  <c r="Y426" i="15"/>
  <c r="AV150" i="15"/>
  <c r="AY97" i="15"/>
  <c r="AY49" i="15"/>
  <c r="AY96" i="15"/>
  <c r="AC571" i="15"/>
  <c r="AC214" i="15"/>
  <c r="AY562" i="15"/>
  <c r="BV109" i="15"/>
  <c r="BV530" i="15"/>
  <c r="BV536" i="15"/>
  <c r="BV127" i="15"/>
  <c r="BV126" i="15"/>
  <c r="S367" i="15"/>
  <c r="S435" i="15"/>
  <c r="S308" i="15"/>
  <c r="AY125" i="15"/>
  <c r="BC122" i="15"/>
  <c r="S373" i="15"/>
  <c r="S469" i="15"/>
  <c r="BK127" i="15"/>
  <c r="BK109" i="15"/>
  <c r="AJ127" i="15"/>
  <c r="BV159" i="15"/>
  <c r="BV177" i="15"/>
  <c r="BV192" i="15"/>
  <c r="BV73" i="15"/>
  <c r="BV217" i="15"/>
  <c r="BV224" i="15"/>
  <c r="AZ119" i="15"/>
  <c r="AZ121" i="15"/>
  <c r="AZ215" i="15"/>
  <c r="AZ47" i="15"/>
  <c r="AZ560" i="15"/>
  <c r="BN471" i="15"/>
  <c r="BN444" i="15"/>
  <c r="S366" i="15"/>
  <c r="S434" i="15"/>
  <c r="S468" i="15"/>
  <c r="AC49" i="15"/>
  <c r="AC96" i="15"/>
  <c r="AC97" i="15"/>
  <c r="P529" i="15"/>
  <c r="P532" i="15"/>
  <c r="P533" i="15"/>
  <c r="P113" i="15"/>
  <c r="P111" i="15"/>
  <c r="P333" i="15"/>
  <c r="P204" i="15"/>
  <c r="P457" i="15"/>
  <c r="P331" i="15"/>
  <c r="P395" i="15"/>
  <c r="P397" i="15"/>
  <c r="P108" i="15"/>
  <c r="P116" i="15"/>
  <c r="AA307" i="15"/>
  <c r="AA472" i="15"/>
  <c r="AA308" i="15"/>
  <c r="Z316" i="15"/>
  <c r="BW535" i="15"/>
  <c r="Z361" i="15"/>
  <c r="Z308" i="15"/>
  <c r="Z458" i="15"/>
  <c r="Y144" i="15"/>
  <c r="Z470" i="15"/>
  <c r="Z372" i="15"/>
  <c r="Z440" i="15"/>
  <c r="Z437" i="15"/>
  <c r="Z441" i="15"/>
  <c r="AJ26" i="15"/>
  <c r="Z373" i="15"/>
  <c r="F352" i="15"/>
  <c r="F417" i="15"/>
  <c r="BP116" i="15"/>
  <c r="AA316" i="15"/>
  <c r="AA315" i="15"/>
  <c r="AE396" i="15"/>
  <c r="AA397" i="15"/>
  <c r="AA396" i="15"/>
  <c r="AA399" i="15"/>
  <c r="AA138" i="15"/>
  <c r="AA339" i="15"/>
  <c r="AA335" i="15"/>
  <c r="BW138" i="15"/>
  <c r="BW144" i="15"/>
  <c r="BW150" i="15"/>
  <c r="AA470" i="15"/>
  <c r="AA372" i="15"/>
  <c r="BD116" i="15"/>
  <c r="BD529" i="15"/>
  <c r="BD111" i="15"/>
  <c r="BD333" i="15"/>
  <c r="BD113" i="15"/>
  <c r="BD426" i="15"/>
  <c r="Z429" i="15"/>
  <c r="AA469" i="15"/>
  <c r="AA373" i="15"/>
  <c r="AC217" i="15"/>
  <c r="S472" i="15"/>
  <c r="S375" i="15"/>
  <c r="S471" i="15"/>
  <c r="S376" i="15"/>
  <c r="BV111" i="15"/>
  <c r="BV108" i="15"/>
  <c r="BV134" i="15"/>
  <c r="BV113" i="15"/>
  <c r="BV116" i="15"/>
  <c r="BV529" i="15"/>
  <c r="BW110" i="15"/>
  <c r="BW396" i="15"/>
  <c r="BV110" i="15"/>
  <c r="BV396" i="15"/>
  <c r="AV351" i="15"/>
  <c r="AZ97" i="15"/>
  <c r="AZ96" i="15"/>
  <c r="AZ49" i="15"/>
  <c r="AZ217" i="15" s="1"/>
  <c r="BK113" i="15"/>
  <c r="BK110" i="15"/>
  <c r="AY530" i="15"/>
  <c r="AY536" i="15"/>
  <c r="AY159" i="15"/>
  <c r="AY177" i="15"/>
  <c r="AY192" i="15"/>
  <c r="AZ122" i="15"/>
  <c r="AZ125" i="15"/>
  <c r="P360" i="15"/>
  <c r="P223" i="15"/>
  <c r="P316" i="15"/>
  <c r="P459" i="15"/>
  <c r="P304" i="15"/>
  <c r="P426" i="15"/>
  <c r="P205" i="15"/>
  <c r="P335" i="15"/>
  <c r="P399" i="15"/>
  <c r="P403" i="15"/>
  <c r="P409" i="15"/>
  <c r="P138" i="15"/>
  <c r="P339" i="15"/>
  <c r="P535" i="15"/>
  <c r="Z472" i="15"/>
  <c r="Z375" i="15"/>
  <c r="Z444" i="15"/>
  <c r="Y150" i="15"/>
  <c r="Y351" i="15"/>
  <c r="Y345" i="15"/>
  <c r="Z376" i="15"/>
  <c r="Z471" i="15"/>
  <c r="AA376" i="15"/>
  <c r="AA471" i="15"/>
  <c r="AA375" i="15"/>
  <c r="AA144" i="15"/>
  <c r="AA210" i="15"/>
  <c r="AA463" i="15"/>
  <c r="AA403" i="15"/>
  <c r="BV532" i="15"/>
  <c r="BV535" i="15"/>
  <c r="AZ126" i="15"/>
  <c r="AZ159" i="15"/>
  <c r="AZ177" i="15"/>
  <c r="BV138" i="15"/>
  <c r="BV144" i="15"/>
  <c r="P470" i="15"/>
  <c r="P372" i="15"/>
  <c r="P428" i="15"/>
  <c r="P315" i="15"/>
  <c r="P144" i="15"/>
  <c r="P361" i="15"/>
  <c r="P429" i="15"/>
  <c r="P458" i="15"/>
  <c r="AA345" i="15"/>
  <c r="AM25" i="15"/>
  <c r="AL26" i="15"/>
  <c r="AL73" i="15"/>
  <c r="AA409" i="15"/>
  <c r="P210" i="15"/>
  <c r="P463" i="15"/>
  <c r="AN25" i="15"/>
  <c r="AM26" i="15"/>
  <c r="AM73" i="15"/>
  <c r="AN26" i="15"/>
  <c r="AN73" i="15"/>
  <c r="D282" i="17"/>
  <c r="C1241" i="17"/>
  <c r="C399" i="17"/>
  <c r="D1236" i="17"/>
  <c r="C338" i="17"/>
  <c r="C339" i="17"/>
  <c r="C351" i="17"/>
  <c r="C234" i="17"/>
  <c r="C246" i="17"/>
  <c r="D120" i="17"/>
  <c r="D118" i="17"/>
  <c r="D122" i="17" s="1"/>
  <c r="D1209" i="17"/>
  <c r="D984" i="17"/>
  <c r="D317" i="17"/>
  <c r="C1691" i="17"/>
  <c r="C346" i="17"/>
  <c r="D997" i="17"/>
  <c r="J1464" i="17"/>
  <c r="C1048" i="17"/>
  <c r="J1038" i="17"/>
  <c r="C879" i="17"/>
  <c r="C716" i="17"/>
  <c r="D294" i="17"/>
  <c r="D319" i="17"/>
  <c r="D158" i="17"/>
  <c r="D163" i="17"/>
  <c r="D1470" i="17"/>
  <c r="D316" i="17"/>
  <c r="D320" i="17"/>
  <c r="K277" i="17"/>
  <c r="D290" i="17"/>
  <c r="D1202" i="17"/>
  <c r="D318" i="17"/>
  <c r="D279" i="17"/>
  <c r="D1462" i="17"/>
  <c r="C553" i="17"/>
  <c r="J7" i="17"/>
  <c r="K119" i="17"/>
  <c r="D277" i="17"/>
  <c r="D280" i="17"/>
  <c r="D284" i="17"/>
  <c r="D134" i="17"/>
  <c r="D1506" i="17"/>
  <c r="D1480" i="17"/>
  <c r="C1418" i="17"/>
  <c r="C1420" i="17"/>
  <c r="C391" i="17"/>
  <c r="C392" i="17"/>
  <c r="C404" i="17"/>
  <c r="C1022" i="17"/>
  <c r="D160" i="17"/>
  <c r="D125" i="17"/>
  <c r="D123" i="17"/>
  <c r="C1026" i="17"/>
  <c r="D162" i="17"/>
  <c r="D164" i="17"/>
  <c r="D283" i="17"/>
  <c r="D292" i="17"/>
  <c r="D1478" i="17"/>
  <c r="C935" i="17"/>
  <c r="C608" i="17"/>
  <c r="J598" i="17"/>
  <c r="C444" i="17"/>
  <c r="C445" i="17"/>
  <c r="J435" i="17"/>
  <c r="J224" i="17"/>
  <c r="C1060" i="17"/>
  <c r="J869" i="17"/>
  <c r="C891" i="17"/>
  <c r="J706" i="17"/>
  <c r="C728" i="17"/>
  <c r="C1376" i="17"/>
  <c r="D372" i="17"/>
  <c r="D370" i="17"/>
  <c r="C1152" i="17"/>
  <c r="C1154" i="17"/>
  <c r="C991" i="17"/>
  <c r="J981" i="17"/>
  <c r="K981" i="17"/>
  <c r="D939" i="17"/>
  <c r="C510" i="17"/>
  <c r="D1311" i="17"/>
  <c r="D1334" i="17"/>
  <c r="D1335" i="17"/>
  <c r="D371" i="17"/>
  <c r="D374" i="17"/>
  <c r="D480" i="17"/>
  <c r="D479" i="17"/>
  <c r="D443" i="17"/>
  <c r="C662" i="17"/>
  <c r="C81" i="17"/>
  <c r="C83" i="17"/>
  <c r="K436" i="17"/>
  <c r="D440" i="17"/>
  <c r="D424" i="17"/>
  <c r="D438" i="17"/>
  <c r="D321" i="17"/>
  <c r="D442" i="17"/>
  <c r="D47" i="17"/>
  <c r="D476" i="17"/>
  <c r="D435" i="17"/>
  <c r="D436" i="17"/>
  <c r="C1211" i="17"/>
  <c r="D437" i="17"/>
  <c r="C128" i="17"/>
  <c r="C881" i="17"/>
  <c r="J1516" i="17"/>
  <c r="J1518" i="17"/>
  <c r="D422" i="17"/>
  <c r="D477" i="17"/>
  <c r="D481" i="17" s="1"/>
  <c r="D369" i="17"/>
  <c r="D375" i="17"/>
  <c r="D426" i="17"/>
  <c r="D428" i="17" s="1"/>
  <c r="C452" i="17"/>
  <c r="J1142" i="17"/>
  <c r="J1144" i="17"/>
  <c r="C1003" i="17"/>
  <c r="C772" i="17"/>
  <c r="C782" i="17"/>
  <c r="J760" i="17"/>
  <c r="C1528" i="17"/>
  <c r="C1537" i="17"/>
  <c r="C1322" i="17"/>
  <c r="J1300" i="17"/>
  <c r="J1302" i="17"/>
  <c r="C1312" i="17"/>
  <c r="C674" i="17"/>
  <c r="J652" i="17"/>
  <c r="J654" i="17"/>
  <c r="C565" i="17"/>
  <c r="J543" i="17"/>
  <c r="C86" i="17"/>
  <c r="J64" i="17"/>
  <c r="C394" i="17"/>
  <c r="C130" i="17"/>
  <c r="J118" i="17"/>
  <c r="J1194" i="17"/>
  <c r="C1206" i="17"/>
  <c r="C1216" i="17"/>
  <c r="C1102" i="17"/>
  <c r="J1090" i="17"/>
  <c r="K1090" i="17"/>
  <c r="C1112" i="17"/>
  <c r="C947" i="17"/>
  <c r="J925" i="17"/>
  <c r="K925" i="17"/>
  <c r="C610" i="17"/>
  <c r="C447" i="17"/>
  <c r="C288" i="17"/>
  <c r="C298" i="17"/>
  <c r="J276" i="17"/>
  <c r="K276" i="17"/>
  <c r="C1269" i="17"/>
  <c r="J545" i="17"/>
  <c r="K545" i="17"/>
  <c r="D926" i="17"/>
  <c r="D930" i="17"/>
  <c r="D943" i="17"/>
  <c r="D609" i="17"/>
  <c r="D632" i="17"/>
  <c r="D633" i="17"/>
  <c r="C1024" i="17"/>
  <c r="C639" i="17"/>
  <c r="D986" i="17"/>
  <c r="D981" i="17"/>
  <c r="D528" i="17"/>
  <c r="D493" i="17"/>
  <c r="D491" i="17"/>
  <c r="D494" i="17"/>
  <c r="C966" i="17"/>
  <c r="C1624" i="17"/>
  <c r="C76" i="17"/>
  <c r="D931" i="17"/>
  <c r="D932" i="17"/>
  <c r="D830" i="17"/>
  <c r="C802" i="17"/>
  <c r="D504" i="17"/>
  <c r="D529" i="17"/>
  <c r="D1234" i="17"/>
  <c r="D331" i="17"/>
  <c r="C1484" i="17"/>
  <c r="J172" i="17"/>
  <c r="K172" i="17"/>
  <c r="J815" i="17"/>
  <c r="J817" i="17"/>
  <c r="D614" i="17"/>
  <c r="D989" i="17"/>
  <c r="C638" i="17"/>
  <c r="D604" i="17"/>
  <c r="D606" i="17"/>
  <c r="D823" i="17"/>
  <c r="D495" i="17"/>
  <c r="D531" i="17"/>
  <c r="C1259" i="17"/>
  <c r="D721" i="17"/>
  <c r="D927" i="17"/>
  <c r="C965" i="17"/>
  <c r="D936" i="17"/>
  <c r="D959" i="17"/>
  <c r="D960" i="17"/>
  <c r="D760" i="17"/>
  <c r="C643" i="17"/>
  <c r="D996" i="17"/>
  <c r="D601" i="17"/>
  <c r="D982" i="17"/>
  <c r="D1101" i="17"/>
  <c r="D1124" i="17"/>
  <c r="D1125" i="17"/>
  <c r="C642" i="17"/>
  <c r="C645" i="17"/>
  <c r="J490" i="17"/>
  <c r="K490" i="17"/>
  <c r="C184" i="17"/>
  <c r="C969" i="17"/>
  <c r="D887" i="17"/>
  <c r="C860" i="17"/>
  <c r="D496" i="17"/>
  <c r="D530" i="17"/>
  <c r="D533" i="17"/>
  <c r="D925" i="17"/>
  <c r="D933" i="17"/>
  <c r="C967" i="17"/>
  <c r="D816" i="17"/>
  <c r="D988" i="17"/>
  <c r="D990" i="17"/>
  <c r="D1199" i="17"/>
  <c r="D983" i="17"/>
  <c r="D985" i="17" s="1"/>
  <c r="D490" i="17"/>
  <c r="D492" i="17"/>
  <c r="C1025" i="17"/>
  <c r="C1366" i="17"/>
  <c r="J927" i="17"/>
  <c r="D885" i="17"/>
  <c r="C968" i="17"/>
  <c r="D883" i="17"/>
  <c r="C1623" i="17"/>
  <c r="D1235" i="17"/>
  <c r="D599" i="17"/>
  <c r="D605" i="17"/>
  <c r="D607" i="17"/>
  <c r="D534" i="17"/>
  <c r="D532" i="17"/>
  <c r="C1021" i="17"/>
  <c r="C1028" i="17" s="1"/>
  <c r="J1356" i="17"/>
  <c r="D612" i="17"/>
  <c r="D502" i="17"/>
  <c r="AU60" i="19"/>
  <c r="N145" i="19"/>
  <c r="N146" i="19"/>
  <c r="AC120" i="19"/>
  <c r="AL111" i="19"/>
  <c r="BC135" i="19"/>
  <c r="BD135" i="19"/>
  <c r="H509" i="15"/>
  <c r="BS485" i="15"/>
  <c r="BQ128" i="19"/>
  <c r="BQ129" i="19"/>
  <c r="K145" i="19"/>
  <c r="K146" i="19"/>
  <c r="AU136" i="19"/>
  <c r="BD155" i="19"/>
  <c r="BE155" i="19"/>
  <c r="BA153" i="19"/>
  <c r="H488" i="15"/>
  <c r="I128" i="19"/>
  <c r="I129" i="19"/>
  <c r="BD113" i="19"/>
  <c r="BE113" i="19"/>
  <c r="BI126" i="19"/>
  <c r="BM129" i="19"/>
  <c r="AI134" i="19"/>
  <c r="AJ134" i="19"/>
  <c r="AJ112" i="19"/>
  <c r="K487" i="15"/>
  <c r="K510" i="15"/>
  <c r="AX510" i="15"/>
  <c r="V125" i="19"/>
  <c r="U489" i="15"/>
  <c r="U512" i="15"/>
  <c r="BZ485" i="15"/>
  <c r="BZ508" i="15"/>
  <c r="AS157" i="19"/>
  <c r="BA114" i="19"/>
  <c r="AP128" i="19"/>
  <c r="AP129" i="19"/>
  <c r="BI120" i="19"/>
  <c r="O508" i="15"/>
  <c r="P512" i="15"/>
  <c r="AH486" i="15"/>
  <c r="AH509" i="15"/>
  <c r="U120" i="19"/>
  <c r="V120" i="19"/>
  <c r="I485" i="15"/>
  <c r="J128" i="19"/>
  <c r="J129" i="19"/>
  <c r="AN122" i="19"/>
  <c r="AL118" i="19"/>
  <c r="AI486" i="15"/>
  <c r="AO122" i="19"/>
  <c r="AV112" i="19"/>
  <c r="AV134" i="19"/>
  <c r="AU111" i="19"/>
  <c r="AW152" i="19"/>
  <c r="AY135" i="19"/>
  <c r="N485" i="15"/>
  <c r="BB486" i="15"/>
  <c r="BB509" i="15"/>
  <c r="BG118" i="19"/>
  <c r="BC486" i="15"/>
  <c r="BC509" i="15"/>
  <c r="AD114" i="19"/>
  <c r="AW114" i="19"/>
  <c r="AV136" i="19"/>
  <c r="AW136" i="19"/>
  <c r="AN511" i="15"/>
  <c r="F511" i="15"/>
  <c r="AE122" i="19"/>
  <c r="AD122" i="19"/>
  <c r="U116" i="19"/>
  <c r="T111" i="19"/>
  <c r="BR508" i="15"/>
  <c r="AL134" i="19"/>
  <c r="BP145" i="19"/>
  <c r="BP146" i="19"/>
  <c r="AV135" i="19"/>
  <c r="AW113" i="19"/>
  <c r="AV121" i="19"/>
  <c r="AU118" i="19"/>
  <c r="AQ486" i="15"/>
  <c r="AQ509" i="15"/>
  <c r="BC134" i="19"/>
  <c r="BD134" i="19"/>
  <c r="BD145" i="19" s="1"/>
  <c r="BD146" i="19" s="1"/>
  <c r="BB145" i="19"/>
  <c r="BB146" i="19"/>
  <c r="AX485" i="15"/>
  <c r="Q137" i="19"/>
  <c r="Q145" i="19"/>
  <c r="AD511" i="15"/>
  <c r="J510" i="15"/>
  <c r="P513" i="15"/>
  <c r="D999" i="17"/>
  <c r="C718" i="17"/>
  <c r="D1411" i="17"/>
  <c r="J1249" i="17"/>
  <c r="D1047" i="17"/>
  <c r="C942" i="17"/>
  <c r="C454" i="17"/>
  <c r="D1262" i="17"/>
  <c r="D1450" i="17"/>
  <c r="D129" i="17"/>
  <c r="D152" i="17"/>
  <c r="D153" i="17"/>
  <c r="D1422" i="17"/>
  <c r="C1474" i="17"/>
  <c r="D1448" i="17"/>
  <c r="D1451" i="17"/>
  <c r="D1409" i="17"/>
  <c r="D136" i="17"/>
  <c r="C1371" i="17"/>
  <c r="C1373" i="17"/>
  <c r="C1159" i="17"/>
  <c r="C1161" i="17"/>
  <c r="K1091" i="17"/>
  <c r="C615" i="17"/>
  <c r="C617" i="17"/>
  <c r="D1580" i="17"/>
  <c r="C1677" i="17"/>
  <c r="C1107" i="17"/>
  <c r="C1109" i="17"/>
  <c r="C1676" i="17"/>
  <c r="C1675" i="17"/>
  <c r="C998" i="17"/>
  <c r="C1000" i="17"/>
  <c r="D1160" i="17"/>
  <c r="D1108" i="17"/>
  <c r="C1135" i="17"/>
  <c r="D1105" i="17"/>
  <c r="C1681" i="17"/>
  <c r="D776" i="17"/>
  <c r="D613" i="17"/>
  <c r="D615" i="17" s="1"/>
  <c r="K869" i="17"/>
  <c r="C1085" i="17"/>
  <c r="C694" i="17"/>
  <c r="C693" i="17"/>
  <c r="D657" i="17"/>
  <c r="D884" i="17"/>
  <c r="D886" i="17"/>
  <c r="D503" i="17"/>
  <c r="K926" i="17"/>
  <c r="K927" i="17" s="1"/>
  <c r="K653" i="17"/>
  <c r="D660" i="17"/>
  <c r="K652" i="17"/>
  <c r="K870" i="17"/>
  <c r="D667" i="17"/>
  <c r="D1419" i="17"/>
  <c r="D1442" i="17"/>
  <c r="D1443" i="17"/>
  <c r="D653" i="17"/>
  <c r="D449" i="17"/>
  <c r="C1587" i="17"/>
  <c r="C1589" i="17"/>
  <c r="D506" i="17"/>
  <c r="D870" i="17"/>
  <c r="D652" i="17"/>
  <c r="C697" i="17"/>
  <c r="D1261" i="17"/>
  <c r="D940" i="17"/>
  <c r="D451" i="17"/>
  <c r="K654" i="17"/>
  <c r="D995" i="17"/>
  <c r="D998" i="17"/>
  <c r="C500" i="17"/>
  <c r="D654" i="17"/>
  <c r="C695" i="17"/>
  <c r="C699" i="17"/>
  <c r="D659" i="17"/>
  <c r="K982" i="17"/>
  <c r="K983" i="17"/>
  <c r="D499" i="17"/>
  <c r="D522" i="17"/>
  <c r="D523" i="17"/>
  <c r="D658" i="17"/>
  <c r="C686" i="17"/>
  <c r="C687" i="17"/>
  <c r="D877" i="17"/>
  <c r="D668" i="17"/>
  <c r="C1641" i="17"/>
  <c r="C97" i="17"/>
  <c r="C98" i="17"/>
  <c r="D941" i="17"/>
  <c r="D942" i="17" s="1"/>
  <c r="D340" i="17"/>
  <c r="D363" i="17"/>
  <c r="D364" i="17"/>
  <c r="C937" i="17"/>
  <c r="C1633" i="17"/>
  <c r="D1655" i="17"/>
  <c r="D1656" i="17"/>
  <c r="D548" i="17"/>
  <c r="D767" i="17"/>
  <c r="K1195" i="17"/>
  <c r="D1582" i="17"/>
  <c r="D1604" i="17"/>
  <c r="D1605" i="17"/>
  <c r="D1239" i="17"/>
  <c r="C1629" i="17"/>
  <c r="D544" i="17"/>
  <c r="C1281" i="17"/>
  <c r="C1282" i="17"/>
  <c r="D1503" i="17"/>
  <c r="D1300" i="17"/>
  <c r="D1182" i="17"/>
  <c r="D670" i="17"/>
  <c r="D78" i="17"/>
  <c r="D551" i="17"/>
  <c r="D1238" i="17"/>
  <c r="C583" i="17"/>
  <c r="D771" i="17"/>
  <c r="D794" i="17"/>
  <c r="D795" i="17"/>
  <c r="K544" i="17"/>
  <c r="C886" i="17"/>
  <c r="C888" i="17"/>
  <c r="C584" i="17"/>
  <c r="D543" i="17"/>
  <c r="C1636" i="17"/>
  <c r="D762" i="17"/>
  <c r="C669" i="17"/>
  <c r="C671" i="17"/>
  <c r="D765" i="17"/>
  <c r="D446" i="17"/>
  <c r="D469" i="17"/>
  <c r="D470" i="17"/>
  <c r="D561" i="17"/>
  <c r="C1649" i="17"/>
  <c r="C1622" i="17"/>
  <c r="C1627" i="17"/>
  <c r="D554" i="17"/>
  <c r="D577" i="17"/>
  <c r="D578" i="17"/>
  <c r="D763" i="17"/>
  <c r="D766" i="17"/>
  <c r="C803" i="17"/>
  <c r="C805" i="17"/>
  <c r="D1208" i="17"/>
  <c r="D768" i="17"/>
  <c r="C310" i="17"/>
  <c r="C311" i="17"/>
  <c r="D1197" i="17"/>
  <c r="C832" i="17"/>
  <c r="C834" i="17"/>
  <c r="C1628" i="17"/>
  <c r="C1631" i="17"/>
  <c r="C1637" i="17"/>
  <c r="D546" i="17"/>
  <c r="C801" i="17"/>
  <c r="D775" i="17"/>
  <c r="C1583" i="17"/>
  <c r="C1625" i="17"/>
  <c r="C800" i="17"/>
  <c r="D557" i="17"/>
  <c r="K760" i="17"/>
  <c r="D1104" i="17"/>
  <c r="D1107" i="17"/>
  <c r="C777" i="17"/>
  <c r="C779" i="17"/>
  <c r="C586" i="17"/>
  <c r="D1201" i="17"/>
  <c r="D1203" i="17"/>
  <c r="D1205" i="17"/>
  <c r="D1228" i="17"/>
  <c r="D1229" i="17"/>
  <c r="D1575" i="17"/>
  <c r="D1477" i="17"/>
  <c r="D1212" i="17"/>
  <c r="C505" i="17"/>
  <c r="C507" i="17"/>
  <c r="C1645" i="17"/>
  <c r="C1646" i="17"/>
  <c r="D1194" i="17"/>
  <c r="C589" i="17"/>
  <c r="K1301" i="17"/>
  <c r="D774" i="17"/>
  <c r="D777" i="17"/>
  <c r="D1210" i="17"/>
  <c r="D450" i="17"/>
  <c r="D452" i="17" s="1"/>
  <c r="D545" i="17"/>
  <c r="D547" i="17" s="1"/>
  <c r="D833" i="17"/>
  <c r="C723" i="17"/>
  <c r="D559" i="17"/>
  <c r="D79" i="17"/>
  <c r="C341" i="17"/>
  <c r="C293" i="17"/>
  <c r="C295" i="17"/>
  <c r="C587" i="17"/>
  <c r="C1639" i="17"/>
  <c r="C804" i="17"/>
  <c r="C555" i="17"/>
  <c r="C588" i="17"/>
  <c r="K1572" i="17"/>
  <c r="K1573" i="17"/>
  <c r="P347" i="15"/>
  <c r="BE414" i="15"/>
  <c r="K1143" i="17"/>
  <c r="C1317" i="17"/>
  <c r="C1319" i="17"/>
  <c r="D1316" i="17"/>
  <c r="D1317" i="17"/>
  <c r="D345" i="17"/>
  <c r="D336" i="17"/>
  <c r="D347" i="17"/>
  <c r="D344" i="17"/>
  <c r="D337" i="17"/>
  <c r="D343" i="17"/>
  <c r="D335" i="17"/>
  <c r="D330" i="17"/>
  <c r="D334" i="17"/>
  <c r="D329" i="17"/>
  <c r="D333" i="17"/>
  <c r="D227" i="17"/>
  <c r="D225" i="17"/>
  <c r="D266" i="17"/>
  <c r="D267" i="17"/>
  <c r="D265" i="17"/>
  <c r="D242" i="17"/>
  <c r="D232" i="17"/>
  <c r="D231" i="17"/>
  <c r="D230" i="17"/>
  <c r="D226" i="17"/>
  <c r="D264" i="17"/>
  <c r="D269" i="17"/>
  <c r="D268" i="17"/>
  <c r="D224" i="17"/>
  <c r="D714" i="17"/>
  <c r="D713" i="17"/>
  <c r="C749" i="17"/>
  <c r="C746" i="17"/>
  <c r="D706" i="17"/>
  <c r="D708" i="17"/>
  <c r="D707" i="17"/>
  <c r="D711" i="17"/>
  <c r="D724" i="17"/>
  <c r="C750" i="17"/>
  <c r="C751" i="17"/>
  <c r="D712" i="17"/>
  <c r="D715" i="17"/>
  <c r="D709" i="17"/>
  <c r="D722" i="17"/>
  <c r="K707" i="17"/>
  <c r="C748" i="17"/>
  <c r="D1094" i="17"/>
  <c r="C1055" i="17"/>
  <c r="C1057" i="17"/>
  <c r="D1053" i="17"/>
  <c r="K761" i="17"/>
  <c r="J762" i="17"/>
  <c r="D1617" i="17"/>
  <c r="D293" i="17"/>
  <c r="C827" i="17"/>
  <c r="D1150" i="17"/>
  <c r="D1148" i="17"/>
  <c r="D82" i="17"/>
  <c r="D1158" i="17"/>
  <c r="D1159" i="17"/>
  <c r="C1479" i="17"/>
  <c r="C1481" i="17"/>
  <c r="D384" i="17"/>
  <c r="D717" i="17"/>
  <c r="D740" i="17"/>
  <c r="D741" i="17"/>
  <c r="C914" i="17"/>
  <c r="D820" i="17"/>
  <c r="D1318" i="17"/>
  <c r="D1308" i="17"/>
  <c r="D1345" i="17"/>
  <c r="D875" i="17"/>
  <c r="D1342" i="17"/>
  <c r="D1049" i="17"/>
  <c r="D1072" i="17"/>
  <c r="D1073" i="17"/>
  <c r="D929" i="17"/>
  <c r="D1258" i="17"/>
  <c r="D1281" i="17"/>
  <c r="D1282" i="17"/>
  <c r="C1131" i="17"/>
  <c r="D1097" i="17"/>
  <c r="D1301" i="17"/>
  <c r="D1305" i="17"/>
  <c r="D104" i="17"/>
  <c r="D103" i="17"/>
  <c r="C855" i="17"/>
  <c r="C1679" i="17"/>
  <c r="C1682" i="17"/>
  <c r="C664" i="17"/>
  <c r="C1050" i="17"/>
  <c r="D1153" i="17"/>
  <c r="D1176" i="17"/>
  <c r="D1177" i="17"/>
  <c r="D1467" i="17"/>
  <c r="D1504" i="17"/>
  <c r="C1132" i="17"/>
  <c r="C560" i="17"/>
  <c r="C562" i="17"/>
  <c r="D1098" i="17"/>
  <c r="D829" i="17"/>
  <c r="C857" i="17"/>
  <c r="D826" i="17"/>
  <c r="D849" i="17"/>
  <c r="D850" i="17"/>
  <c r="D1302" i="17"/>
  <c r="D871" i="17"/>
  <c r="C910" i="17"/>
  <c r="D778" i="17"/>
  <c r="D7" i="17"/>
  <c r="D11" i="17"/>
  <c r="D48" i="17"/>
  <c r="D70" i="17"/>
  <c r="D387" i="17"/>
  <c r="D397" i="17"/>
  <c r="C1674" i="17"/>
  <c r="C1688" i="17"/>
  <c r="C1690" i="17"/>
  <c r="D1463" i="17"/>
  <c r="D1473" i="17"/>
  <c r="D1496" i="17"/>
  <c r="D1497" i="17"/>
  <c r="D1142" i="17"/>
  <c r="D1149" i="17"/>
  <c r="D1468" i="17"/>
  <c r="C1133" i="17"/>
  <c r="D1465" i="17"/>
  <c r="C909" i="17"/>
  <c r="D822" i="17"/>
  <c r="C858" i="17"/>
  <c r="D817" i="17"/>
  <c r="D1586" i="17"/>
  <c r="D1587" i="17"/>
  <c r="D1306" i="17"/>
  <c r="D1343" i="17"/>
  <c r="D1476" i="17"/>
  <c r="D50" i="17"/>
  <c r="D105" i="17"/>
  <c r="D382" i="17"/>
  <c r="D1505" i="17"/>
  <c r="D1509" i="17"/>
  <c r="D1469" i="17"/>
  <c r="K330" i="17"/>
  <c r="C1680" i="17"/>
  <c r="D1095" i="17"/>
  <c r="D1099" i="17"/>
  <c r="D1100" i="17"/>
  <c r="D75" i="17"/>
  <c r="D97" i="17"/>
  <c r="D98" i="17"/>
  <c r="K1462" i="17"/>
  <c r="K1464" i="17"/>
  <c r="D1147" i="17"/>
  <c r="D1151" i="17"/>
  <c r="D720" i="17"/>
  <c r="D723" i="17"/>
  <c r="D872" i="17"/>
  <c r="D873" i="17" s="1"/>
  <c r="C912" i="17"/>
  <c r="D818" i="17"/>
  <c r="C859" i="17"/>
  <c r="D815" i="17"/>
  <c r="D819" i="17" s="1"/>
  <c r="D874" i="17"/>
  <c r="D390" i="17"/>
  <c r="D396" i="17"/>
  <c r="D399" i="17"/>
  <c r="D46" i="17"/>
  <c r="D65" i="17"/>
  <c r="D388" i="17"/>
  <c r="D64" i="17"/>
  <c r="D1187" i="17"/>
  <c r="C1698" i="17"/>
  <c r="D1423" i="17"/>
  <c r="C1264" i="17"/>
  <c r="C1266" i="17"/>
  <c r="D1533" i="17"/>
  <c r="D1530" i="17"/>
  <c r="C1213" i="17"/>
  <c r="D1185" i="17"/>
  <c r="D1143" i="17"/>
  <c r="D1144" i="17"/>
  <c r="D1145" i="17"/>
  <c r="C913" i="17"/>
  <c r="D108" i="17"/>
  <c r="D109" i="17"/>
  <c r="D876" i="17"/>
  <c r="D821" i="17"/>
  <c r="D824" i="17" s="1"/>
  <c r="D825" i="17" s="1"/>
  <c r="C911" i="17"/>
  <c r="D1042" i="17"/>
  <c r="D80" i="17"/>
  <c r="D831" i="17"/>
  <c r="D832" i="17" s="1"/>
  <c r="D49" i="17"/>
  <c r="D66" i="17"/>
  <c r="D68" i="17"/>
  <c r="D71" i="17"/>
  <c r="D73" i="17" s="1"/>
  <c r="K383" i="17"/>
  <c r="C1685" i="17"/>
  <c r="D1707" i="17"/>
  <c r="D1708" i="17"/>
  <c r="D186" i="17"/>
  <c r="J1573" i="17"/>
  <c r="D1453" i="17"/>
  <c r="D179" i="17"/>
  <c r="K1409" i="17"/>
  <c r="D1426" i="17"/>
  <c r="D1248" i="17"/>
  <c r="D1415" i="17"/>
  <c r="D1413" i="17"/>
  <c r="D1560" i="17"/>
  <c r="D1558" i="17"/>
  <c r="D1524" i="17"/>
  <c r="D174" i="17"/>
  <c r="D1255" i="17"/>
  <c r="D1449" i="17"/>
  <c r="D1254" i="17"/>
  <c r="D1253" i="17"/>
  <c r="D216" i="17"/>
  <c r="D217" i="17"/>
  <c r="D190" i="17"/>
  <c r="D1414" i="17"/>
  <c r="D1417" i="17" s="1"/>
  <c r="D1517" i="17"/>
  <c r="C903" i="17"/>
  <c r="C904" i="17"/>
  <c r="D188" i="17"/>
  <c r="D1252" i="17"/>
  <c r="D212" i="17"/>
  <c r="D215" i="17"/>
  <c r="D175" i="17"/>
  <c r="D1555" i="17"/>
  <c r="D1518" i="17"/>
  <c r="D880" i="17"/>
  <c r="D903" i="17"/>
  <c r="D904" i="17"/>
  <c r="D1263" i="17"/>
  <c r="D1288" i="17"/>
  <c r="D1294" i="17"/>
  <c r="D172" i="17"/>
  <c r="C1532" i="17"/>
  <c r="C1534" i="17"/>
  <c r="D1408" i="17"/>
  <c r="D1559" i="17"/>
  <c r="D1523" i="17"/>
  <c r="K173" i="17"/>
  <c r="D1410" i="17"/>
  <c r="D1424" i="17"/>
  <c r="D1425" i="17" s="1"/>
  <c r="D177" i="17"/>
  <c r="D1250" i="17"/>
  <c r="D1452" i="17"/>
  <c r="D1455" i="17" s="1"/>
  <c r="D1522" i="17"/>
  <c r="D1516" i="17"/>
  <c r="C585" i="17"/>
  <c r="D127" i="17"/>
  <c r="D128" i="17"/>
  <c r="D213" i="17"/>
  <c r="D214" i="17"/>
  <c r="C1425" i="17"/>
  <c r="D180" i="17"/>
  <c r="D178" i="17"/>
  <c r="D181" i="17" s="1"/>
  <c r="D1531" i="17"/>
  <c r="K1247" i="17"/>
  <c r="K1249" i="17"/>
  <c r="D560" i="17"/>
  <c r="D1265" i="17"/>
  <c r="D1527" i="17"/>
  <c r="D1549" i="17"/>
  <c r="D1550" i="17"/>
  <c r="D1519" i="17"/>
  <c r="K1516" i="17"/>
  <c r="K1518" i="17"/>
  <c r="D1556" i="17"/>
  <c r="D1562" i="17" s="1"/>
  <c r="K598" i="17"/>
  <c r="K1038" i="17"/>
  <c r="K1040" i="17"/>
  <c r="J1040" i="17"/>
  <c r="J1408" i="17"/>
  <c r="D444" i="17"/>
  <c r="C1678" i="17"/>
  <c r="K1300" i="17"/>
  <c r="K1302" i="17" s="1"/>
  <c r="J871" i="17"/>
  <c r="C140" i="17"/>
  <c r="C348" i="17"/>
  <c r="C1164" i="17"/>
  <c r="D439" i="17"/>
  <c r="D445" i="17" s="1"/>
  <c r="D447" i="17" s="1"/>
  <c r="J708" i="17"/>
  <c r="C457" i="17"/>
  <c r="K1092" i="17"/>
  <c r="J329" i="17"/>
  <c r="D285" i="17"/>
  <c r="D286" i="17" s="1"/>
  <c r="C401" i="17"/>
  <c r="C944" i="17"/>
  <c r="J382" i="17"/>
  <c r="K64" i="17"/>
  <c r="C1427" i="17"/>
  <c r="K224" i="17"/>
  <c r="C725" i="17"/>
  <c r="K543" i="17"/>
  <c r="J1092" i="17"/>
  <c r="K708" i="17"/>
  <c r="D661" i="17"/>
  <c r="K1142" i="17"/>
  <c r="K1144" i="17"/>
  <c r="K706" i="17"/>
  <c r="K329" i="17"/>
  <c r="D602" i="17"/>
  <c r="D505" i="17"/>
  <c r="J174" i="17"/>
  <c r="K815" i="17"/>
  <c r="J600" i="17"/>
  <c r="K600" i="17"/>
  <c r="J1196" i="17"/>
  <c r="K1194" i="17"/>
  <c r="K1196" i="17"/>
  <c r="J120" i="17"/>
  <c r="K120" i="17"/>
  <c r="K118" i="17"/>
  <c r="J278" i="17"/>
  <c r="K435" i="17"/>
  <c r="J437" i="17"/>
  <c r="J983" i="17"/>
  <c r="S485" i="15"/>
  <c r="AW112" i="19"/>
  <c r="N508" i="15"/>
  <c r="AI485" i="15"/>
  <c r="AI508" i="15"/>
  <c r="AE120" i="19"/>
  <c r="AD120" i="19"/>
  <c r="H511" i="15"/>
  <c r="H492" i="15"/>
  <c r="H494" i="15"/>
  <c r="BS508" i="15"/>
  <c r="D1048" i="17"/>
  <c r="D1060" i="17"/>
  <c r="D1198" i="17"/>
  <c r="D1204" i="17"/>
  <c r="D552" i="17"/>
  <c r="D1581" i="17"/>
  <c r="D1592" i="17"/>
  <c r="D1479" i="17"/>
  <c r="D1264" i="17"/>
  <c r="C590" i="17"/>
  <c r="D656" i="17"/>
  <c r="D662" i="17" s="1"/>
  <c r="D386" i="17"/>
  <c r="C1638" i="17"/>
  <c r="D669" i="17"/>
  <c r="D1532" i="17"/>
  <c r="D1211" i="17"/>
  <c r="D1213" i="17" s="1"/>
  <c r="K871" i="17"/>
  <c r="D1251" i="17"/>
  <c r="C1626" i="17"/>
  <c r="C1632" i="17" s="1"/>
  <c r="C1640" i="17" s="1"/>
  <c r="C862" i="17"/>
  <c r="D338" i="17"/>
  <c r="D339" i="17" s="1"/>
  <c r="D1304" i="17"/>
  <c r="D176" i="17"/>
  <c r="C1647" i="17"/>
  <c r="D1189" i="17"/>
  <c r="D1466" i="17"/>
  <c r="D1471" i="17"/>
  <c r="D1472" i="17"/>
  <c r="D1347" i="17"/>
  <c r="D1146" i="17"/>
  <c r="D1152" i="17" s="1"/>
  <c r="C753" i="17"/>
  <c r="D1256" i="17"/>
  <c r="C916" i="17"/>
  <c r="D1520" i="17"/>
  <c r="C1683" i="17"/>
  <c r="C1684" i="17"/>
  <c r="C1137" i="17"/>
  <c r="D346" i="17"/>
  <c r="D1525" i="17"/>
  <c r="D1526" i="17"/>
  <c r="D391" i="17"/>
  <c r="K762" i="17"/>
  <c r="D233" i="17"/>
  <c r="D228" i="17"/>
  <c r="D218" i="17"/>
  <c r="D1412" i="17"/>
  <c r="J384" i="17"/>
  <c r="K384" i="17"/>
  <c r="J1410" i="17"/>
  <c r="K382" i="17"/>
  <c r="D991" i="17"/>
  <c r="D1000" i="17" s="1"/>
  <c r="D608" i="17"/>
  <c r="D617" i="17"/>
  <c r="D610" i="17"/>
  <c r="J331" i="17"/>
  <c r="K331" i="17"/>
  <c r="K1408" i="17"/>
  <c r="K1410" i="17"/>
  <c r="D1050" i="17"/>
  <c r="K278" i="17"/>
  <c r="K437" i="17"/>
  <c r="K174" i="17"/>
  <c r="D1589" i="17"/>
  <c r="D392" i="17"/>
  <c r="D401" i="17" s="1"/>
  <c r="D394" i="17"/>
  <c r="D1257" i="17"/>
  <c r="D1266" i="17"/>
  <c r="D234" i="17"/>
  <c r="D1259" i="17"/>
  <c r="D1269" i="17"/>
  <c r="AI509" i="15"/>
  <c r="AV145" i="19"/>
  <c r="AV146" i="19"/>
  <c r="BP488" i="15"/>
  <c r="AB124" i="19"/>
  <c r="R510" i="15"/>
  <c r="T123" i="19"/>
  <c r="M145" i="19"/>
  <c r="M146" i="19"/>
  <c r="AP486" i="15"/>
  <c r="AT128" i="19"/>
  <c r="AT129" i="19"/>
  <c r="BG134" i="19"/>
  <c r="BG145" i="19"/>
  <c r="BU145" i="19"/>
  <c r="AM134" i="19"/>
  <c r="AO112" i="19"/>
  <c r="AJ113" i="19"/>
  <c r="AQ136" i="19"/>
  <c r="BQ145" i="19"/>
  <c r="BQ146" i="19"/>
  <c r="L488" i="15"/>
  <c r="AS124" i="19"/>
  <c r="AX488" i="15"/>
  <c r="AX511" i="15"/>
  <c r="BV488" i="15"/>
  <c r="BV511" i="15"/>
  <c r="BV515" i="15"/>
  <c r="BV516" i="15"/>
  <c r="BC124" i="19"/>
  <c r="V489" i="15"/>
  <c r="V512" i="15"/>
  <c r="Y125" i="19"/>
  <c r="X489" i="15"/>
  <c r="BT487" i="15"/>
  <c r="BR128" i="19"/>
  <c r="BR129" i="19"/>
  <c r="AU123" i="19"/>
  <c r="AV124" i="19"/>
  <c r="AW124" i="19"/>
  <c r="BI127" i="19"/>
  <c r="BD491" i="15"/>
  <c r="BE491" i="15"/>
  <c r="AH487" i="15"/>
  <c r="AH510" i="15"/>
  <c r="AL123" i="19"/>
  <c r="AR135" i="19"/>
  <c r="AS135" i="19"/>
  <c r="AS113" i="19"/>
  <c r="BQ509" i="15"/>
  <c r="AR114" i="19"/>
  <c r="AR111" i="19"/>
  <c r="AQ111" i="19"/>
  <c r="AR122" i="19"/>
  <c r="AS122" i="19"/>
  <c r="AQ118" i="19"/>
  <c r="AY134" i="19"/>
  <c r="AX145" i="19"/>
  <c r="AX146" i="19"/>
  <c r="BA119" i="19"/>
  <c r="AA487" i="15"/>
  <c r="AC123" i="19"/>
  <c r="F510" i="15"/>
  <c r="BA157" i="19"/>
  <c r="AY161" i="19"/>
  <c r="H512" i="15"/>
  <c r="Z486" i="15"/>
  <c r="AA128" i="19"/>
  <c r="AA129" i="19"/>
  <c r="S111" i="19"/>
  <c r="U112" i="19"/>
  <c r="U111" i="19" s="1"/>
  <c r="V112" i="19"/>
  <c r="AM121" i="19"/>
  <c r="AN121" i="19"/>
  <c r="AN118" i="19"/>
  <c r="K492" i="15"/>
  <c r="P511" i="15"/>
  <c r="Z511" i="15"/>
  <c r="V114" i="19"/>
  <c r="BT508" i="15"/>
  <c r="AG146" i="19"/>
  <c r="G509" i="15"/>
  <c r="AA512" i="15"/>
  <c r="BF389" i="15"/>
  <c r="BF402" i="15"/>
  <c r="BF358" i="15"/>
  <c r="BF283" i="15"/>
  <c r="BF291" i="15"/>
  <c r="BF336" i="15"/>
  <c r="BF340" i="15"/>
  <c r="BF350" i="15"/>
  <c r="BF554" i="15"/>
  <c r="BF566" i="15"/>
  <c r="D341" i="17"/>
  <c r="D348" i="17"/>
  <c r="D553" i="17"/>
  <c r="D295" i="17"/>
  <c r="D288" i="17"/>
  <c r="D1534" i="17"/>
  <c r="D1528" i="17"/>
  <c r="D1537" i="17"/>
  <c r="D1109" i="17"/>
  <c r="D1112" i="17"/>
  <c r="D1102" i="17"/>
  <c r="D1481" i="17"/>
  <c r="D1474" i="17"/>
  <c r="D1484" i="17"/>
  <c r="D671" i="17"/>
  <c r="D664" i="17"/>
  <c r="D130" i="17"/>
  <c r="D1154" i="17"/>
  <c r="D1161" i="17"/>
  <c r="D1164" i="17"/>
  <c r="D827" i="17"/>
  <c r="D834" i="17"/>
  <c r="C1692" i="17"/>
  <c r="C1695" i="17"/>
  <c r="C1686" i="17"/>
  <c r="D74" i="17"/>
  <c r="C1634" i="17"/>
  <c r="D1634" i="17"/>
  <c r="C1643" i="17"/>
  <c r="D1632" i="17"/>
  <c r="D1583" i="17"/>
  <c r="D1216" i="17"/>
  <c r="D497" i="17"/>
  <c r="D498" i="17"/>
  <c r="D934" i="17"/>
  <c r="D935" i="17"/>
  <c r="BN443" i="15"/>
  <c r="BN472" i="15"/>
  <c r="D1206" i="17"/>
  <c r="BD514" i="15"/>
  <c r="BE514" i="15"/>
  <c r="D1241" i="17"/>
  <c r="P440" i="15"/>
  <c r="P441" i="15"/>
  <c r="P449" i="15"/>
  <c r="P437" i="15"/>
  <c r="P450" i="15"/>
  <c r="P438" i="15"/>
  <c r="D454" i="17"/>
  <c r="K817" i="17"/>
  <c r="D535" i="17"/>
  <c r="BD535" i="15"/>
  <c r="BD532" i="15"/>
  <c r="BD533" i="15"/>
  <c r="BV150" i="15"/>
  <c r="AZ127" i="15"/>
  <c r="BD126" i="15"/>
  <c r="AZ109" i="15"/>
  <c r="AZ530" i="15"/>
  <c r="AZ536" i="15"/>
  <c r="BW151" i="15"/>
  <c r="BW152" i="15"/>
  <c r="P150" i="15"/>
  <c r="P345" i="15"/>
  <c r="F152" i="15"/>
  <c r="F156" i="15"/>
  <c r="AC122" i="15"/>
  <c r="AC215" i="15"/>
  <c r="AC125" i="15"/>
  <c r="BP529" i="15"/>
  <c r="BP535" i="15"/>
  <c r="BP113" i="15"/>
  <c r="BP205" i="15"/>
  <c r="BP108" i="15"/>
  <c r="BP204" i="15"/>
  <c r="BP111" i="15"/>
  <c r="BP134" i="15"/>
  <c r="AZ562" i="15"/>
  <c r="AY127" i="15"/>
  <c r="AY123" i="15"/>
  <c r="AY215" i="15"/>
  <c r="AY222" i="15"/>
  <c r="AO25" i="15"/>
  <c r="AP25" i="15"/>
  <c r="AA150" i="15"/>
  <c r="P305" i="15"/>
  <c r="BD122" i="15"/>
  <c r="AY109" i="15"/>
  <c r="AZ571" i="15"/>
  <c r="AC159" i="15"/>
  <c r="AA458" i="15"/>
  <c r="AA361" i="15"/>
  <c r="AY217" i="15"/>
  <c r="BP125" i="15"/>
  <c r="AZ123" i="15"/>
  <c r="BK111" i="15"/>
  <c r="BK134" i="15"/>
  <c r="BK138" i="15"/>
  <c r="BK144" i="15"/>
  <c r="BK150" i="15"/>
  <c r="P302" i="15"/>
  <c r="P370" i="15"/>
  <c r="AZ214" i="15"/>
  <c r="AZ221" i="15"/>
  <c r="BK116" i="15"/>
  <c r="AC123" i="15"/>
  <c r="BD108" i="15"/>
  <c r="BD395" i="15"/>
  <c r="BD96" i="15"/>
  <c r="BD97" i="15"/>
  <c r="BD49" i="15"/>
  <c r="F376" i="15"/>
  <c r="F471" i="15"/>
  <c r="AO311" i="15"/>
  <c r="AO379" i="15"/>
  <c r="AO310" i="15"/>
  <c r="AO378" i="15"/>
  <c r="BD331" i="15"/>
  <c r="Z450" i="15"/>
  <c r="S470" i="15"/>
  <c r="AA426" i="15"/>
  <c r="BW126" i="15"/>
  <c r="AP151" i="15"/>
  <c r="AP152" i="15"/>
  <c r="AJ109" i="15"/>
  <c r="BK49" i="15"/>
  <c r="BK96" i="15"/>
  <c r="AY214" i="15"/>
  <c r="AY221" i="15"/>
  <c r="AV532" i="15"/>
  <c r="AV533" i="15"/>
  <c r="AV535" i="15"/>
  <c r="BD134" i="15"/>
  <c r="AJ530" i="15"/>
  <c r="AJ536" i="15"/>
  <c r="AA428" i="15"/>
  <c r="BP395" i="15"/>
  <c r="AU447" i="15"/>
  <c r="BV123" i="15"/>
  <c r="E107" i="15"/>
  <c r="E329" i="15"/>
  <c r="E391" i="15"/>
  <c r="E108" i="15"/>
  <c r="F106" i="15"/>
  <c r="F328" i="15"/>
  <c r="E327" i="15"/>
  <c r="E106" i="15"/>
  <c r="E328" i="15"/>
  <c r="E427" i="15"/>
  <c r="E203" i="15"/>
  <c r="BO203" i="15"/>
  <c r="T125" i="15"/>
  <c r="T215" i="15"/>
  <c r="T123" i="15"/>
  <c r="X122" i="15"/>
  <c r="BB366" i="15"/>
  <c r="BB434" i="15"/>
  <c r="BB468" i="15"/>
  <c r="BH125" i="15"/>
  <c r="BL122" i="15"/>
  <c r="AD215" i="15"/>
  <c r="AD222" i="15"/>
  <c r="BH123" i="15"/>
  <c r="BV215" i="15"/>
  <c r="BV222" i="15"/>
  <c r="AA217" i="15"/>
  <c r="AB217" i="15"/>
  <c r="AA73" i="15"/>
  <c r="BW97" i="15"/>
  <c r="BW96" i="15"/>
  <c r="BW49" i="15"/>
  <c r="AS535" i="15"/>
  <c r="AS532" i="15"/>
  <c r="AS533" i="15"/>
  <c r="S221" i="15"/>
  <c r="BN214" i="15"/>
  <c r="BN221" i="15"/>
  <c r="BW215" i="15"/>
  <c r="BW222" i="15"/>
  <c r="P96" i="15"/>
  <c r="P49" i="15"/>
  <c r="AE351" i="15"/>
  <c r="BN465" i="15"/>
  <c r="BN305" i="15"/>
  <c r="BN83" i="15"/>
  <c r="AN106" i="15"/>
  <c r="AN328" i="15"/>
  <c r="AN425" i="15"/>
  <c r="AP203" i="15"/>
  <c r="AR106" i="15"/>
  <c r="AR328" i="15"/>
  <c r="AN107" i="15"/>
  <c r="AN329" i="15"/>
  <c r="AN327" i="15"/>
  <c r="AN391" i="15"/>
  <c r="D159" i="15"/>
  <c r="D177" i="15"/>
  <c r="D192" i="15"/>
  <c r="D194" i="15"/>
  <c r="D196" i="15"/>
  <c r="D197" i="15"/>
  <c r="S217" i="15"/>
  <c r="BN217" i="15"/>
  <c r="R217" i="15"/>
  <c r="D217" i="15"/>
  <c r="D224" i="15"/>
  <c r="D73" i="15"/>
  <c r="Y400" i="15"/>
  <c r="Y403" i="15"/>
  <c r="Y336" i="15"/>
  <c r="BR535" i="15"/>
  <c r="AO61" i="15"/>
  <c r="AO67" i="15"/>
  <c r="AO69" i="15"/>
  <c r="AO71" i="15"/>
  <c r="AJ47" i="15"/>
  <c r="BL111" i="15"/>
  <c r="BL333" i="15"/>
  <c r="BL134" i="15"/>
  <c r="AN571" i="15"/>
  <c r="AQ67" i="15"/>
  <c r="AQ69" i="15"/>
  <c r="AQ71" i="15"/>
  <c r="AQ61" i="15"/>
  <c r="M127" i="15"/>
  <c r="M124" i="15"/>
  <c r="BP73" i="15"/>
  <c r="F339" i="15"/>
  <c r="AF203" i="15"/>
  <c r="BJ107" i="15"/>
  <c r="M109" i="15"/>
  <c r="R224" i="15"/>
  <c r="BN318" i="15"/>
  <c r="BL331" i="15"/>
  <c r="AE224" i="15"/>
  <c r="AC519" i="15"/>
  <c r="O318" i="15"/>
  <c r="O363" i="15"/>
  <c r="O431" i="15"/>
  <c r="AK554" i="15"/>
  <c r="AK566" i="15"/>
  <c r="AL213" i="15"/>
  <c r="AL220" i="15"/>
  <c r="BZ109" i="15"/>
  <c r="BR126" i="15"/>
  <c r="BH146" i="19"/>
  <c r="BD57" i="15"/>
  <c r="BD59" i="15"/>
  <c r="AC94" i="15"/>
  <c r="V47" i="15"/>
  <c r="V560" i="15"/>
  <c r="V119" i="15"/>
  <c r="V121" i="15"/>
  <c r="BH122" i="15"/>
  <c r="AR61" i="15"/>
  <c r="AR67" i="15"/>
  <c r="AR69" i="15"/>
  <c r="AR71" i="15"/>
  <c r="W122" i="15"/>
  <c r="S122" i="15"/>
  <c r="S126" i="15"/>
  <c r="S125" i="15"/>
  <c r="S123" i="15"/>
  <c r="P92" i="15"/>
  <c r="P550" i="15"/>
  <c r="P554" i="15"/>
  <c r="P566" i="15"/>
  <c r="R144" i="15"/>
  <c r="R339" i="15"/>
  <c r="AU468" i="15"/>
  <c r="AU366" i="15"/>
  <c r="AU434" i="15"/>
  <c r="H109" i="15"/>
  <c r="AD217" i="15"/>
  <c r="AD224" i="15"/>
  <c r="R214" i="15"/>
  <c r="R221" i="15"/>
  <c r="BR122" i="15"/>
  <c r="AC58" i="15"/>
  <c r="AC59" i="15"/>
  <c r="BL367" i="15"/>
  <c r="BL435" i="15"/>
  <c r="BL466" i="15"/>
  <c r="BA80" i="15"/>
  <c r="BA58" i="15"/>
  <c r="BR203" i="15"/>
  <c r="BR106" i="15"/>
  <c r="BR392" i="15"/>
  <c r="BS203" i="15"/>
  <c r="BS106" i="15"/>
  <c r="BS392" i="15"/>
  <c r="W61" i="15"/>
  <c r="W67" i="15"/>
  <c r="W69" i="15"/>
  <c r="W71" i="15"/>
  <c r="AH122" i="15"/>
  <c r="X349" i="15"/>
  <c r="X413" i="15"/>
  <c r="X415" i="15"/>
  <c r="BN26" i="15"/>
  <c r="S208" i="15"/>
  <c r="AC24" i="15"/>
  <c r="AC26" i="15"/>
  <c r="AC73" i="15" s="1"/>
  <c r="AC86" i="15"/>
  <c r="AK44" i="15"/>
  <c r="AK45" i="15"/>
  <c r="AK58" i="15"/>
  <c r="AK59" i="15"/>
  <c r="AK61" i="15"/>
  <c r="BE81" i="15"/>
  <c r="BE559" i="15"/>
  <c r="BE103" i="15"/>
  <c r="BE105" i="15"/>
  <c r="I560" i="15"/>
  <c r="I47" i="15"/>
  <c r="I119" i="15"/>
  <c r="I121" i="15"/>
  <c r="P427" i="15"/>
  <c r="P425" i="15"/>
  <c r="P107" i="15"/>
  <c r="P329" i="15"/>
  <c r="P391" i="15"/>
  <c r="P203" i="15"/>
  <c r="P106" i="15"/>
  <c r="P328" i="15"/>
  <c r="AR122" i="15"/>
  <c r="AR125" i="15"/>
  <c r="AR123" i="15"/>
  <c r="AS215" i="15"/>
  <c r="AT215" i="15"/>
  <c r="J447" i="15"/>
  <c r="BK22" i="15"/>
  <c r="BL83" i="15"/>
  <c r="BJ119" i="15"/>
  <c r="BJ121" i="15"/>
  <c r="BJ560" i="15"/>
  <c r="BJ47" i="15"/>
  <c r="AE468" i="15"/>
  <c r="AE366" i="15"/>
  <c r="AE434" i="15"/>
  <c r="BU151" i="15"/>
  <c r="BU152" i="15"/>
  <c r="BU194" i="15"/>
  <c r="BU196" i="15"/>
  <c r="BL127" i="15"/>
  <c r="BZ122" i="15"/>
  <c r="P327" i="15"/>
  <c r="BT134" i="15"/>
  <c r="BT111" i="15"/>
  <c r="C61" i="15"/>
  <c r="C67" i="15"/>
  <c r="C69" i="15"/>
  <c r="C71" i="15"/>
  <c r="AE532" i="15"/>
  <c r="AE533" i="15"/>
  <c r="AE535" i="15"/>
  <c r="BL126" i="15"/>
  <c r="BT116" i="15"/>
  <c r="BT529" i="15"/>
  <c r="BC96" i="15"/>
  <c r="H122" i="15"/>
  <c r="AF215" i="15"/>
  <c r="H123" i="15"/>
  <c r="H215" i="15"/>
  <c r="H222" i="15"/>
  <c r="H530" i="15"/>
  <c r="H536" i="15"/>
  <c r="BZ47" i="15"/>
  <c r="BZ560" i="15"/>
  <c r="AP532" i="15"/>
  <c r="AP533" i="15"/>
  <c r="AP535" i="15"/>
  <c r="AC81" i="15"/>
  <c r="AC202" i="15"/>
  <c r="AC221" i="15"/>
  <c r="AC103" i="15"/>
  <c r="AC105" i="15"/>
  <c r="AC559" i="15"/>
  <c r="AH327" i="15"/>
  <c r="AH106" i="15"/>
  <c r="AH328" i="15"/>
  <c r="AH391" i="15"/>
  <c r="AH107" i="15"/>
  <c r="AH329" i="15"/>
  <c r="AL106" i="15"/>
  <c r="AL328" i="15"/>
  <c r="Y180" i="15"/>
  <c r="X184" i="15"/>
  <c r="X192" i="15"/>
  <c r="X99" i="15"/>
  <c r="S61" i="15"/>
  <c r="S67" i="15"/>
  <c r="S69" i="15"/>
  <c r="S71" i="15"/>
  <c r="AF123" i="15"/>
  <c r="AF125" i="15"/>
  <c r="AJ126" i="15" s="1"/>
  <c r="AF122" i="15"/>
  <c r="M447" i="15"/>
  <c r="AB24" i="15"/>
  <c r="AB85" i="15"/>
  <c r="U349" i="15"/>
  <c r="U413" i="15"/>
  <c r="AW311" i="15"/>
  <c r="AW379" i="15"/>
  <c r="E376" i="15"/>
  <c r="E471" i="15"/>
  <c r="AC364" i="15"/>
  <c r="AC432" i="15"/>
  <c r="AC265" i="15"/>
  <c r="AZ392" i="15"/>
  <c r="AZ393" i="15"/>
  <c r="AR107" i="15"/>
  <c r="AR329" i="15"/>
  <c r="AV106" i="15"/>
  <c r="AV328" i="15"/>
  <c r="AR391" i="15"/>
  <c r="AR327" i="15"/>
  <c r="AZ504" i="15"/>
  <c r="BA500" i="15"/>
  <c r="W366" i="15"/>
  <c r="W434" i="15"/>
  <c r="W468" i="15"/>
  <c r="G351" i="15"/>
  <c r="G151" i="15"/>
  <c r="G152" i="15"/>
  <c r="AQ127" i="15"/>
  <c r="AQ109" i="15"/>
  <c r="AB125" i="15"/>
  <c r="AB122" i="15"/>
  <c r="AM123" i="15"/>
  <c r="AM125" i="15"/>
  <c r="AM122" i="15"/>
  <c r="S85" i="15"/>
  <c r="S24" i="15"/>
  <c r="S86" i="15"/>
  <c r="CC109" i="15"/>
  <c r="R216" i="15"/>
  <c r="AI339" i="15"/>
  <c r="AI144" i="15"/>
  <c r="AP108" i="15"/>
  <c r="AP113" i="15"/>
  <c r="AP395" i="15"/>
  <c r="AP111" i="15"/>
  <c r="AP333" i="15"/>
  <c r="BN73" i="15"/>
  <c r="BO217" i="15"/>
  <c r="BN159" i="15"/>
  <c r="BN177" i="15"/>
  <c r="BN192" i="15"/>
  <c r="BN194" i="15"/>
  <c r="BN196" i="15"/>
  <c r="W393" i="15"/>
  <c r="AA392" i="15"/>
  <c r="AO560" i="15"/>
  <c r="X562" i="15"/>
  <c r="X571" i="15"/>
  <c r="N217" i="15"/>
  <c r="N224" i="15"/>
  <c r="N73" i="15"/>
  <c r="AX125" i="15"/>
  <c r="AX123" i="15"/>
  <c r="AX122" i="15"/>
  <c r="BB122" i="15"/>
  <c r="J468" i="15"/>
  <c r="J366" i="15"/>
  <c r="J434" i="15"/>
  <c r="AE67" i="15"/>
  <c r="AE69" i="15"/>
  <c r="AE71" i="15"/>
  <c r="AE61" i="15"/>
  <c r="J113" i="15"/>
  <c r="J108" i="15"/>
  <c r="J116" i="15"/>
  <c r="J331" i="15"/>
  <c r="J134" i="15"/>
  <c r="J395" i="15"/>
  <c r="J111" i="15"/>
  <c r="J333" i="15"/>
  <c r="BS285" i="15"/>
  <c r="BS264" i="15"/>
  <c r="BS318" i="15"/>
  <c r="AO119" i="15"/>
  <c r="AO121" i="15"/>
  <c r="AB391" i="15"/>
  <c r="AB327" i="15"/>
  <c r="AY366" i="15"/>
  <c r="AY434" i="15"/>
  <c r="AY468" i="15"/>
  <c r="BC123" i="15"/>
  <c r="BC125" i="15"/>
  <c r="AX203" i="15"/>
  <c r="AW391" i="15"/>
  <c r="AZ203" i="15"/>
  <c r="AW425" i="15"/>
  <c r="AX427" i="15"/>
  <c r="AW127" i="15"/>
  <c r="AW109" i="15"/>
  <c r="AW530" i="15"/>
  <c r="AW536" i="15"/>
  <c r="N123" i="15"/>
  <c r="N125" i="15"/>
  <c r="BV216" i="15" s="1"/>
  <c r="N530" i="15"/>
  <c r="N536" i="15"/>
  <c r="Z468" i="15"/>
  <c r="Z366" i="15"/>
  <c r="Z434" i="15"/>
  <c r="Z443" i="15"/>
  <c r="AF560" i="15"/>
  <c r="AF47" i="15"/>
  <c r="O122" i="15"/>
  <c r="O530" i="15"/>
  <c r="O536" i="15"/>
  <c r="O215" i="15"/>
  <c r="O222" i="15"/>
  <c r="O123" i="15"/>
  <c r="O125" i="15"/>
  <c r="H367" i="15"/>
  <c r="H435" i="15"/>
  <c r="H466" i="15"/>
  <c r="L215" i="15"/>
  <c r="L222" i="15"/>
  <c r="L125" i="15"/>
  <c r="L530" i="15"/>
  <c r="L536" i="15"/>
  <c r="L122" i="15"/>
  <c r="L123" i="15"/>
  <c r="AO49" i="15"/>
  <c r="AO217" i="15"/>
  <c r="V466" i="15"/>
  <c r="V367" i="15"/>
  <c r="V435" i="15"/>
  <c r="AP122" i="15"/>
  <c r="AL125" i="15"/>
  <c r="AN123" i="15"/>
  <c r="AN125" i="15"/>
  <c r="BU532" i="15"/>
  <c r="X468" i="15"/>
  <c r="AX209" i="15"/>
  <c r="AX462" i="15"/>
  <c r="E138" i="15"/>
  <c r="AS184" i="15"/>
  <c r="AS192" i="15"/>
  <c r="BT127" i="15"/>
  <c r="AO22" i="15"/>
  <c r="Z399" i="15"/>
  <c r="BB123" i="15"/>
  <c r="BB125" i="15"/>
  <c r="BN106" i="15"/>
  <c r="BN107" i="15"/>
  <c r="BB61" i="15"/>
  <c r="BB67" i="15"/>
  <c r="BB69" i="15"/>
  <c r="BB71" i="15"/>
  <c r="Y406" i="15"/>
  <c r="Y342" i="15"/>
  <c r="BY125" i="15"/>
  <c r="BQ122" i="15"/>
  <c r="T389" i="15"/>
  <c r="X389" i="15"/>
  <c r="C85" i="15"/>
  <c r="C86" i="15"/>
  <c r="C24" i="15"/>
  <c r="AE425" i="15"/>
  <c r="AE391" i="15"/>
  <c r="AE327" i="15"/>
  <c r="AF22" i="15"/>
  <c r="AF81" i="15"/>
  <c r="AF559" i="15"/>
  <c r="AH202" i="15"/>
  <c r="BD547" i="15"/>
  <c r="BD550" i="15"/>
  <c r="BD505" i="15"/>
  <c r="O67" i="15"/>
  <c r="O69" i="15"/>
  <c r="O71" i="15"/>
  <c r="O61" i="15"/>
  <c r="T521" i="15"/>
  <c r="T100" i="15"/>
  <c r="T53" i="15"/>
  <c r="T542" i="15"/>
  <c r="T93" i="15"/>
  <c r="T92" i="15"/>
  <c r="T99" i="15"/>
  <c r="T94" i="15"/>
  <c r="U37" i="15"/>
  <c r="U92" i="15"/>
  <c r="F327" i="15"/>
  <c r="F391" i="15"/>
  <c r="F203" i="15"/>
  <c r="G106" i="15"/>
  <c r="G328" i="15"/>
  <c r="F425" i="15"/>
  <c r="BP203" i="15"/>
  <c r="AN363" i="15"/>
  <c r="AN431" i="15"/>
  <c r="AN318" i="15"/>
  <c r="AN285" i="15"/>
  <c r="L265" i="15"/>
  <c r="L264" i="15"/>
  <c r="K358" i="15"/>
  <c r="K283" i="15"/>
  <c r="K260" i="15"/>
  <c r="K423" i="15"/>
  <c r="K438" i="15"/>
  <c r="AA460" i="15"/>
  <c r="D375" i="15"/>
  <c r="BF202" i="15"/>
  <c r="BC22" i="15"/>
  <c r="BC103" i="15"/>
  <c r="BC105" i="15"/>
  <c r="AU86" i="15"/>
  <c r="AU24" i="15"/>
  <c r="AU85" i="15"/>
  <c r="BS208" i="15"/>
  <c r="BR26" i="15"/>
  <c r="BR73" i="15"/>
  <c r="BR208" i="15"/>
  <c r="AB61" i="15"/>
  <c r="AB67" i="15"/>
  <c r="AB69" i="15"/>
  <c r="AB71" i="15"/>
  <c r="C307" i="15"/>
  <c r="AK501" i="15"/>
  <c r="AK504" i="15"/>
  <c r="AQ466" i="15"/>
  <c r="AZ425" i="15"/>
  <c r="AQ364" i="15"/>
  <c r="AQ432" i="15"/>
  <c r="AK291" i="15"/>
  <c r="AD61" i="15"/>
  <c r="AI122" i="15"/>
  <c r="AE123" i="15"/>
  <c r="F96" i="15"/>
  <c r="F49" i="15"/>
  <c r="AI97" i="15"/>
  <c r="AI96" i="15"/>
  <c r="F363" i="15"/>
  <c r="F431" i="15"/>
  <c r="F440" i="15"/>
  <c r="F285" i="15"/>
  <c r="AU119" i="15"/>
  <c r="AU121" i="15"/>
  <c r="AY122" i="15" s="1"/>
  <c r="AU215" i="15"/>
  <c r="AU222" i="15"/>
  <c r="AU47" i="15"/>
  <c r="AY85" i="15"/>
  <c r="AY24" i="15"/>
  <c r="AY86" i="15"/>
  <c r="AJ505" i="15"/>
  <c r="F123" i="15"/>
  <c r="F122" i="15"/>
  <c r="F530" i="15"/>
  <c r="Y465" i="15"/>
  <c r="AU220" i="15"/>
  <c r="AU234" i="15"/>
  <c r="BN108" i="15"/>
  <c r="R264" i="15"/>
  <c r="R318" i="15"/>
  <c r="I327" i="15"/>
  <c r="I203" i="15"/>
  <c r="I106" i="15"/>
  <c r="I328" i="15"/>
  <c r="I427" i="15"/>
  <c r="I107" i="15"/>
  <c r="I329" i="15"/>
  <c r="I425" i="15"/>
  <c r="J106" i="15"/>
  <c r="J328" i="15"/>
  <c r="AQ13" i="15"/>
  <c r="AQ18" i="15"/>
  <c r="AB366" i="15"/>
  <c r="AB434" i="15"/>
  <c r="AB468" i="15"/>
  <c r="AT358" i="15"/>
  <c r="AT260" i="15"/>
  <c r="AT283" i="15"/>
  <c r="AZ400" i="15"/>
  <c r="AZ336" i="15"/>
  <c r="AV400" i="15"/>
  <c r="AV403" i="15" s="1"/>
  <c r="AV409" i="15" s="1"/>
  <c r="AV415" i="15" s="1"/>
  <c r="AV336" i="15"/>
  <c r="AW135" i="15"/>
  <c r="AE340" i="15"/>
  <c r="AE88" i="15"/>
  <c r="AE404" i="15"/>
  <c r="AF139" i="15"/>
  <c r="BA401" i="15"/>
  <c r="BA337" i="15"/>
  <c r="AI67" i="15"/>
  <c r="AI69" i="15"/>
  <c r="AI71" i="15"/>
  <c r="AI61" i="15"/>
  <c r="I67" i="15"/>
  <c r="I69" i="15"/>
  <c r="I71" i="15"/>
  <c r="BO559" i="15"/>
  <c r="BO81" i="15"/>
  <c r="BO22" i="15"/>
  <c r="BP202" i="15"/>
  <c r="BP221" i="15"/>
  <c r="AT125" i="15"/>
  <c r="G311" i="15"/>
  <c r="G379" i="15"/>
  <c r="G222" i="15"/>
  <c r="AX336" i="15"/>
  <c r="AY135" i="15"/>
  <c r="BA135" i="15" s="1"/>
  <c r="AX400" i="15"/>
  <c r="AL547" i="15"/>
  <c r="AL550" i="15"/>
  <c r="AL505" i="15"/>
  <c r="D544" i="15"/>
  <c r="D553" i="15"/>
  <c r="T78" i="15"/>
  <c r="T9" i="15"/>
  <c r="T76" i="15"/>
  <c r="U8" i="15"/>
  <c r="T237" i="15"/>
  <c r="T324" i="15"/>
  <c r="X9" i="15"/>
  <c r="X325" i="15"/>
  <c r="T12" i="15"/>
  <c r="T131" i="15"/>
  <c r="T114" i="15"/>
  <c r="T80" i="15"/>
  <c r="T201" i="15"/>
  <c r="T52" i="15"/>
  <c r="T89" i="15"/>
  <c r="V106" i="15"/>
  <c r="V328" i="15"/>
  <c r="V107" i="15"/>
  <c r="V329" i="15"/>
  <c r="V425" i="15"/>
  <c r="V327" i="15"/>
  <c r="BU264" i="15"/>
  <c r="BU318" i="15"/>
  <c r="BU285" i="15"/>
  <c r="T79" i="15"/>
  <c r="BE146" i="15"/>
  <c r="BD347" i="15"/>
  <c r="BD411" i="15"/>
  <c r="BQ283" i="15"/>
  <c r="BQ260" i="15"/>
  <c r="AE255" i="15"/>
  <c r="AS55" i="15"/>
  <c r="AS57" i="15"/>
  <c r="AS59" i="15"/>
  <c r="AS238" i="15"/>
  <c r="AN135" i="15"/>
  <c r="AM135" i="15"/>
  <c r="BS525" i="15"/>
  <c r="BS45" i="15"/>
  <c r="BF209" i="15"/>
  <c r="BF462" i="15"/>
  <c r="O24" i="15"/>
  <c r="O86" i="15"/>
  <c r="T358" i="15"/>
  <c r="T423" i="15"/>
  <c r="T283" i="15"/>
  <c r="T260" i="15"/>
  <c r="I234" i="15"/>
  <c r="I456" i="15"/>
  <c r="C220" i="15"/>
  <c r="C456" i="15"/>
  <c r="C459" i="15"/>
  <c r="C234" i="15"/>
  <c r="AF181" i="15"/>
  <c r="AE184" i="15"/>
  <c r="AE192" i="15"/>
  <c r="S347" i="15"/>
  <c r="S411" i="15"/>
  <c r="BN411" i="15"/>
  <c r="T146" i="15"/>
  <c r="BK104" i="15"/>
  <c r="I60" i="15"/>
  <c r="I61" i="15" s="1"/>
  <c r="I89" i="15"/>
  <c r="AN141" i="15"/>
  <c r="AM342" i="15"/>
  <c r="AM406" i="15"/>
  <c r="BS135" i="15"/>
  <c r="BS234" i="15"/>
  <c r="C1006" i="17"/>
  <c r="AW149" i="15"/>
  <c r="N350" i="15"/>
  <c r="N414" i="15"/>
  <c r="AQ92" i="15"/>
  <c r="AE89" i="15"/>
  <c r="AG104" i="15"/>
  <c r="R407" i="15"/>
  <c r="BN407" i="15"/>
  <c r="R413" i="15"/>
  <c r="BN413" i="15"/>
  <c r="R408" i="15"/>
  <c r="BN408" i="15"/>
  <c r="R388" i="15"/>
  <c r="R393" i="15" s="1"/>
  <c r="R402" i="15"/>
  <c r="BN402" i="15"/>
  <c r="R412" i="15"/>
  <c r="BN412" i="15"/>
  <c r="R405" i="15"/>
  <c r="BN405" i="15"/>
  <c r="R406" i="15"/>
  <c r="BN406" i="15"/>
  <c r="R401" i="15"/>
  <c r="BN401" i="15"/>
  <c r="R400" i="15"/>
  <c r="BN400" i="15"/>
  <c r="R410" i="15"/>
  <c r="BA180" i="15"/>
  <c r="AZ184" i="15"/>
  <c r="AZ192" i="15"/>
  <c r="D305" i="15"/>
  <c r="D83" i="15"/>
  <c r="D465" i="15"/>
  <c r="D364" i="15"/>
  <c r="D432" i="15"/>
  <c r="D441" i="15"/>
  <c r="D286" i="15"/>
  <c r="Y114" i="15"/>
  <c r="Z201" i="15"/>
  <c r="Y201" i="15"/>
  <c r="Y237" i="15"/>
  <c r="Y324" i="15"/>
  <c r="AC9" i="15"/>
  <c r="BQ103" i="15"/>
  <c r="BQ105" i="15"/>
  <c r="BQ559" i="15"/>
  <c r="BQ81" i="15"/>
  <c r="BQ202" i="15"/>
  <c r="AI13" i="15"/>
  <c r="AI18" i="15"/>
  <c r="Y15" i="15"/>
  <c r="X78" i="15"/>
  <c r="AR340" i="15"/>
  <c r="AS139" i="15"/>
  <c r="AR404" i="15"/>
  <c r="C235" i="17"/>
  <c r="BA464" i="15"/>
  <c r="J225" i="17"/>
  <c r="AB325" i="15"/>
  <c r="W547" i="15"/>
  <c r="W550" i="15"/>
  <c r="AH465" i="15"/>
  <c r="D559" i="15"/>
  <c r="AN521" i="15"/>
  <c r="AG207" i="15"/>
  <c r="AG461" i="15"/>
  <c r="Z401" i="15"/>
  <c r="BP401" i="15"/>
  <c r="AE499" i="15"/>
  <c r="AD504" i="15"/>
  <c r="BP406" i="15"/>
  <c r="CC388" i="15"/>
  <c r="S389" i="15"/>
  <c r="CC391" i="15"/>
  <c r="S392" i="15"/>
  <c r="AG112" i="15"/>
  <c r="AG206" i="15"/>
  <c r="AF206" i="15"/>
  <c r="AH206" i="15"/>
  <c r="AK16" i="15"/>
  <c r="AJ62" i="15"/>
  <c r="AJ66" i="15"/>
  <c r="AJ67" i="15"/>
  <c r="AJ69" i="15"/>
  <c r="AJ71" i="15"/>
  <c r="AJ79" i="15"/>
  <c r="BS406" i="15"/>
  <c r="BN278" i="15"/>
  <c r="BN279" i="15"/>
  <c r="G255" i="15"/>
  <c r="G254" i="15"/>
  <c r="AP260" i="15"/>
  <c r="X236" i="15"/>
  <c r="AZ357" i="15"/>
  <c r="AZ292" i="15"/>
  <c r="AZ467" i="15"/>
  <c r="AZ259" i="15"/>
  <c r="AZ282" i="15"/>
  <c r="AF423" i="15"/>
  <c r="D1350" i="17"/>
  <c r="BJ179" i="15"/>
  <c r="BJ184" i="15"/>
  <c r="BI184" i="15"/>
  <c r="BI192" i="15"/>
  <c r="S149" i="15"/>
  <c r="R414" i="15"/>
  <c r="R350" i="15"/>
  <c r="AA411" i="15"/>
  <c r="AB146" i="15"/>
  <c r="C992" i="17"/>
  <c r="AI358" i="15"/>
  <c r="Z407" i="15"/>
  <c r="BP407" i="15"/>
  <c r="X55" i="15"/>
  <c r="X57" i="15"/>
  <c r="X59" i="15"/>
  <c r="X61" i="15"/>
  <c r="AM84" i="15"/>
  <c r="Z404" i="15"/>
  <c r="BP404" i="15"/>
  <c r="X130" i="15"/>
  <c r="BJ130" i="15"/>
  <c r="AG35" i="15"/>
  <c r="C336" i="15"/>
  <c r="C400" i="15"/>
  <c r="C403" i="15"/>
  <c r="C409" i="15"/>
  <c r="C415" i="15"/>
  <c r="E213" i="15"/>
  <c r="E220" i="15"/>
  <c r="E544" i="15"/>
  <c r="BA16" i="15"/>
  <c r="AZ62" i="15"/>
  <c r="AZ66" i="15"/>
  <c r="AZ67" i="15"/>
  <c r="AZ69" i="15"/>
  <c r="AZ71" i="15"/>
  <c r="AZ522" i="15"/>
  <c r="BA35" i="15"/>
  <c r="BA147" i="15"/>
  <c r="AZ412" i="15"/>
  <c r="AB414" i="15"/>
  <c r="U82" i="15"/>
  <c r="Z388" i="15"/>
  <c r="Y16" i="15"/>
  <c r="X62" i="15"/>
  <c r="X66" i="15"/>
  <c r="Z325" i="15"/>
  <c r="Z493" i="15"/>
  <c r="BS88" i="15"/>
  <c r="BS209" i="15"/>
  <c r="BS462" i="15"/>
  <c r="AQ146" i="15"/>
  <c r="AP347" i="15"/>
  <c r="AP411" i="15"/>
  <c r="BP554" i="15"/>
  <c r="BP566" i="15"/>
  <c r="T189" i="15"/>
  <c r="S190" i="15"/>
  <c r="S192" i="15"/>
  <c r="BK176" i="15"/>
  <c r="AC176" i="15"/>
  <c r="AC177" i="15" s="1"/>
  <c r="AC192" i="15" s="1"/>
  <c r="S346" i="15"/>
  <c r="S410" i="15"/>
  <c r="BN410" i="15" s="1"/>
  <c r="C731" i="17"/>
  <c r="I509" i="15"/>
  <c r="C460" i="17"/>
  <c r="AF357" i="15"/>
  <c r="BL388" i="15"/>
  <c r="C840" i="17"/>
  <c r="C513" i="17"/>
  <c r="BF505" i="15"/>
  <c r="BF547" i="15"/>
  <c r="BF550" i="15"/>
  <c r="AF292" i="15"/>
  <c r="BL408" i="15"/>
  <c r="BQ135" i="15"/>
  <c r="BQ508" i="15"/>
  <c r="C785" i="17"/>
  <c r="BE143" i="15"/>
  <c r="BD344" i="15"/>
  <c r="P262" i="15"/>
  <c r="P460" i="15"/>
  <c r="BL405" i="15"/>
  <c r="BL414" i="15"/>
  <c r="BL401" i="15"/>
  <c r="BZ510" i="15"/>
  <c r="P410" i="15"/>
  <c r="P415" i="15"/>
  <c r="C143" i="17"/>
  <c r="BL413" i="15"/>
  <c r="BL412" i="15"/>
  <c r="BL406" i="15"/>
  <c r="BP508" i="15"/>
  <c r="C407" i="17"/>
  <c r="BE278" i="15"/>
  <c r="P99" i="15"/>
  <c r="P53" i="15"/>
  <c r="P54" i="15"/>
  <c r="P93" i="15"/>
  <c r="BE29" i="15"/>
  <c r="P100" i="15"/>
  <c r="BL402" i="15"/>
  <c r="AA499" i="15"/>
  <c r="AA510" i="15"/>
  <c r="C197" i="17"/>
  <c r="BE147" i="15"/>
  <c r="BD348" i="15"/>
  <c r="BE500" i="15"/>
  <c r="BF519" i="15"/>
  <c r="BF39" i="15"/>
  <c r="C354" i="17"/>
  <c r="C249" i="17"/>
  <c r="C89" i="17"/>
  <c r="N504" i="15"/>
  <c r="BE48" i="15"/>
  <c r="BD68" i="15"/>
  <c r="BE68" i="15"/>
  <c r="P301" i="15"/>
  <c r="P369" i="15"/>
  <c r="BE148" i="15"/>
  <c r="BF559" i="15"/>
  <c r="BF103" i="15"/>
  <c r="BF105" i="15"/>
  <c r="BF391" i="15" s="1"/>
  <c r="BF81" i="15"/>
  <c r="BF22" i="15"/>
  <c r="BD19" i="15"/>
  <c r="BF207" i="15"/>
  <c r="BF461" i="15"/>
  <c r="BF464" i="15"/>
  <c r="BF254" i="15"/>
  <c r="C301" i="17"/>
  <c r="BF53" i="15"/>
  <c r="BF54" i="15"/>
  <c r="BF57" i="15"/>
  <c r="BF59" i="15"/>
  <c r="BF325" i="15"/>
  <c r="BF408" i="15"/>
  <c r="BC89" i="15"/>
  <c r="BD522" i="15"/>
  <c r="BF401" i="15"/>
  <c r="P464" i="15"/>
  <c r="BF260" i="15"/>
  <c r="BF411" i="15"/>
  <c r="BE112" i="15"/>
  <c r="BF206" i="15"/>
  <c r="BF262" i="15" s="1"/>
  <c r="BF404" i="15"/>
  <c r="BF412" i="15"/>
  <c r="BF423" i="15"/>
  <c r="J65" i="17"/>
  <c r="BF13" i="15"/>
  <c r="BF405" i="15"/>
  <c r="BF413" i="15"/>
  <c r="BF93" i="15"/>
  <c r="BT510" i="15"/>
  <c r="Z509" i="15"/>
  <c r="AB487" i="15"/>
  <c r="AD123" i="19"/>
  <c r="AE123" i="19"/>
  <c r="AM485" i="15"/>
  <c r="AS114" i="19"/>
  <c r="AS111" i="19"/>
  <c r="AR136" i="19"/>
  <c r="AR145" i="19" s="1"/>
  <c r="AR146" i="19" s="1"/>
  <c r="AS136" i="19"/>
  <c r="AR488" i="15"/>
  <c r="AR511" i="15"/>
  <c r="AP509" i="15"/>
  <c r="Z125" i="19"/>
  <c r="L511" i="15"/>
  <c r="AO488" i="15"/>
  <c r="AO511" i="15"/>
  <c r="U123" i="19"/>
  <c r="V123" i="19" s="1"/>
  <c r="U487" i="15" s="1"/>
  <c r="U510" i="15" s="1"/>
  <c r="T487" i="15"/>
  <c r="T510" i="15"/>
  <c r="S487" i="15"/>
  <c r="AO121" i="19"/>
  <c r="AN485" i="15"/>
  <c r="AN508" i="15"/>
  <c r="X512" i="15"/>
  <c r="Y489" i="15"/>
  <c r="Y512" i="15"/>
  <c r="AY488" i="15"/>
  <c r="BD124" i="19"/>
  <c r="AZ488" i="15"/>
  <c r="BV492" i="15"/>
  <c r="AN123" i="19"/>
  <c r="AM123" i="19"/>
  <c r="AO123" i="19"/>
  <c r="AI487" i="15"/>
  <c r="AC124" i="19"/>
  <c r="AB488" i="15"/>
  <c r="AA488" i="15"/>
  <c r="AA511" i="15"/>
  <c r="BP511" i="15"/>
  <c r="BF400" i="15"/>
  <c r="BF61" i="15"/>
  <c r="BF67" i="15"/>
  <c r="BF69" i="15"/>
  <c r="BF71" i="15"/>
  <c r="AC67" i="15"/>
  <c r="AC69" i="15"/>
  <c r="AC71" i="15"/>
  <c r="AC61" i="15"/>
  <c r="BF460" i="15"/>
  <c r="AX447" i="15"/>
  <c r="AX446" i="15"/>
  <c r="BN283" i="15"/>
  <c r="BN286" i="15"/>
  <c r="BQ404" i="15"/>
  <c r="AE409" i="15"/>
  <c r="BF203" i="15"/>
  <c r="BC107" i="15"/>
  <c r="BC329" i="15"/>
  <c r="BC425" i="15"/>
  <c r="BC327" i="15"/>
  <c r="BC391" i="15"/>
  <c r="BC106" i="15"/>
  <c r="BC328" i="15"/>
  <c r="BE203" i="15"/>
  <c r="C208" i="15"/>
  <c r="C224" i="15"/>
  <c r="C26" i="15"/>
  <c r="C73" i="15"/>
  <c r="AW331" i="15"/>
  <c r="AW395" i="15"/>
  <c r="AW113" i="15"/>
  <c r="AW111" i="15"/>
  <c r="AW333" i="15"/>
  <c r="AW108" i="15"/>
  <c r="AW134" i="15"/>
  <c r="AW116" i="15"/>
  <c r="AW529" i="15"/>
  <c r="AW110" i="15"/>
  <c r="AW332" i="15"/>
  <c r="AR214" i="15"/>
  <c r="AO571" i="15"/>
  <c r="AP426" i="15"/>
  <c r="AQ395" i="15"/>
  <c r="AQ116" i="15"/>
  <c r="AQ529" i="15"/>
  <c r="AQ134" i="15"/>
  <c r="AQ111" i="15"/>
  <c r="AQ333" i="15"/>
  <c r="AQ113" i="15"/>
  <c r="AQ331" i="15"/>
  <c r="BA504" i="15"/>
  <c r="AC466" i="15"/>
  <c r="AC367" i="15"/>
  <c r="AC435" i="15"/>
  <c r="AB26" i="15"/>
  <c r="AB73" i="15"/>
  <c r="AC208" i="15"/>
  <c r="AC224" i="15"/>
  <c r="BZ96" i="15"/>
  <c r="BZ49" i="15"/>
  <c r="BZ97" i="15"/>
  <c r="BT138" i="15"/>
  <c r="BT144" i="15"/>
  <c r="BQ434" i="15"/>
  <c r="P310" i="15"/>
  <c r="P378" i="15"/>
  <c r="P311" i="15"/>
  <c r="P379" i="15"/>
  <c r="P222" i="15"/>
  <c r="BE391" i="15"/>
  <c r="BE107" i="15"/>
  <c r="BE329" i="15"/>
  <c r="BE425" i="15"/>
  <c r="BE327" i="15"/>
  <c r="BN208" i="15"/>
  <c r="BN224" i="15"/>
  <c r="S224" i="15"/>
  <c r="BD61" i="15"/>
  <c r="BD67" i="15"/>
  <c r="BD69" i="15"/>
  <c r="BD71" i="15"/>
  <c r="AN393" i="15"/>
  <c r="AN392" i="15"/>
  <c r="BU391" i="15"/>
  <c r="BU393" i="15"/>
  <c r="BT391" i="15"/>
  <c r="BT393" i="15"/>
  <c r="BH109" i="15"/>
  <c r="BH127" i="15"/>
  <c r="AD126" i="15"/>
  <c r="AA440" i="15"/>
  <c r="AA437" i="15"/>
  <c r="AA438" i="15"/>
  <c r="AA441" i="15"/>
  <c r="AA449" i="15"/>
  <c r="AA450" i="15"/>
  <c r="AQ25" i="15"/>
  <c r="AR25" i="15"/>
  <c r="AP26" i="15"/>
  <c r="AP73" i="15"/>
  <c r="BP138" i="15"/>
  <c r="BP144" i="15"/>
  <c r="AZ113" i="15"/>
  <c r="AZ108" i="15"/>
  <c r="AZ111" i="15"/>
  <c r="AZ333" i="15"/>
  <c r="AZ110" i="15"/>
  <c r="AZ332" i="15"/>
  <c r="BD110" i="15"/>
  <c r="BD332" i="15"/>
  <c r="AZ395" i="15"/>
  <c r="AZ116" i="15"/>
  <c r="AZ529" i="15"/>
  <c r="AZ134" i="15"/>
  <c r="AZ331" i="15"/>
  <c r="D937" i="17"/>
  <c r="D944" i="17"/>
  <c r="BF286" i="15"/>
  <c r="BF465" i="15"/>
  <c r="BF364" i="15"/>
  <c r="BF432" i="15"/>
  <c r="E567" i="15"/>
  <c r="E572" i="15"/>
  <c r="BN282" i="15"/>
  <c r="BN285" i="15"/>
  <c r="AJ206" i="15"/>
  <c r="AI206" i="15"/>
  <c r="AG114" i="15"/>
  <c r="AE202" i="15"/>
  <c r="AE221" i="15"/>
  <c r="BQ221" i="15"/>
  <c r="Z234" i="15"/>
  <c r="Z456" i="15"/>
  <c r="Z459" i="15"/>
  <c r="Z220" i="15"/>
  <c r="BA184" i="15"/>
  <c r="BA99" i="15"/>
  <c r="R389" i="15"/>
  <c r="BN388" i="15"/>
  <c r="V389" i="15"/>
  <c r="AT291" i="15"/>
  <c r="C623" i="17"/>
  <c r="R468" i="15"/>
  <c r="R366" i="15"/>
  <c r="R434" i="15"/>
  <c r="BC86" i="15"/>
  <c r="BC24" i="15"/>
  <c r="BC85" i="15"/>
  <c r="L468" i="15"/>
  <c r="L366" i="15"/>
  <c r="L434" i="15"/>
  <c r="F311" i="15"/>
  <c r="F379" i="15"/>
  <c r="F222" i="15"/>
  <c r="F310" i="15"/>
  <c r="F378" i="15"/>
  <c r="T213" i="15"/>
  <c r="T220" i="15"/>
  <c r="T554" i="15"/>
  <c r="T566" i="15"/>
  <c r="T571" i="15"/>
  <c r="AL530" i="15"/>
  <c r="AL536" i="15"/>
  <c r="AL127" i="15"/>
  <c r="AP126" i="15"/>
  <c r="AL109" i="15"/>
  <c r="AL126" i="15"/>
  <c r="BS468" i="15"/>
  <c r="J426" i="15"/>
  <c r="J205" i="15"/>
  <c r="AZ547" i="15"/>
  <c r="AZ550" i="15"/>
  <c r="AZ505" i="15"/>
  <c r="AC562" i="15"/>
  <c r="P393" i="15"/>
  <c r="P392" i="15"/>
  <c r="BS310" i="15"/>
  <c r="BS311" i="15"/>
  <c r="R345" i="15"/>
  <c r="R150" i="15"/>
  <c r="M134" i="15"/>
  <c r="BU204" i="15"/>
  <c r="M204" i="15"/>
  <c r="M111" i="15"/>
  <c r="M333" i="15"/>
  <c r="M529" i="15"/>
  <c r="M116" i="15"/>
  <c r="M113" i="15"/>
  <c r="M108" i="15"/>
  <c r="M331" i="15"/>
  <c r="M395" i="15"/>
  <c r="BL138" i="15"/>
  <c r="BL335" i="15"/>
  <c r="BL399" i="15"/>
  <c r="BL403" i="15"/>
  <c r="BL409" i="15"/>
  <c r="BL415" i="15"/>
  <c r="Y409" i="15"/>
  <c r="Y415" i="15"/>
  <c r="X126" i="15"/>
  <c r="T127" i="15"/>
  <c r="T109" i="15"/>
  <c r="T530" i="15"/>
  <c r="T536" i="15"/>
  <c r="D500" i="17"/>
  <c r="D507" i="17"/>
  <c r="D555" i="17"/>
  <c r="D562" i="17"/>
  <c r="K65" i="17"/>
  <c r="J66" i="17"/>
  <c r="AQ347" i="15"/>
  <c r="AQ411" i="15"/>
  <c r="BW411" i="15"/>
  <c r="AR146" i="15"/>
  <c r="AO141" i="15"/>
  <c r="AN342" i="15"/>
  <c r="AN406" i="15"/>
  <c r="T325" i="15"/>
  <c r="T493" i="15"/>
  <c r="AO24" i="15"/>
  <c r="AO86" i="15"/>
  <c r="AO85" i="15"/>
  <c r="L466" i="15"/>
  <c r="L367" i="15"/>
  <c r="L435" i="15"/>
  <c r="AM109" i="15"/>
  <c r="AM127" i="15"/>
  <c r="AM530" i="15"/>
  <c r="AM536" i="15"/>
  <c r="AQ126" i="15"/>
  <c r="AM126" i="15"/>
  <c r="BJ49" i="15"/>
  <c r="BJ97" i="15"/>
  <c r="BJ96" i="15"/>
  <c r="BP305" i="15"/>
  <c r="BP302" i="15"/>
  <c r="BP438" i="15"/>
  <c r="BP304" i="15"/>
  <c r="BP457" i="15"/>
  <c r="BP459" i="15"/>
  <c r="BP301" i="15"/>
  <c r="BP437" i="15"/>
  <c r="BQ562" i="15"/>
  <c r="BK60" i="15"/>
  <c r="BK61" i="15"/>
  <c r="BK89" i="15"/>
  <c r="O208" i="15"/>
  <c r="O224" i="15"/>
  <c r="O26" i="15"/>
  <c r="O73" i="15"/>
  <c r="BW208" i="15"/>
  <c r="AT127" i="15"/>
  <c r="AT530" i="15"/>
  <c r="AT536" i="15"/>
  <c r="AT109" i="15"/>
  <c r="AT126" i="15"/>
  <c r="AW400" i="15"/>
  <c r="AW336" i="15"/>
  <c r="E339" i="15"/>
  <c r="E144" i="15"/>
  <c r="AZ311" i="15"/>
  <c r="AZ379" i="15"/>
  <c r="AZ310" i="15"/>
  <c r="AZ378" i="15"/>
  <c r="AZ222" i="15"/>
  <c r="AX127" i="15"/>
  <c r="AX109" i="15"/>
  <c r="AY204" i="15" s="1"/>
  <c r="AX126" i="15"/>
  <c r="AX530" i="15"/>
  <c r="AX536" i="15"/>
  <c r="AZ216" i="15"/>
  <c r="AY216" i="15"/>
  <c r="G418" i="15"/>
  <c r="G353" i="15"/>
  <c r="G194" i="15"/>
  <c r="G196" i="15"/>
  <c r="AR393" i="15"/>
  <c r="AV392" i="15"/>
  <c r="AR392" i="15"/>
  <c r="AF127" i="15"/>
  <c r="AF530" i="15"/>
  <c r="AF536" i="15"/>
  <c r="AF109" i="15"/>
  <c r="BR310" i="15"/>
  <c r="BR311" i="15"/>
  <c r="BR222" i="15"/>
  <c r="Y215" i="15"/>
  <c r="Z122" i="15"/>
  <c r="V123" i="15"/>
  <c r="V125" i="15"/>
  <c r="BH126" i="15"/>
  <c r="V122" i="15"/>
  <c r="AJ96" i="15"/>
  <c r="AJ97" i="15"/>
  <c r="AJ49" i="15"/>
  <c r="BO222" i="15"/>
  <c r="BO310" i="15"/>
  <c r="BO311" i="15"/>
  <c r="BD399" i="15"/>
  <c r="BD403" i="15"/>
  <c r="BD409" i="15"/>
  <c r="BD415" i="15"/>
  <c r="BD138" i="15"/>
  <c r="BD335" i="15"/>
  <c r="F353" i="15"/>
  <c r="F418" i="15"/>
  <c r="P151" i="15"/>
  <c r="P351" i="15"/>
  <c r="P152" i="15"/>
  <c r="F393" i="15"/>
  <c r="F392" i="15"/>
  <c r="G392" i="15"/>
  <c r="AF562" i="15"/>
  <c r="E393" i="15"/>
  <c r="E392" i="15"/>
  <c r="BF292" i="15"/>
  <c r="BF467" i="15"/>
  <c r="BF357" i="15"/>
  <c r="BF422" i="15"/>
  <c r="BF259" i="15"/>
  <c r="BF282" i="15"/>
  <c r="C24" i="17"/>
  <c r="BE408" i="15"/>
  <c r="BE344" i="15"/>
  <c r="U189" i="15"/>
  <c r="U190" i="15"/>
  <c r="T190" i="15"/>
  <c r="T192" i="15"/>
  <c r="BA522" i="15"/>
  <c r="BA548" i="15"/>
  <c r="BA56" i="15"/>
  <c r="BA57" i="15"/>
  <c r="BA59" i="15"/>
  <c r="BA61" i="15"/>
  <c r="BA39" i="15"/>
  <c r="BQ107" i="15"/>
  <c r="BQ106" i="15"/>
  <c r="BQ392" i="15"/>
  <c r="BQ108" i="15"/>
  <c r="BQ203" i="15"/>
  <c r="T411" i="15"/>
  <c r="U146" i="15"/>
  <c r="T347" i="15"/>
  <c r="R392" i="15"/>
  <c r="I447" i="15"/>
  <c r="I446" i="15"/>
  <c r="AZ208" i="15"/>
  <c r="AZ224" i="15"/>
  <c r="AY208" i="15"/>
  <c r="AY224" i="15"/>
  <c r="F217" i="15"/>
  <c r="F224" i="15"/>
  <c r="F159" i="15"/>
  <c r="F177" i="15"/>
  <c r="F192" i="15"/>
  <c r="F194" i="15"/>
  <c r="F196" i="15"/>
  <c r="F73" i="15"/>
  <c r="BP217" i="15"/>
  <c r="U521" i="15"/>
  <c r="U100" i="15"/>
  <c r="U93" i="15"/>
  <c r="U99" i="15"/>
  <c r="U542" i="15"/>
  <c r="V213" i="15"/>
  <c r="U53" i="15"/>
  <c r="U39" i="15"/>
  <c r="U94" i="15"/>
  <c r="AF85" i="15"/>
  <c r="AF24" i="15"/>
  <c r="AF86" i="15"/>
  <c r="AF96" i="15"/>
  <c r="AF97" i="15"/>
  <c r="AF49" i="15"/>
  <c r="AW393" i="15"/>
  <c r="AW392" i="15"/>
  <c r="J397" i="15"/>
  <c r="K396" i="15"/>
  <c r="BK105" i="15"/>
  <c r="G352" i="15"/>
  <c r="G417" i="15"/>
  <c r="G156" i="15"/>
  <c r="BJ125" i="15"/>
  <c r="AF126" i="15" s="1"/>
  <c r="BJ122" i="15"/>
  <c r="BJ123" i="15"/>
  <c r="P447" i="15"/>
  <c r="P446" i="15"/>
  <c r="H108" i="15"/>
  <c r="H529" i="15"/>
  <c r="H116" i="15"/>
  <c r="H204" i="15"/>
  <c r="AD204" i="15"/>
  <c r="H395" i="15"/>
  <c r="H331" i="15"/>
  <c r="H110" i="15"/>
  <c r="H332" i="15"/>
  <c r="H113" i="15"/>
  <c r="H111" i="15"/>
  <c r="H333" i="15"/>
  <c r="H134" i="15"/>
  <c r="Y214" i="15"/>
  <c r="V562" i="15"/>
  <c r="V571" i="15"/>
  <c r="BZ116" i="15"/>
  <c r="BZ529" i="15"/>
  <c r="BR204" i="15"/>
  <c r="BR110" i="15"/>
  <c r="BR396" i="15"/>
  <c r="BZ108" i="15"/>
  <c r="BZ113" i="15"/>
  <c r="BR205" i="15"/>
  <c r="BZ111" i="15"/>
  <c r="BZ134" i="15"/>
  <c r="E311" i="15"/>
  <c r="E379" i="15"/>
  <c r="E310" i="15"/>
  <c r="E378" i="15"/>
  <c r="E222" i="15"/>
  <c r="BD159" i="15"/>
  <c r="BD177" i="15"/>
  <c r="BD192" i="15"/>
  <c r="AY113" i="15"/>
  <c r="AY108" i="15"/>
  <c r="AY134" i="15"/>
  <c r="AY116" i="15"/>
  <c r="AY529" i="15"/>
  <c r="AY395" i="15"/>
  <c r="AY331" i="15"/>
  <c r="AY111" i="15"/>
  <c r="AY333" i="15"/>
  <c r="BP307" i="15"/>
  <c r="BP458" i="15"/>
  <c r="BP308" i="15"/>
  <c r="BE412" i="15"/>
  <c r="BE348" i="15"/>
  <c r="AZ318" i="15"/>
  <c r="AZ285" i="15"/>
  <c r="AZ363" i="15"/>
  <c r="AZ431" i="15"/>
  <c r="C258" i="17"/>
  <c r="C259" i="17"/>
  <c r="C236" i="17"/>
  <c r="D235" i="17"/>
  <c r="AN400" i="15"/>
  <c r="AN336" i="15"/>
  <c r="AO135" i="15"/>
  <c r="P57" i="15"/>
  <c r="P59" i="15"/>
  <c r="Q146" i="19"/>
  <c r="P264" i="15"/>
  <c r="P265" i="15"/>
  <c r="S414" i="15"/>
  <c r="T149" i="15"/>
  <c r="S350" i="15"/>
  <c r="AU209" i="15"/>
  <c r="AS88" i="15"/>
  <c r="AV209" i="15"/>
  <c r="AS340" i="15"/>
  <c r="AS404" i="15"/>
  <c r="AS209" i="15"/>
  <c r="AS462" i="15"/>
  <c r="AT209" i="15"/>
  <c r="AT462" i="15"/>
  <c r="AS144" i="15"/>
  <c r="AW414" i="15"/>
  <c r="AW350" i="15"/>
  <c r="BE347" i="15"/>
  <c r="BE411" i="15"/>
  <c r="BW432" i="15"/>
  <c r="L124" i="15"/>
  <c r="L126" i="15"/>
  <c r="L109" i="15"/>
  <c r="M110" i="15" s="1"/>
  <c r="M332" i="15" s="1"/>
  <c r="L127" i="15"/>
  <c r="L216" i="15"/>
  <c r="R403" i="15"/>
  <c r="BK159" i="15"/>
  <c r="BK177" i="15"/>
  <c r="BK192" i="15"/>
  <c r="BF525" i="15"/>
  <c r="BF45" i="15"/>
  <c r="BF119" i="15" s="1"/>
  <c r="BF121" i="15" s="1"/>
  <c r="BE206" i="15"/>
  <c r="BE114" i="15"/>
  <c r="AB499" i="15"/>
  <c r="AA504" i="15"/>
  <c r="AG522" i="15"/>
  <c r="AG548" i="15"/>
  <c r="AG39" i="15"/>
  <c r="AG56" i="15"/>
  <c r="AG57" i="15"/>
  <c r="AG59" i="15"/>
  <c r="AK62" i="15"/>
  <c r="AK66" i="15"/>
  <c r="AK67" i="15"/>
  <c r="AK69" i="15"/>
  <c r="AK71" i="15"/>
  <c r="AK79" i="15"/>
  <c r="AK18" i="15"/>
  <c r="T54" i="15"/>
  <c r="T57" i="15"/>
  <c r="T59" i="15"/>
  <c r="BO85" i="15"/>
  <c r="BO86" i="15"/>
  <c r="BO24" i="15"/>
  <c r="AK547" i="15"/>
  <c r="AK550" i="15"/>
  <c r="AK505" i="15"/>
  <c r="BT431" i="15"/>
  <c r="BB126" i="15"/>
  <c r="BB127" i="15"/>
  <c r="BB109" i="15"/>
  <c r="BB530" i="15"/>
  <c r="BB536" i="15"/>
  <c r="AR217" i="15"/>
  <c r="AO159" i="15"/>
  <c r="AO177" i="15"/>
  <c r="AO192" i="15"/>
  <c r="AP217" i="15"/>
  <c r="AQ217" i="15"/>
  <c r="AF571" i="15"/>
  <c r="AF214" i="15"/>
  <c r="AF221" i="15"/>
  <c r="N216" i="15"/>
  <c r="N127" i="15"/>
  <c r="N124" i="15"/>
  <c r="N109" i="15"/>
  <c r="N126" i="15"/>
  <c r="AX310" i="15"/>
  <c r="AX378" i="15"/>
  <c r="AX311" i="15"/>
  <c r="AX379" i="15"/>
  <c r="J138" i="15"/>
  <c r="J335" i="15"/>
  <c r="J399" i="15"/>
  <c r="CC134" i="15"/>
  <c r="CC138" i="15"/>
  <c r="CC144" i="15"/>
  <c r="CC150" i="15"/>
  <c r="CC152" i="15"/>
  <c r="CC116" i="15"/>
  <c r="R110" i="15"/>
  <c r="R332" i="15"/>
  <c r="R204" i="15"/>
  <c r="CC113" i="15"/>
  <c r="R205" i="15"/>
  <c r="R307" i="15"/>
  <c r="CC395" i="15"/>
  <c r="R396" i="15"/>
  <c r="AL392" i="15"/>
  <c r="AH393" i="15"/>
  <c r="AH392" i="15"/>
  <c r="AO562" i="15"/>
  <c r="AR530" i="15"/>
  <c r="AR536" i="15"/>
  <c r="AR109" i="15"/>
  <c r="AV126" i="15"/>
  <c r="AR127" i="15"/>
  <c r="AR126" i="15"/>
  <c r="AS216" i="15"/>
  <c r="AT216" i="15"/>
  <c r="I123" i="15"/>
  <c r="I125" i="15"/>
  <c r="I530" i="15"/>
  <c r="I536" i="15"/>
  <c r="I122" i="15"/>
  <c r="J122" i="15"/>
  <c r="I215" i="15"/>
  <c r="AK47" i="15"/>
  <c r="AK119" i="15"/>
  <c r="AK121" i="15"/>
  <c r="AK560" i="15"/>
  <c r="AD216" i="15"/>
  <c r="V49" i="15"/>
  <c r="V96" i="15"/>
  <c r="V97" i="15"/>
  <c r="AF311" i="15"/>
  <c r="AF379" i="15"/>
  <c r="AF222" i="15"/>
  <c r="AP214" i="15"/>
  <c r="AP221" i="15"/>
  <c r="AP311" i="15"/>
  <c r="AP379" i="15"/>
  <c r="AP310" i="15"/>
  <c r="AP378" i="15"/>
  <c r="BW73" i="15"/>
  <c r="BW159" i="15"/>
  <c r="BW177" i="15"/>
  <c r="BW192" i="15"/>
  <c r="BW194" i="15"/>
  <c r="BW196" i="15"/>
  <c r="BW217" i="15"/>
  <c r="E447" i="15"/>
  <c r="E446" i="15"/>
  <c r="AJ331" i="15"/>
  <c r="AJ110" i="15"/>
  <c r="AJ332" i="15"/>
  <c r="AJ111" i="15"/>
  <c r="AJ333" i="15"/>
  <c r="AJ116" i="15"/>
  <c r="AJ529" i="15"/>
  <c r="AJ134" i="15"/>
  <c r="AJ108" i="15"/>
  <c r="AJ113" i="15"/>
  <c r="AJ395" i="15"/>
  <c r="BP216" i="15"/>
  <c r="BP223" i="15"/>
  <c r="BP127" i="15"/>
  <c r="BP124" i="15"/>
  <c r="BP126" i="15"/>
  <c r="BW156" i="15"/>
  <c r="D76" i="17"/>
  <c r="Y456" i="15"/>
  <c r="Y234" i="15"/>
  <c r="Y220" i="15"/>
  <c r="AS67" i="15"/>
  <c r="AS69" i="15"/>
  <c r="AS71" i="15"/>
  <c r="AS61" i="15"/>
  <c r="T13" i="15"/>
  <c r="T18" i="15"/>
  <c r="AT286" i="15"/>
  <c r="AT265" i="15"/>
  <c r="AT465" i="15"/>
  <c r="AT83" i="15"/>
  <c r="AT364" i="15"/>
  <c r="AT432" i="15"/>
  <c r="C620" i="17"/>
  <c r="AC391" i="15"/>
  <c r="AC203" i="15"/>
  <c r="AC107" i="15"/>
  <c r="AC329" i="15"/>
  <c r="AC425" i="15"/>
  <c r="AC327" i="15"/>
  <c r="Z449" i="15"/>
  <c r="D1370" i="17"/>
  <c r="D1360" i="17"/>
  <c r="K1354" i="17"/>
  <c r="D1398" i="17"/>
  <c r="D1395" i="17"/>
  <c r="D1399" i="17"/>
  <c r="D1362" i="17"/>
  <c r="D1394" i="17"/>
  <c r="D1354" i="17"/>
  <c r="D1357" i="17"/>
  <c r="D1361" i="17"/>
  <c r="D1372" i="17"/>
  <c r="D1355" i="17"/>
  <c r="D1397" i="17"/>
  <c r="D1396" i="17"/>
  <c r="D1359" i="17"/>
  <c r="D1368" i="17"/>
  <c r="D1356" i="17"/>
  <c r="D1365" i="17"/>
  <c r="D1388" i="17"/>
  <c r="D1389" i="17"/>
  <c r="D1369" i="17"/>
  <c r="K1355" i="17"/>
  <c r="AD547" i="15"/>
  <c r="AD550" i="15"/>
  <c r="AD505" i="15"/>
  <c r="Y78" i="15"/>
  <c r="Y58" i="15"/>
  <c r="Y59" i="15"/>
  <c r="Y61" i="15"/>
  <c r="Y18" i="15"/>
  <c r="BS119" i="15"/>
  <c r="BS121" i="15"/>
  <c r="BS47" i="15"/>
  <c r="BS560" i="15"/>
  <c r="BE413" i="15"/>
  <c r="BE349" i="15"/>
  <c r="BE504" i="15"/>
  <c r="BV411" i="15"/>
  <c r="AP415" i="15"/>
  <c r="Y79" i="15"/>
  <c r="Y62" i="15"/>
  <c r="Y66" i="15"/>
  <c r="Y67" i="15"/>
  <c r="Y69" i="15"/>
  <c r="Y71" i="15"/>
  <c r="AB411" i="15"/>
  <c r="BK146" i="15"/>
  <c r="AB347" i="15"/>
  <c r="AC146" i="15"/>
  <c r="AF499" i="15"/>
  <c r="AE504" i="15"/>
  <c r="T234" i="15"/>
  <c r="T456" i="15"/>
  <c r="BA400" i="15"/>
  <c r="BA336" i="15"/>
  <c r="AZ264" i="15"/>
  <c r="AU97" i="15"/>
  <c r="AU49" i="15"/>
  <c r="AU96" i="15"/>
  <c r="C375" i="15"/>
  <c r="C472" i="15"/>
  <c r="AU208" i="15"/>
  <c r="AW208" i="15"/>
  <c r="AX208" i="15"/>
  <c r="K265" i="15"/>
  <c r="K465" i="15"/>
  <c r="K83" i="15"/>
  <c r="K286" i="15"/>
  <c r="K364" i="15"/>
  <c r="K432" i="15"/>
  <c r="K441" i="15"/>
  <c r="K305" i="15"/>
  <c r="BP311" i="15"/>
  <c r="BP310" i="15"/>
  <c r="BP222" i="15"/>
  <c r="BQ391" i="15"/>
  <c r="BQ393" i="15"/>
  <c r="AE393" i="15"/>
  <c r="AE392" i="15"/>
  <c r="BY127" i="15"/>
  <c r="BY109" i="15"/>
  <c r="BQ126" i="15"/>
  <c r="BY126" i="15"/>
  <c r="BQ216" i="15"/>
  <c r="AE216" i="15"/>
  <c r="BZ126" i="15"/>
  <c r="R397" i="15"/>
  <c r="AF392" i="15"/>
  <c r="AB392" i="15"/>
  <c r="AB393" i="15"/>
  <c r="BK86" i="15"/>
  <c r="BK85" i="15"/>
  <c r="BK24" i="15"/>
  <c r="BK26" i="15"/>
  <c r="BK73" i="15"/>
  <c r="I49" i="15"/>
  <c r="I96" i="15"/>
  <c r="I97" i="15"/>
  <c r="S127" i="15"/>
  <c r="S109" i="15"/>
  <c r="S530" i="15"/>
  <c r="S536" i="15"/>
  <c r="W126" i="15"/>
  <c r="T216" i="15"/>
  <c r="AQ214" i="15"/>
  <c r="AP427" i="15"/>
  <c r="AO427" i="15"/>
  <c r="AP418" i="15"/>
  <c r="AP194" i="15"/>
  <c r="AP196" i="15"/>
  <c r="AP353" i="15"/>
  <c r="P373" i="15"/>
  <c r="P469" i="15"/>
  <c r="BV151" i="15"/>
  <c r="BV152" i="15" s="1"/>
  <c r="BV194" i="15" s="1"/>
  <c r="BV196" i="15" s="1"/>
  <c r="BE19" i="15"/>
  <c r="BF82" i="15" s="1"/>
  <c r="BD82" i="15"/>
  <c r="BD22" i="15"/>
  <c r="BE100" i="15"/>
  <c r="BE542" i="15"/>
  <c r="BE94" i="15"/>
  <c r="BE99" i="15"/>
  <c r="BE92" i="15"/>
  <c r="BE31" i="15"/>
  <c r="BE53" i="15"/>
  <c r="BE54" i="15"/>
  <c r="BE57" i="15"/>
  <c r="BE59" i="15"/>
  <c r="BE131" i="15"/>
  <c r="BE93" i="15"/>
  <c r="AG460" i="15"/>
  <c r="AG262" i="15"/>
  <c r="AG181" i="15"/>
  <c r="AG184" i="15"/>
  <c r="AF184" i="15"/>
  <c r="BF86" i="15"/>
  <c r="BF85" i="15"/>
  <c r="BF24" i="15"/>
  <c r="D570" i="15"/>
  <c r="D562" i="15"/>
  <c r="D572" i="15"/>
  <c r="D556" i="15"/>
  <c r="D567" i="15"/>
  <c r="D565" i="15"/>
  <c r="AZ427" i="15"/>
  <c r="AW427" i="15"/>
  <c r="AY427" i="15"/>
  <c r="AI150" i="15"/>
  <c r="AI345" i="15"/>
  <c r="Y184" i="15"/>
  <c r="Y192" i="15"/>
  <c r="Y99" i="15"/>
  <c r="BN469" i="15"/>
  <c r="BN441" i="15"/>
  <c r="AA429" i="15"/>
  <c r="BA412" i="15"/>
  <c r="BA348" i="15"/>
  <c r="BF425" i="15"/>
  <c r="BF327" i="15"/>
  <c r="BF107" i="15"/>
  <c r="BF329" i="15"/>
  <c r="BF106" i="15"/>
  <c r="BF328" i="15"/>
  <c r="BE282" i="15"/>
  <c r="BE285" i="15"/>
  <c r="X67" i="15"/>
  <c r="X69" i="15"/>
  <c r="X71" i="15"/>
  <c r="C993" i="17"/>
  <c r="D992" i="17"/>
  <c r="C1015" i="17"/>
  <c r="C1016" i="17"/>
  <c r="AP465" i="15"/>
  <c r="AP286" i="15"/>
  <c r="AP364" i="15"/>
  <c r="AP432" i="15"/>
  <c r="AP265" i="15"/>
  <c r="AP83" i="15"/>
  <c r="C837" i="17"/>
  <c r="AC325" i="15"/>
  <c r="AC493" i="15"/>
  <c r="AG89" i="15"/>
  <c r="AG105" i="15"/>
  <c r="AG60" i="15"/>
  <c r="AE423" i="15"/>
  <c r="AE358" i="15"/>
  <c r="AE283" i="15"/>
  <c r="AE260" i="15"/>
  <c r="G292" i="15"/>
  <c r="G422" i="15"/>
  <c r="G437" i="15"/>
  <c r="G259" i="15"/>
  <c r="G282" i="15"/>
  <c r="G467" i="15"/>
  <c r="G357" i="15"/>
  <c r="G301" i="15"/>
  <c r="G369" i="15"/>
  <c r="AH262" i="15"/>
  <c r="AH460" i="15"/>
  <c r="K225" i="17"/>
  <c r="J226" i="17"/>
  <c r="AI22" i="15"/>
  <c r="AI103" i="15"/>
  <c r="AI105" i="15"/>
  <c r="AI559" i="15"/>
  <c r="AI81" i="15"/>
  <c r="AI202" i="15"/>
  <c r="AJ202" i="15"/>
  <c r="AL202" i="15"/>
  <c r="AK202" i="15"/>
  <c r="BT406" i="15"/>
  <c r="T265" i="15"/>
  <c r="T364" i="15"/>
  <c r="T432" i="15"/>
  <c r="T286" i="15"/>
  <c r="T465" i="15"/>
  <c r="BQ83" i="15"/>
  <c r="BQ465" i="15"/>
  <c r="BQ286" i="15"/>
  <c r="BQ265" i="15"/>
  <c r="U79" i="15"/>
  <c r="V201" i="15"/>
  <c r="U237" i="15"/>
  <c r="U9" i="15"/>
  <c r="U114" i="15"/>
  <c r="Y9" i="15"/>
  <c r="BL201" i="15"/>
  <c r="U324" i="15"/>
  <c r="U52" i="15"/>
  <c r="U54" i="15"/>
  <c r="U57" i="15"/>
  <c r="U59" i="15"/>
  <c r="X201" i="15"/>
  <c r="W201" i="15"/>
  <c r="U84" i="15"/>
  <c r="U388" i="15"/>
  <c r="U12" i="15"/>
  <c r="U76" i="15"/>
  <c r="U201" i="15"/>
  <c r="U88" i="15"/>
  <c r="U77" i="15"/>
  <c r="U131" i="15"/>
  <c r="U80" i="15"/>
  <c r="U78" i="15"/>
  <c r="U89" i="15"/>
  <c r="I311" i="15"/>
  <c r="I379" i="15"/>
  <c r="I310" i="15"/>
  <c r="I378" i="15"/>
  <c r="I222" i="15"/>
  <c r="BF83" i="15"/>
  <c r="N547" i="15"/>
  <c r="N505" i="15"/>
  <c r="BZ135" i="15"/>
  <c r="BQ138" i="15"/>
  <c r="BQ144" i="15"/>
  <c r="BL389" i="15"/>
  <c r="BL393" i="15"/>
  <c r="BL397" i="15"/>
  <c r="Z389" i="15"/>
  <c r="AD389" i="15"/>
  <c r="Z397" i="15"/>
  <c r="Z393" i="15"/>
  <c r="BP388" i="15"/>
  <c r="BA62" i="15"/>
  <c r="BA66" i="15"/>
  <c r="BA79" i="15"/>
  <c r="BA18" i="15"/>
  <c r="BP411" i="15"/>
  <c r="AA415" i="15"/>
  <c r="AZ295" i="15"/>
  <c r="AZ297" i="15"/>
  <c r="G283" i="15"/>
  <c r="G358" i="15"/>
  <c r="G423" i="15"/>
  <c r="G438" i="15"/>
  <c r="G260" i="15"/>
  <c r="G302" i="15"/>
  <c r="G370" i="15"/>
  <c r="AF262" i="15"/>
  <c r="AF460" i="15"/>
  <c r="D469" i="15"/>
  <c r="D373" i="15"/>
  <c r="T291" i="15"/>
  <c r="AM400" i="15"/>
  <c r="AM336" i="15"/>
  <c r="BQ291" i="15"/>
  <c r="BU468" i="15"/>
  <c r="AY336" i="15"/>
  <c r="AY400" i="15"/>
  <c r="BO562" i="15"/>
  <c r="BO572" i="15"/>
  <c r="BO570" i="15"/>
  <c r="AF404" i="15"/>
  <c r="AG139" i="15"/>
  <c r="AG209" i="15"/>
  <c r="AG462" i="15"/>
  <c r="AH209" i="15"/>
  <c r="AH462" i="15"/>
  <c r="AF340" i="15"/>
  <c r="AF88" i="15"/>
  <c r="AI209" i="15"/>
  <c r="AI462" i="15"/>
  <c r="AF209" i="15"/>
  <c r="AF462" i="15"/>
  <c r="AQ559" i="15"/>
  <c r="AQ22" i="15"/>
  <c r="AQ103" i="15"/>
  <c r="AQ105" i="15"/>
  <c r="AQ108" i="15"/>
  <c r="AS202" i="15"/>
  <c r="AS221" i="15"/>
  <c r="AR202" i="15"/>
  <c r="AT202" i="15"/>
  <c r="AT221" i="15"/>
  <c r="AQ81" i="15"/>
  <c r="AQ202" i="15"/>
  <c r="AQ221" i="15"/>
  <c r="F536" i="15"/>
  <c r="F532" i="15"/>
  <c r="AU125" i="15"/>
  <c r="AU123" i="15"/>
  <c r="AV215" i="15"/>
  <c r="AV222" i="15"/>
  <c r="AW215" i="15"/>
  <c r="AW222" i="15"/>
  <c r="AU122" i="15"/>
  <c r="AX215" i="15"/>
  <c r="AX222" i="15"/>
  <c r="K291" i="15"/>
  <c r="K316" i="15"/>
  <c r="Z403" i="15"/>
  <c r="BP399" i="15"/>
  <c r="AN530" i="15"/>
  <c r="AN536" i="15"/>
  <c r="AN109" i="15"/>
  <c r="AN127" i="15"/>
  <c r="AN126" i="15"/>
  <c r="O126" i="15"/>
  <c r="O127" i="15"/>
  <c r="O216" i="15"/>
  <c r="O109" i="15"/>
  <c r="O124" i="15"/>
  <c r="P126" i="15"/>
  <c r="BW216" i="15"/>
  <c r="AV208" i="15"/>
  <c r="BC530" i="15"/>
  <c r="BC536" i="15"/>
  <c r="BC109" i="15"/>
  <c r="BC127" i="15"/>
  <c r="BC126" i="15"/>
  <c r="AS122" i="15"/>
  <c r="AR215" i="15"/>
  <c r="AO125" i="15"/>
  <c r="AQ216" i="15" s="1"/>
  <c r="AO123" i="15"/>
  <c r="AO215" i="15"/>
  <c r="AO222" i="15"/>
  <c r="AQ215" i="15"/>
  <c r="AP215" i="15"/>
  <c r="AP222" i="15"/>
  <c r="AO122" i="15"/>
  <c r="AP397" i="15"/>
  <c r="BW395" i="15"/>
  <c r="BW397" i="15"/>
  <c r="S26" i="15"/>
  <c r="S73" i="15"/>
  <c r="AB127" i="15"/>
  <c r="AB126" i="15"/>
  <c r="AB109" i="15"/>
  <c r="AB530" i="15"/>
  <c r="AB536" i="15"/>
  <c r="AB216" i="15"/>
  <c r="AC216" i="15"/>
  <c r="BZ571" i="15"/>
  <c r="BR214" i="15"/>
  <c r="BR221" i="15"/>
  <c r="BZ562" i="15"/>
  <c r="BT535" i="15"/>
  <c r="BT532" i="15"/>
  <c r="BU156" i="15"/>
  <c r="I562" i="15"/>
  <c r="I571" i="15"/>
  <c r="I214" i="15"/>
  <c r="I221" i="15"/>
  <c r="M126" i="15"/>
  <c r="AO214" i="15"/>
  <c r="AO221" i="15"/>
  <c r="BN197" i="15"/>
  <c r="BN199" i="15"/>
  <c r="D199" i="15"/>
  <c r="P73" i="15"/>
  <c r="P217" i="15"/>
  <c r="P224" i="15"/>
  <c r="P159" i="15"/>
  <c r="P177" i="15"/>
  <c r="P192" i="15"/>
  <c r="BP397" i="15"/>
  <c r="AP417" i="15"/>
  <c r="AP156" i="15"/>
  <c r="AP352" i="15"/>
  <c r="BD396" i="15"/>
  <c r="BD397" i="15"/>
  <c r="AA351" i="15"/>
  <c r="AC530" i="15"/>
  <c r="AC536" i="15"/>
  <c r="AC126" i="15"/>
  <c r="AC109" i="15"/>
  <c r="AC127" i="15"/>
  <c r="AO485" i="15"/>
  <c r="AO508" i="15"/>
  <c r="AE124" i="19"/>
  <c r="BE124" i="19"/>
  <c r="S510" i="15"/>
  <c r="AM508" i="15"/>
  <c r="AY511" i="15"/>
  <c r="AJ487" i="15"/>
  <c r="BF264" i="15"/>
  <c r="BF366" i="15"/>
  <c r="BF434" i="15"/>
  <c r="BF265" i="15"/>
  <c r="BF466" i="15"/>
  <c r="BP315" i="15"/>
  <c r="BP316" i="15"/>
  <c r="R472" i="15"/>
  <c r="R375" i="15"/>
  <c r="BB395" i="15"/>
  <c r="BB108" i="15"/>
  <c r="BB111" i="15"/>
  <c r="BB333" i="15"/>
  <c r="BB116" i="15"/>
  <c r="BB529" i="15"/>
  <c r="BB331" i="15"/>
  <c r="BB134" i="15"/>
  <c r="BB113" i="15"/>
  <c r="BB110" i="15"/>
  <c r="BB332" i="15"/>
  <c r="AR347" i="15"/>
  <c r="AR411" i="15"/>
  <c r="AS146" i="15"/>
  <c r="BT150" i="15"/>
  <c r="P194" i="15"/>
  <c r="P196" i="15"/>
  <c r="BC395" i="15"/>
  <c r="BC134" i="15"/>
  <c r="BC116" i="15"/>
  <c r="BC529" i="15"/>
  <c r="BC111" i="15"/>
  <c r="BC333" i="15"/>
  <c r="BC113" i="15"/>
  <c r="BC108" i="15"/>
  <c r="BC331" i="15"/>
  <c r="BC110" i="15"/>
  <c r="BC332" i="15"/>
  <c r="BE39" i="15"/>
  <c r="BE519" i="15"/>
  <c r="AG92" i="15"/>
  <c r="AG554" i="15"/>
  <c r="AG566" i="15"/>
  <c r="H399" i="15"/>
  <c r="H138" i="15"/>
  <c r="H335" i="15"/>
  <c r="BP441" i="15"/>
  <c r="BP469" i="15"/>
  <c r="BL339" i="15"/>
  <c r="BL144" i="15"/>
  <c r="AR26" i="15"/>
  <c r="AR73" i="15"/>
  <c r="AS25" i="15"/>
  <c r="BE393" i="15"/>
  <c r="AQ335" i="15"/>
  <c r="AQ138" i="15"/>
  <c r="AQ399" i="15"/>
  <c r="AY223" i="15"/>
  <c r="AY305" i="15"/>
  <c r="AY457" i="15"/>
  <c r="AY459" i="15"/>
  <c r="AY360" i="15"/>
  <c r="AY301" i="15"/>
  <c r="AY369" i="15"/>
  <c r="AY304" i="15"/>
  <c r="AY302" i="15"/>
  <c r="AY370" i="15"/>
  <c r="C349" i="17"/>
  <c r="AW397" i="15"/>
  <c r="AW396" i="15"/>
  <c r="Z409" i="15"/>
  <c r="BP403" i="15"/>
  <c r="AR221" i="15"/>
  <c r="N550" i="15"/>
  <c r="U493" i="15"/>
  <c r="U325" i="15"/>
  <c r="AE465" i="15"/>
  <c r="AE364" i="15"/>
  <c r="AE432" i="15"/>
  <c r="AE286" i="15"/>
  <c r="AE265" i="15"/>
  <c r="AE83" i="15"/>
  <c r="C1430" i="17"/>
  <c r="BQ110" i="15"/>
  <c r="BQ396" i="15"/>
  <c r="BY110" i="15"/>
  <c r="BY111" i="15"/>
  <c r="BY116" i="15"/>
  <c r="BY113" i="15"/>
  <c r="BQ205" i="15"/>
  <c r="BY134" i="15"/>
  <c r="BY138" i="15"/>
  <c r="BY144" i="15"/>
  <c r="BY150" i="15"/>
  <c r="BY108" i="15"/>
  <c r="K469" i="15"/>
  <c r="K373" i="15"/>
  <c r="AC347" i="15"/>
  <c r="AC411" i="15"/>
  <c r="BS49" i="15"/>
  <c r="BS97" i="15"/>
  <c r="BS96" i="15"/>
  <c r="AJ426" i="15"/>
  <c r="Y217" i="15"/>
  <c r="V159" i="15"/>
  <c r="V177" i="15"/>
  <c r="V192" i="15"/>
  <c r="V73" i="15"/>
  <c r="AV446" i="15"/>
  <c r="AS409" i="15"/>
  <c r="P466" i="15"/>
  <c r="P367" i="15"/>
  <c r="P435" i="15"/>
  <c r="P444" i="15"/>
  <c r="P308" i="15"/>
  <c r="BJ109" i="15"/>
  <c r="BJ127" i="15"/>
  <c r="BJ126" i="15"/>
  <c r="BA92" i="15"/>
  <c r="BA554" i="15"/>
  <c r="BA566" i="15"/>
  <c r="P417" i="15"/>
  <c r="P352" i="15"/>
  <c r="P156" i="15"/>
  <c r="BO449" i="15"/>
  <c r="BO446" i="15"/>
  <c r="AF216" i="15"/>
  <c r="AX110" i="15"/>
  <c r="AX332" i="15"/>
  <c r="AX108" i="15"/>
  <c r="AX113" i="15"/>
  <c r="AX134" i="15"/>
  <c r="AX331" i="15"/>
  <c r="AX111" i="15"/>
  <c r="AX333" i="15"/>
  <c r="AX116" i="15"/>
  <c r="AX529" i="15"/>
  <c r="AX395" i="15"/>
  <c r="AO26" i="15"/>
  <c r="AO73" i="15"/>
  <c r="AO208" i="15"/>
  <c r="AO224" i="15"/>
  <c r="AP208" i="15"/>
  <c r="AP224" i="15"/>
  <c r="T110" i="15"/>
  <c r="T332" i="15"/>
  <c r="T111" i="15"/>
  <c r="T333" i="15"/>
  <c r="T134" i="15"/>
  <c r="T395" i="15"/>
  <c r="T331" i="15"/>
  <c r="T116" i="15"/>
  <c r="T529" i="15"/>
  <c r="T535" i="15"/>
  <c r="X110" i="15"/>
  <c r="X332" i="15"/>
  <c r="T113" i="15"/>
  <c r="M397" i="15"/>
  <c r="M457" i="15"/>
  <c r="M459" i="15"/>
  <c r="M301" i="15"/>
  <c r="M369" i="15"/>
  <c r="M360" i="15"/>
  <c r="M304" i="15"/>
  <c r="M223" i="15"/>
  <c r="M305" i="15"/>
  <c r="M302" i="15"/>
  <c r="M370" i="15"/>
  <c r="BS447" i="15"/>
  <c r="BS450" i="15"/>
  <c r="BR217" i="15"/>
  <c r="BR224" i="15"/>
  <c r="BZ73" i="15"/>
  <c r="BZ159" i="15"/>
  <c r="BZ177" i="15"/>
  <c r="BZ192" i="15"/>
  <c r="BA505" i="15"/>
  <c r="BA547" i="15"/>
  <c r="BA550" i="15"/>
  <c r="AZ204" i="15"/>
  <c r="BC393" i="15"/>
  <c r="BC392" i="15"/>
  <c r="BN291" i="15"/>
  <c r="BN316" i="15"/>
  <c r="O108" i="15"/>
  <c r="O529" i="15"/>
  <c r="O113" i="15"/>
  <c r="O134" i="15"/>
  <c r="O116" i="15"/>
  <c r="O110" i="15"/>
  <c r="O332" i="15"/>
  <c r="O395" i="15"/>
  <c r="O204" i="15"/>
  <c r="O111" i="15"/>
  <c r="O333" i="15"/>
  <c r="O331" i="15"/>
  <c r="BW204" i="15"/>
  <c r="P110" i="15"/>
  <c r="P332" i="15"/>
  <c r="BT400" i="15"/>
  <c r="BS400" i="15"/>
  <c r="BE61" i="15"/>
  <c r="BE67" i="15"/>
  <c r="BE69" i="15"/>
  <c r="BE71" i="15"/>
  <c r="BP446" i="15"/>
  <c r="BP449" i="15"/>
  <c r="G364" i="15"/>
  <c r="G432" i="15"/>
  <c r="G441" i="15"/>
  <c r="G265" i="15"/>
  <c r="G83" i="15"/>
  <c r="G465" i="15"/>
  <c r="G305" i="15"/>
  <c r="G286" i="15"/>
  <c r="AZ447" i="15"/>
  <c r="AZ446" i="15"/>
  <c r="BP450" i="15"/>
  <c r="BP447" i="15"/>
  <c r="H223" i="15"/>
  <c r="H305" i="15"/>
  <c r="H457" i="15"/>
  <c r="H459" i="15"/>
  <c r="H360" i="15"/>
  <c r="H302" i="15"/>
  <c r="H370" i="15"/>
  <c r="H301" i="15"/>
  <c r="H369" i="15"/>
  <c r="H304" i="15"/>
  <c r="U347" i="15"/>
  <c r="U411" i="15"/>
  <c r="BO450" i="15"/>
  <c r="BO447" i="15"/>
  <c r="BA67" i="15"/>
  <c r="BA69" i="15"/>
  <c r="BA71" i="15"/>
  <c r="D1015" i="17"/>
  <c r="D1016" i="17"/>
  <c r="D993" i="17"/>
  <c r="AD427" i="15"/>
  <c r="AC427" i="15"/>
  <c r="AE427" i="15"/>
  <c r="AF427" i="15"/>
  <c r="AR331" i="15"/>
  <c r="AR108" i="15"/>
  <c r="AR116" i="15"/>
  <c r="AR529" i="15"/>
  <c r="AR134" i="15"/>
  <c r="AR113" i="15"/>
  <c r="AR395" i="15"/>
  <c r="AR110" i="15"/>
  <c r="AR332" i="15"/>
  <c r="AV110" i="15"/>
  <c r="AV332" i="15"/>
  <c r="AR111" i="15"/>
  <c r="AR333" i="15"/>
  <c r="BQ311" i="15"/>
  <c r="AE203" i="15"/>
  <c r="BQ310" i="15"/>
  <c r="BQ222" i="15"/>
  <c r="BF295" i="15"/>
  <c r="BF297" i="15"/>
  <c r="AT111" i="15"/>
  <c r="AT333" i="15"/>
  <c r="AT113" i="15"/>
  <c r="AT110" i="15"/>
  <c r="AT332" i="15"/>
  <c r="AT331" i="15"/>
  <c r="AT116" i="15"/>
  <c r="AT529" i="15"/>
  <c r="AT395" i="15"/>
  <c r="AT428" i="15" s="1"/>
  <c r="AT108" i="15"/>
  <c r="AT134" i="15"/>
  <c r="AM111" i="15"/>
  <c r="AM333" i="15"/>
  <c r="AM108" i="15"/>
  <c r="AM113" i="15"/>
  <c r="AM395" i="15"/>
  <c r="AM116" i="15"/>
  <c r="AM529" i="15"/>
  <c r="AM110" i="15"/>
  <c r="AM332" i="15"/>
  <c r="AM134" i="15"/>
  <c r="AM331" i="15"/>
  <c r="BU302" i="15"/>
  <c r="BU223" i="15"/>
  <c r="BU457" i="15"/>
  <c r="BU459" i="15"/>
  <c r="BU305" i="15"/>
  <c r="BU469" i="15"/>
  <c r="BU304" i="15"/>
  <c r="BU470" i="15"/>
  <c r="BU301" i="15"/>
  <c r="BN389" i="15"/>
  <c r="BO389" i="15"/>
  <c r="BN393" i="15"/>
  <c r="AT204" i="15"/>
  <c r="AQ532" i="15"/>
  <c r="AQ535" i="15"/>
  <c r="AU446" i="15"/>
  <c r="U18" i="15"/>
  <c r="U13" i="15"/>
  <c r="AG45" i="15"/>
  <c r="AG525" i="15"/>
  <c r="U149" i="15"/>
  <c r="T350" i="15"/>
  <c r="T414" i="15"/>
  <c r="BA525" i="15"/>
  <c r="BA45" i="15"/>
  <c r="K226" i="17"/>
  <c r="J428" i="15"/>
  <c r="J403" i="15"/>
  <c r="J409" i="15"/>
  <c r="J415" i="15"/>
  <c r="AC113" i="15"/>
  <c r="AC426" i="15"/>
  <c r="AC331" i="15"/>
  <c r="AC108" i="15"/>
  <c r="AC110" i="15"/>
  <c r="AC332" i="15"/>
  <c r="AC111" i="15"/>
  <c r="AC333" i="15"/>
  <c r="AC116" i="15"/>
  <c r="AC529" i="15"/>
  <c r="AC395" i="15"/>
  <c r="AC134" i="15"/>
  <c r="J144" i="15"/>
  <c r="J339" i="15"/>
  <c r="P468" i="15"/>
  <c r="P366" i="15"/>
  <c r="P434" i="15"/>
  <c r="P443" i="15"/>
  <c r="P307" i="15"/>
  <c r="BS449" i="15"/>
  <c r="BS446" i="15"/>
  <c r="AO530" i="15"/>
  <c r="AO536" i="15"/>
  <c r="AS126" i="15"/>
  <c r="AO109" i="15"/>
  <c r="AR216" i="15"/>
  <c r="AO127" i="15"/>
  <c r="AU530" i="15"/>
  <c r="AU536" i="15"/>
  <c r="AU127" i="15"/>
  <c r="AU109" i="15"/>
  <c r="AW204" i="15" s="1"/>
  <c r="AU126" i="15"/>
  <c r="AX216" i="15"/>
  <c r="AY126" i="15"/>
  <c r="AQ327" i="15"/>
  <c r="AQ107" i="15"/>
  <c r="AQ329" i="15"/>
  <c r="AQ106" i="15"/>
  <c r="AQ328" i="15"/>
  <c r="AU106" i="15"/>
  <c r="AU328" i="15"/>
  <c r="AR203" i="15"/>
  <c r="AQ425" i="15"/>
  <c r="AQ391" i="15"/>
  <c r="AT203" i="15"/>
  <c r="AS203" i="15"/>
  <c r="AQ203" i="15"/>
  <c r="G291" i="15"/>
  <c r="G316" i="15"/>
  <c r="BP389" i="15"/>
  <c r="BP393" i="15"/>
  <c r="BQ389" i="15"/>
  <c r="X234" i="15"/>
  <c r="X456" i="15"/>
  <c r="V456" i="15"/>
  <c r="V234" i="15"/>
  <c r="V220" i="15"/>
  <c r="AH264" i="15"/>
  <c r="AH265" i="15"/>
  <c r="BF393" i="15"/>
  <c r="BF392" i="15"/>
  <c r="AG264" i="15"/>
  <c r="AG265" i="15"/>
  <c r="BE505" i="15"/>
  <c r="BE547" i="15"/>
  <c r="BE550" i="15"/>
  <c r="Y22" i="15"/>
  <c r="Y81" i="15"/>
  <c r="AA202" i="15"/>
  <c r="AA221" i="15"/>
  <c r="Y103" i="15"/>
  <c r="Y105" i="15"/>
  <c r="Z202" i="15"/>
  <c r="Z221" i="15"/>
  <c r="Y202" i="15"/>
  <c r="Y221" i="15"/>
  <c r="Y559" i="15"/>
  <c r="AB202" i="15"/>
  <c r="AB221" i="15"/>
  <c r="AT367" i="15"/>
  <c r="AT435" i="15"/>
  <c r="AT466" i="15"/>
  <c r="AJ335" i="15"/>
  <c r="AJ399" i="15"/>
  <c r="AJ403" i="15"/>
  <c r="AJ409" i="15"/>
  <c r="AJ415" i="15"/>
  <c r="AJ138" i="15"/>
  <c r="AK214" i="15"/>
  <c r="AK221" i="15"/>
  <c r="AM214" i="15"/>
  <c r="AK571" i="15"/>
  <c r="AN214" i="15"/>
  <c r="AL214" i="15"/>
  <c r="AL221" i="15"/>
  <c r="R457" i="15"/>
  <c r="R459" i="15"/>
  <c r="R223" i="15"/>
  <c r="R302" i="15"/>
  <c r="R370" i="15"/>
  <c r="R304" i="15"/>
  <c r="R305" i="15"/>
  <c r="R360" i="15"/>
  <c r="R301" i="15"/>
  <c r="R369" i="15"/>
  <c r="AN202" i="15"/>
  <c r="AK22" i="15"/>
  <c r="AK559" i="15"/>
  <c r="AM202" i="15"/>
  <c r="AM221" i="15"/>
  <c r="AK81" i="15"/>
  <c r="AK103" i="15"/>
  <c r="AK105" i="15"/>
  <c r="AA505" i="15"/>
  <c r="AA547" i="15"/>
  <c r="AV462" i="15"/>
  <c r="AV310" i="15"/>
  <c r="AV378" i="15"/>
  <c r="BP471" i="15"/>
  <c r="BP444" i="15"/>
  <c r="AY532" i="15"/>
  <c r="AY535" i="15"/>
  <c r="BZ535" i="15"/>
  <c r="BZ532" i="15"/>
  <c r="BZ533" i="15"/>
  <c r="H205" i="15"/>
  <c r="H426" i="15"/>
  <c r="BQ204" i="15"/>
  <c r="U45" i="15"/>
  <c r="U525" i="15"/>
  <c r="BF318" i="15"/>
  <c r="BF363" i="15"/>
  <c r="BF431" i="15"/>
  <c r="BF285" i="15"/>
  <c r="AJ73" i="15"/>
  <c r="AJ159" i="15"/>
  <c r="AJ177" i="15"/>
  <c r="AJ192" i="15"/>
  <c r="M399" i="15"/>
  <c r="M335" i="15"/>
  <c r="M138" i="15"/>
  <c r="BL110" i="15"/>
  <c r="BL332" i="15"/>
  <c r="BH111" i="15"/>
  <c r="BH108" i="15"/>
  <c r="AD110" i="15"/>
  <c r="AD332" i="15"/>
  <c r="BH116" i="15"/>
  <c r="BH134" i="15"/>
  <c r="BH138" i="15"/>
  <c r="BH144" i="15"/>
  <c r="BH150" i="15"/>
  <c r="BH113" i="15"/>
  <c r="AD205" i="15" s="1"/>
  <c r="AS204" i="15"/>
  <c r="AQ396" i="15"/>
  <c r="AQ397" i="15"/>
  <c r="AW535" i="15"/>
  <c r="AW532" i="15"/>
  <c r="AW533" i="15"/>
  <c r="BF427" i="15"/>
  <c r="BE427" i="15"/>
  <c r="AI86" i="15"/>
  <c r="AI85" i="15"/>
  <c r="AI24" i="15"/>
  <c r="AI208" i="15"/>
  <c r="AW447" i="15"/>
  <c r="AW446" i="15"/>
  <c r="BO26" i="15"/>
  <c r="BO73" i="15"/>
  <c r="BO208" i="15"/>
  <c r="BO224" i="15"/>
  <c r="BP208" i="15"/>
  <c r="BP224" i="15"/>
  <c r="BR307" i="15"/>
  <c r="BR472" i="15"/>
  <c r="BR458" i="15"/>
  <c r="BR308" i="15"/>
  <c r="BR471" i="15"/>
  <c r="V127" i="15"/>
  <c r="V109" i="15"/>
  <c r="Z126" i="15"/>
  <c r="Y216" i="15"/>
  <c r="V530" i="15"/>
  <c r="V536" i="15"/>
  <c r="V126" i="15"/>
  <c r="R151" i="15"/>
  <c r="R152" i="15"/>
  <c r="R351" i="15"/>
  <c r="BN295" i="15"/>
  <c r="BN297" i="15"/>
  <c r="BN315" i="15"/>
  <c r="BA559" i="15"/>
  <c r="BC202" i="15"/>
  <c r="BA103" i="15"/>
  <c r="BA105" i="15"/>
  <c r="BA22" i="15"/>
  <c r="BA202" i="15"/>
  <c r="BA81" i="15"/>
  <c r="BD202" i="15"/>
  <c r="BB202" i="15"/>
  <c r="AG499" i="15"/>
  <c r="AF504" i="15"/>
  <c r="E150" i="15"/>
  <c r="BO210" i="15"/>
  <c r="BO463" i="15"/>
  <c r="E345" i="15"/>
  <c r="E210" i="15"/>
  <c r="E463" i="15"/>
  <c r="AB111" i="15"/>
  <c r="AB333" i="15"/>
  <c r="AB113" i="15"/>
  <c r="AB331" i="15"/>
  <c r="AB108" i="15"/>
  <c r="AB134" i="15"/>
  <c r="AB395" i="15"/>
  <c r="AB110" i="15"/>
  <c r="AB332" i="15"/>
  <c r="AB116" i="15"/>
  <c r="AB529" i="15"/>
  <c r="AB535" i="15"/>
  <c r="AB204" i="15"/>
  <c r="AC204" i="15"/>
  <c r="W456" i="15"/>
  <c r="W234" i="15"/>
  <c r="AY397" i="15"/>
  <c r="BR305" i="15"/>
  <c r="BR469" i="15"/>
  <c r="BR457" i="15"/>
  <c r="BR459" i="15"/>
  <c r="BR304" i="15"/>
  <c r="BR470" i="15"/>
  <c r="BR301" i="15"/>
  <c r="BR302" i="15"/>
  <c r="BR223" i="15"/>
  <c r="H535" i="15"/>
  <c r="H532" i="15"/>
  <c r="H533" i="15"/>
  <c r="Y532" i="15"/>
  <c r="Y533" i="15"/>
  <c r="F533" i="15"/>
  <c r="AQ86" i="15"/>
  <c r="AQ24" i="15"/>
  <c r="AR208" i="15"/>
  <c r="AR224" i="15"/>
  <c r="AQ85" i="15"/>
  <c r="AG88" i="15"/>
  <c r="AG404" i="15"/>
  <c r="AG340" i="15"/>
  <c r="AJ209" i="15"/>
  <c r="AJ462" i="15"/>
  <c r="BQ150" i="15"/>
  <c r="U67" i="15"/>
  <c r="U69" i="15"/>
  <c r="U71" i="15"/>
  <c r="U61" i="15"/>
  <c r="BQ423" i="15"/>
  <c r="BE554" i="15"/>
  <c r="BE566" i="15"/>
  <c r="BE213" i="15"/>
  <c r="BE220" i="15"/>
  <c r="BF213" i="15"/>
  <c r="I73" i="15"/>
  <c r="I217" i="15"/>
  <c r="I224" i="15"/>
  <c r="I159" i="15"/>
  <c r="I177" i="15"/>
  <c r="I192" i="15"/>
  <c r="D1371" i="17"/>
  <c r="D1358" i="17"/>
  <c r="AC310" i="15"/>
  <c r="AC378" i="15"/>
  <c r="AC311" i="15"/>
  <c r="AC379" i="15"/>
  <c r="AC222" i="15"/>
  <c r="AJ532" i="15"/>
  <c r="AJ533" i="15"/>
  <c r="AJ535" i="15"/>
  <c r="AL215" i="15"/>
  <c r="AK125" i="15"/>
  <c r="AK123" i="15"/>
  <c r="AN215" i="15"/>
  <c r="AM215" i="15"/>
  <c r="AK215" i="15"/>
  <c r="AC499" i="15"/>
  <c r="AB504" i="15"/>
  <c r="L529" i="15"/>
  <c r="L111" i="15"/>
  <c r="L333" i="15"/>
  <c r="L108" i="15"/>
  <c r="L110" i="15"/>
  <c r="L332" i="15"/>
  <c r="L395" i="15"/>
  <c r="L331" i="15"/>
  <c r="L116" i="15"/>
  <c r="L134" i="15"/>
  <c r="L113" i="15"/>
  <c r="L204" i="15"/>
  <c r="P61" i="15"/>
  <c r="P67" i="15"/>
  <c r="P69" i="15"/>
  <c r="P71" i="15"/>
  <c r="AY335" i="15"/>
  <c r="AY399" i="15"/>
  <c r="AY403" i="15"/>
  <c r="AY409" i="15"/>
  <c r="AY415" i="15"/>
  <c r="AY138" i="15"/>
  <c r="BZ110" i="15"/>
  <c r="AF159" i="15"/>
  <c r="AF177" i="15"/>
  <c r="AF192" i="15"/>
  <c r="AF217" i="15"/>
  <c r="BR447" i="15"/>
  <c r="BR450" i="15"/>
  <c r="BJ159" i="15"/>
  <c r="BJ177" i="15"/>
  <c r="BJ192" i="15"/>
  <c r="BJ73" i="15"/>
  <c r="AO216" i="15"/>
  <c r="AI262" i="15"/>
  <c r="AI460" i="15"/>
  <c r="AZ138" i="15"/>
  <c r="AZ399" i="15"/>
  <c r="AZ403" i="15"/>
  <c r="AZ409" i="15"/>
  <c r="AZ415" i="15"/>
  <c r="AZ335" i="15"/>
  <c r="AZ426" i="15"/>
  <c r="AQ110" i="15"/>
  <c r="AQ332" i="15"/>
  <c r="AW335" i="15"/>
  <c r="AW138" i="15"/>
  <c r="AW399" i="15"/>
  <c r="AW403" i="15"/>
  <c r="AW409" i="15"/>
  <c r="AW415" i="15"/>
  <c r="G295" i="15"/>
  <c r="G297" i="15"/>
  <c r="G315" i="15"/>
  <c r="S331" i="15"/>
  <c r="S116" i="15"/>
  <c r="S529" i="15"/>
  <c r="S535" i="15"/>
  <c r="S108" i="15"/>
  <c r="S110" i="15"/>
  <c r="S332" i="15"/>
  <c r="S111" i="15"/>
  <c r="S333" i="15"/>
  <c r="S395" i="15"/>
  <c r="T204" i="15"/>
  <c r="W110" i="15"/>
  <c r="W332" i="15"/>
  <c r="S113" i="15"/>
  <c r="S134" i="15"/>
  <c r="N113" i="15"/>
  <c r="N395" i="15"/>
  <c r="N529" i="15"/>
  <c r="N108" i="15"/>
  <c r="N134" i="15"/>
  <c r="N116" i="15"/>
  <c r="N331" i="15"/>
  <c r="N111" i="15"/>
  <c r="N333" i="15"/>
  <c r="N204" i="15"/>
  <c r="N110" i="15"/>
  <c r="N332" i="15"/>
  <c r="BV204" i="15"/>
  <c r="BF47" i="15"/>
  <c r="BF560" i="15"/>
  <c r="AD302" i="15"/>
  <c r="AD370" i="15"/>
  <c r="AD304" i="15"/>
  <c r="AD360" i="15"/>
  <c r="AD301" i="15"/>
  <c r="AD369" i="15"/>
  <c r="AD305" i="15"/>
  <c r="AD457" i="15"/>
  <c r="AD459" i="15"/>
  <c r="C1482" i="17"/>
  <c r="AD223" i="15"/>
  <c r="M535" i="15"/>
  <c r="M532" i="15"/>
  <c r="M533" i="15"/>
  <c r="BE310" i="15"/>
  <c r="BE378" i="15"/>
  <c r="BE311" i="15"/>
  <c r="BE379" i="15"/>
  <c r="D258" i="17"/>
  <c r="D259" i="17"/>
  <c r="D236" i="17"/>
  <c r="AH208" i="15"/>
  <c r="AG208" i="15"/>
  <c r="AF26" i="15"/>
  <c r="AF73" i="15"/>
  <c r="AF208" i="15"/>
  <c r="AF224" i="15"/>
  <c r="BS125" i="15"/>
  <c r="BS123" i="15"/>
  <c r="BS215" i="15"/>
  <c r="BS222" i="15"/>
  <c r="BT215" i="15"/>
  <c r="BT222" i="15"/>
  <c r="BS122" i="15"/>
  <c r="BT122" i="15"/>
  <c r="R361" i="15"/>
  <c r="R458" i="15"/>
  <c r="R308" i="15"/>
  <c r="AQ562" i="15"/>
  <c r="U456" i="15"/>
  <c r="U234" i="15"/>
  <c r="AI562" i="15"/>
  <c r="AP367" i="15"/>
  <c r="AP435" i="15"/>
  <c r="AP466" i="15"/>
  <c r="AA443" i="15"/>
  <c r="AA444" i="15"/>
  <c r="AI351" i="15"/>
  <c r="D1363" i="17"/>
  <c r="D1364" i="17"/>
  <c r="D1401" i="17"/>
  <c r="AC393" i="15"/>
  <c r="T103" i="15"/>
  <c r="T105" i="15"/>
  <c r="T108" i="15" s="1"/>
  <c r="T81" i="15"/>
  <c r="T559" i="15"/>
  <c r="T202" i="15"/>
  <c r="T221" i="15"/>
  <c r="T22" i="15"/>
  <c r="AF310" i="15"/>
  <c r="AF378" i="15"/>
  <c r="AK49" i="15"/>
  <c r="AK97" i="15"/>
  <c r="AK96" i="15"/>
  <c r="AU462" i="15"/>
  <c r="AU310" i="15"/>
  <c r="AU378" i="15"/>
  <c r="AO336" i="15"/>
  <c r="AO400" i="15"/>
  <c r="BV400" i="15"/>
  <c r="BP472" i="15"/>
  <c r="BP443" i="15"/>
  <c r="BZ138" i="15"/>
  <c r="BZ144" i="15"/>
  <c r="BZ150" i="15"/>
  <c r="BK107" i="15"/>
  <c r="BK106" i="15"/>
  <c r="BK108" i="15"/>
  <c r="U554" i="15"/>
  <c r="U566" i="15"/>
  <c r="X213" i="15"/>
  <c r="X220" i="15"/>
  <c r="BL213" i="15"/>
  <c r="BR446" i="15"/>
  <c r="BR449" i="15"/>
  <c r="BW224" i="15"/>
  <c r="AP216" i="15"/>
  <c r="M205" i="15"/>
  <c r="M426" i="15"/>
  <c r="BU205" i="15"/>
  <c r="U213" i="15"/>
  <c r="U220" i="15"/>
  <c r="AJ262" i="15"/>
  <c r="AJ460" i="15"/>
  <c r="AZ532" i="15"/>
  <c r="AZ533" i="15"/>
  <c r="AZ535" i="15"/>
  <c r="BF311" i="15"/>
  <c r="BF379" i="15"/>
  <c r="BF310" i="15"/>
  <c r="BF378" i="15"/>
  <c r="Y493" i="15"/>
  <c r="Y325" i="15"/>
  <c r="P353" i="15"/>
  <c r="P418" i="15"/>
  <c r="AW426" i="15"/>
  <c r="AZ205" i="15"/>
  <c r="AY205" i="15"/>
  <c r="U389" i="15"/>
  <c r="Y389" i="15"/>
  <c r="G285" i="15"/>
  <c r="G363" i="15"/>
  <c r="G431" i="15"/>
  <c r="G440" i="15"/>
  <c r="G264" i="15"/>
  <c r="G304" i="15"/>
  <c r="G318" i="15"/>
  <c r="BE82" i="15"/>
  <c r="BE22" i="15"/>
  <c r="AP446" i="15"/>
  <c r="AP447" i="15"/>
  <c r="AZ468" i="15"/>
  <c r="AZ366" i="15"/>
  <c r="AZ434" i="15"/>
  <c r="AZ307" i="15"/>
  <c r="BS214" i="15"/>
  <c r="BS221" i="15"/>
  <c r="BT214" i="15"/>
  <c r="BT221" i="15"/>
  <c r="BS571" i="15"/>
  <c r="BS562" i="15"/>
  <c r="AJ397" i="15"/>
  <c r="R409" i="15"/>
  <c r="C1433" i="17"/>
  <c r="AE291" i="15"/>
  <c r="K1356" i="17"/>
  <c r="I126" i="15"/>
  <c r="I127" i="15"/>
  <c r="I109" i="15"/>
  <c r="I216" i="15"/>
  <c r="I124" i="15"/>
  <c r="J126" i="15"/>
  <c r="T61" i="15"/>
  <c r="T67" i="15"/>
  <c r="T69" i="15"/>
  <c r="T71" i="15"/>
  <c r="K66" i="17"/>
  <c r="AN113" i="15"/>
  <c r="AN116" i="15"/>
  <c r="AN529" i="15"/>
  <c r="AN111" i="15"/>
  <c r="AN333" i="15"/>
  <c r="AN395" i="15"/>
  <c r="AN134" i="15"/>
  <c r="AN331" i="15"/>
  <c r="AQ204" i="15"/>
  <c r="AN108" i="15"/>
  <c r="AN110" i="15"/>
  <c r="AN332" i="15"/>
  <c r="AF264" i="15"/>
  <c r="AF265" i="15"/>
  <c r="BL456" i="15"/>
  <c r="BL234" i="15"/>
  <c r="BL220" i="15"/>
  <c r="BQ466" i="15"/>
  <c r="BQ308" i="15"/>
  <c r="BQ471" i="15"/>
  <c r="T466" i="15"/>
  <c r="T367" i="15"/>
  <c r="T435" i="15"/>
  <c r="AI107" i="15"/>
  <c r="AI329" i="15"/>
  <c r="AI425" i="15"/>
  <c r="AI391" i="15"/>
  <c r="AI106" i="15"/>
  <c r="AI328" i="15"/>
  <c r="AI327" i="15"/>
  <c r="AM106" i="15"/>
  <c r="AI108" i="15"/>
  <c r="AG107" i="15"/>
  <c r="AG329" i="15"/>
  <c r="AG391" i="15"/>
  <c r="AG203" i="15"/>
  <c r="AG327" i="15"/>
  <c r="AG425" i="15"/>
  <c r="AI203" i="15"/>
  <c r="AG106" i="15"/>
  <c r="AG328" i="15"/>
  <c r="AH203" i="15"/>
  <c r="AJ203" i="15"/>
  <c r="BV432" i="15"/>
  <c r="BE295" i="15"/>
  <c r="BE297" i="15"/>
  <c r="AY447" i="15"/>
  <c r="AY446" i="15"/>
  <c r="BD85" i="15"/>
  <c r="BD86" i="15"/>
  <c r="BD24" i="15"/>
  <c r="BV156" i="15"/>
  <c r="AO447" i="15"/>
  <c r="AO446" i="15"/>
  <c r="K466" i="15"/>
  <c r="K367" i="15"/>
  <c r="K435" i="15"/>
  <c r="K444" i="15"/>
  <c r="K308" i="15"/>
  <c r="AU159" i="15"/>
  <c r="AU177" i="15"/>
  <c r="AU192" i="15"/>
  <c r="AX217" i="15"/>
  <c r="AX224" i="15" s="1"/>
  <c r="AW217" i="15"/>
  <c r="AW224" i="15"/>
  <c r="AV217" i="15"/>
  <c r="AV224" i="15"/>
  <c r="AU217" i="15"/>
  <c r="AU224" i="15"/>
  <c r="AE547" i="15"/>
  <c r="AE505" i="15"/>
  <c r="AG61" i="15"/>
  <c r="AG67" i="15"/>
  <c r="AG69" i="15"/>
  <c r="AG71" i="15"/>
  <c r="BE460" i="15"/>
  <c r="BE262" i="15"/>
  <c r="AS150" i="15"/>
  <c r="AS345" i="15"/>
  <c r="AY426" i="15"/>
  <c r="H397" i="15"/>
  <c r="H396" i="15"/>
  <c r="BD144" i="15"/>
  <c r="BD339" i="15"/>
  <c r="AF116" i="15"/>
  <c r="AF529" i="15"/>
  <c r="AF113" i="15"/>
  <c r="AF134" i="15"/>
  <c r="AF110" i="15"/>
  <c r="AF332" i="15"/>
  <c r="AF108" i="15"/>
  <c r="AF331" i="15"/>
  <c r="AF395" i="15"/>
  <c r="AF111" i="15"/>
  <c r="AF333" i="15"/>
  <c r="BP440" i="15"/>
  <c r="BP470" i="15"/>
  <c r="AO406" i="15"/>
  <c r="BV406" i="15"/>
  <c r="AO342" i="15"/>
  <c r="R210" i="15"/>
  <c r="R463" i="15"/>
  <c r="J458" i="15"/>
  <c r="J361" i="15"/>
  <c r="J429" i="15"/>
  <c r="J308" i="15"/>
  <c r="J307" i="15"/>
  <c r="AL134" i="15"/>
  <c r="AL108" i="15"/>
  <c r="AL331" i="15"/>
  <c r="AL395" i="15"/>
  <c r="AP110" i="15"/>
  <c r="AP332" i="15"/>
  <c r="AL111" i="15"/>
  <c r="AL333" i="15"/>
  <c r="AL116" i="15"/>
  <c r="AL529" i="15"/>
  <c r="AL113" i="15"/>
  <c r="AL110" i="15"/>
  <c r="AL332" i="15"/>
  <c r="AO204" i="15"/>
  <c r="W213" i="15"/>
  <c r="W220" i="15"/>
  <c r="AZ397" i="15"/>
  <c r="AZ396" i="15"/>
  <c r="BP210" i="15"/>
  <c r="BP463" i="15"/>
  <c r="BP150" i="15"/>
  <c r="AQ426" i="15"/>
  <c r="AT205" i="15"/>
  <c r="AT308" i="15"/>
  <c r="AE415" i="15"/>
  <c r="BQ415" i="15"/>
  <c r="BQ409" i="15"/>
  <c r="AJ510" i="15"/>
  <c r="BF367" i="15"/>
  <c r="BF435" i="15"/>
  <c r="BF468" i="15"/>
  <c r="AT449" i="15"/>
  <c r="AT450" i="15"/>
  <c r="AT438" i="15"/>
  <c r="AT437" i="15"/>
  <c r="AT440" i="15"/>
  <c r="AT441" i="15"/>
  <c r="AT471" i="15"/>
  <c r="AT376" i="15"/>
  <c r="L396" i="15"/>
  <c r="L397" i="15"/>
  <c r="AH466" i="15"/>
  <c r="AH367" i="15"/>
  <c r="AH435" i="15"/>
  <c r="AE550" i="15"/>
  <c r="J444" i="15"/>
  <c r="J443" i="15"/>
  <c r="AF426" i="15"/>
  <c r="AS351" i="15"/>
  <c r="AI310" i="15"/>
  <c r="AI378" i="15"/>
  <c r="AI311" i="15"/>
  <c r="AI379" i="15"/>
  <c r="AF468" i="15"/>
  <c r="AF366" i="15"/>
  <c r="AF434" i="15"/>
  <c r="AN535" i="15"/>
  <c r="AN532" i="15"/>
  <c r="AN533" i="15"/>
  <c r="BU308" i="15"/>
  <c r="BU471" i="15"/>
  <c r="BU458" i="15"/>
  <c r="BU307" i="15"/>
  <c r="BU472" i="15"/>
  <c r="AN217" i="15"/>
  <c r="AK159" i="15"/>
  <c r="AK177" i="15"/>
  <c r="AK192" i="15"/>
  <c r="T24" i="15"/>
  <c r="T85" i="15"/>
  <c r="T86" i="15"/>
  <c r="D1366" i="17"/>
  <c r="D1376" i="17"/>
  <c r="N397" i="15"/>
  <c r="N396" i="15"/>
  <c r="S396" i="15"/>
  <c r="W396" i="15"/>
  <c r="S397" i="15"/>
  <c r="BN395" i="15"/>
  <c r="BN397" i="15"/>
  <c r="BU406" i="15"/>
  <c r="AB505" i="15"/>
  <c r="AB547" i="15"/>
  <c r="AK109" i="15"/>
  <c r="AK127" i="15"/>
  <c r="AK530" i="15"/>
  <c r="AK536" i="15"/>
  <c r="AL216" i="15"/>
  <c r="AN216" i="15"/>
  <c r="AM216" i="15"/>
  <c r="AK216" i="15"/>
  <c r="V111" i="15"/>
  <c r="V333" i="15"/>
  <c r="V108" i="15"/>
  <c r="Z110" i="15"/>
  <c r="Z332" i="15"/>
  <c r="V113" i="15"/>
  <c r="V134" i="15"/>
  <c r="V331" i="15"/>
  <c r="V110" i="15"/>
  <c r="V332" i="15"/>
  <c r="V116" i="15"/>
  <c r="V529" i="15"/>
  <c r="V535" i="15"/>
  <c r="V395" i="15"/>
  <c r="Y204" i="15"/>
  <c r="AD458" i="15"/>
  <c r="AD308" i="15"/>
  <c r="AD361" i="15"/>
  <c r="AD307" i="15"/>
  <c r="AN221" i="15"/>
  <c r="R316" i="15"/>
  <c r="R315" i="15"/>
  <c r="AJ144" i="15"/>
  <c r="AJ339" i="15"/>
  <c r="Y85" i="15"/>
  <c r="Y24" i="15"/>
  <c r="Y86" i="15"/>
  <c r="AQ222" i="15"/>
  <c r="AQ311" i="15"/>
  <c r="AQ379" i="15"/>
  <c r="AQ310" i="15"/>
  <c r="AQ378" i="15"/>
  <c r="AC335" i="15"/>
  <c r="AC138" i="15"/>
  <c r="AC399" i="15"/>
  <c r="AC403" i="15"/>
  <c r="AC409" i="15"/>
  <c r="AC415" i="15"/>
  <c r="AM399" i="15"/>
  <c r="AM335" i="15"/>
  <c r="AM138" i="15"/>
  <c r="AW304" i="15"/>
  <c r="AW305" i="15"/>
  <c r="AW302" i="15"/>
  <c r="AW370" i="15"/>
  <c r="AW457" i="15"/>
  <c r="AW459" i="15"/>
  <c r="AW301" i="15"/>
  <c r="AW369" i="15"/>
  <c r="AW360" i="15"/>
  <c r="M316" i="15"/>
  <c r="M315" i="15"/>
  <c r="Z415" i="15"/>
  <c r="BP415" i="15"/>
  <c r="BP409" i="15"/>
  <c r="J333" i="17"/>
  <c r="E341" i="17"/>
  <c r="E339" i="17"/>
  <c r="AQ403" i="15"/>
  <c r="BW399" i="15"/>
  <c r="H339" i="15"/>
  <c r="H144" i="15"/>
  <c r="BE525" i="15"/>
  <c r="BE45" i="15"/>
  <c r="BC138" i="15"/>
  <c r="BC399" i="15"/>
  <c r="BC403" i="15"/>
  <c r="BC409" i="15"/>
  <c r="BC415" i="15"/>
  <c r="BC335" i="15"/>
  <c r="AL397" i="15"/>
  <c r="BS395" i="15"/>
  <c r="BS397" i="15"/>
  <c r="AL396" i="15"/>
  <c r="AP396" i="15"/>
  <c r="Y562" i="15"/>
  <c r="AE446" i="15"/>
  <c r="AE447" i="15"/>
  <c r="AF397" i="15"/>
  <c r="AF396" i="15"/>
  <c r="AF532" i="15"/>
  <c r="AF533" i="15"/>
  <c r="AF535" i="15"/>
  <c r="BE265" i="15"/>
  <c r="BE264" i="15"/>
  <c r="AI427" i="15"/>
  <c r="AJ427" i="15"/>
  <c r="AH427" i="15"/>
  <c r="AG427" i="15"/>
  <c r="AN426" i="15"/>
  <c r="J110" i="15"/>
  <c r="J332" i="15"/>
  <c r="I529" i="15"/>
  <c r="I116" i="15"/>
  <c r="I113" i="15"/>
  <c r="I331" i="15"/>
  <c r="I395" i="15"/>
  <c r="I204" i="15"/>
  <c r="I134" i="15"/>
  <c r="I110" i="15"/>
  <c r="I332" i="15"/>
  <c r="I111" i="15"/>
  <c r="I333" i="15"/>
  <c r="I108" i="15"/>
  <c r="N301" i="15"/>
  <c r="N369" i="15"/>
  <c r="N457" i="15"/>
  <c r="N459" i="15"/>
  <c r="N304" i="15"/>
  <c r="N223" i="15"/>
  <c r="N360" i="15"/>
  <c r="N302" i="15"/>
  <c r="N370" i="15"/>
  <c r="N305" i="15"/>
  <c r="C455" i="17"/>
  <c r="N205" i="15"/>
  <c r="N426" i="15"/>
  <c r="BV205" i="15"/>
  <c r="AZ144" i="15"/>
  <c r="AZ339" i="15"/>
  <c r="AC504" i="15"/>
  <c r="M403" i="15"/>
  <c r="M409" i="15"/>
  <c r="M415" i="15"/>
  <c r="M428" i="15"/>
  <c r="H361" i="15"/>
  <c r="H429" i="15"/>
  <c r="H458" i="15"/>
  <c r="H308" i="15"/>
  <c r="H307" i="15"/>
  <c r="AA550" i="15"/>
  <c r="AS311" i="15"/>
  <c r="AS379" i="15"/>
  <c r="AS310" i="15"/>
  <c r="AS378" i="15"/>
  <c r="AS222" i="15"/>
  <c r="AO126" i="15"/>
  <c r="AC397" i="15"/>
  <c r="AF428" i="15"/>
  <c r="AC396" i="15"/>
  <c r="J438" i="15"/>
  <c r="J449" i="15"/>
  <c r="J450" i="15"/>
  <c r="J441" i="15"/>
  <c r="J437" i="15"/>
  <c r="J440" i="15"/>
  <c r="BA47" i="15"/>
  <c r="BA560" i="15"/>
  <c r="BA119" i="15"/>
  <c r="BA121" i="15"/>
  <c r="AG560" i="15"/>
  <c r="AG47" i="15"/>
  <c r="AG119" i="15"/>
  <c r="AG121" i="15"/>
  <c r="AT138" i="15"/>
  <c r="AT335" i="15"/>
  <c r="AT399" i="15"/>
  <c r="AT403" i="15"/>
  <c r="AT409" i="15"/>
  <c r="AT415" i="15"/>
  <c r="AF446" i="15"/>
  <c r="AF447" i="15"/>
  <c r="G469" i="15"/>
  <c r="G373" i="15"/>
  <c r="O301" i="15"/>
  <c r="O369" i="15"/>
  <c r="O305" i="15"/>
  <c r="O302" i="15"/>
  <c r="O370" i="15"/>
  <c r="O223" i="15"/>
  <c r="O360" i="15"/>
  <c r="O457" i="15"/>
  <c r="O459" i="15"/>
  <c r="O304" i="15"/>
  <c r="M470" i="15"/>
  <c r="M372" i="15"/>
  <c r="AQ208" i="15"/>
  <c r="AQ224" i="15"/>
  <c r="AX397" i="15"/>
  <c r="AX396" i="15"/>
  <c r="P471" i="15"/>
  <c r="P376" i="15"/>
  <c r="BY151" i="15"/>
  <c r="AQ144" i="15"/>
  <c r="AQ339" i="15"/>
  <c r="H428" i="15"/>
  <c r="H403" i="15"/>
  <c r="H409" i="15"/>
  <c r="H415" i="15"/>
  <c r="BC397" i="15"/>
  <c r="BC396" i="15"/>
  <c r="BB397" i="15"/>
  <c r="BB396" i="15"/>
  <c r="T562" i="15"/>
  <c r="BR315" i="15"/>
  <c r="BR316" i="15"/>
  <c r="R353" i="15"/>
  <c r="R194" i="15"/>
  <c r="R196" i="15"/>
  <c r="R197" i="15"/>
  <c r="R418" i="15"/>
  <c r="H469" i="15"/>
  <c r="H373" i="15"/>
  <c r="BQ307" i="15"/>
  <c r="BQ472" i="15"/>
  <c r="AE205" i="15"/>
  <c r="BQ458" i="15"/>
  <c r="AG310" i="15"/>
  <c r="AG378" i="15"/>
  <c r="AG311" i="15"/>
  <c r="AG379" i="15"/>
  <c r="BE85" i="15"/>
  <c r="BE24" i="15"/>
  <c r="BE86" i="15"/>
  <c r="BA24" i="15"/>
  <c r="BA85" i="15"/>
  <c r="BA86" i="15"/>
  <c r="H316" i="15"/>
  <c r="H315" i="15"/>
  <c r="C187" i="17"/>
  <c r="BB426" i="15"/>
  <c r="AG393" i="15"/>
  <c r="AG392" i="15"/>
  <c r="AI393" i="15"/>
  <c r="AI392" i="15"/>
  <c r="AM392" i="15"/>
  <c r="BR391" i="15"/>
  <c r="BR393" i="15"/>
  <c r="R415" i="15"/>
  <c r="AJ264" i="15"/>
  <c r="AJ265" i="15"/>
  <c r="T107" i="15"/>
  <c r="T329" i="15"/>
  <c r="T425" i="15"/>
  <c r="T327" i="15"/>
  <c r="T106" i="15"/>
  <c r="T328" i="15"/>
  <c r="X106" i="15"/>
  <c r="X328" i="15"/>
  <c r="T391" i="15"/>
  <c r="T203" i="15"/>
  <c r="AD316" i="15"/>
  <c r="C1490" i="17"/>
  <c r="C1488" i="17"/>
  <c r="AD315" i="15"/>
  <c r="BF571" i="15"/>
  <c r="BF562" i="15"/>
  <c r="S138" i="15"/>
  <c r="S399" i="15"/>
  <c r="S335" i="15"/>
  <c r="BQ151" i="15"/>
  <c r="BQ152" i="15"/>
  <c r="BQ194" i="15"/>
  <c r="BQ196" i="15"/>
  <c r="BA391" i="15"/>
  <c r="BA106" i="15"/>
  <c r="BA328" i="15"/>
  <c r="BB203" i="15"/>
  <c r="BA425" i="15"/>
  <c r="BC203" i="15"/>
  <c r="BA203" i="15"/>
  <c r="BA107" i="15"/>
  <c r="BA329" i="15"/>
  <c r="BD203" i="15"/>
  <c r="BA327" i="15"/>
  <c r="BE106" i="15"/>
  <c r="BE328" i="15"/>
  <c r="AS305" i="15"/>
  <c r="C672" i="17"/>
  <c r="AS360" i="15"/>
  <c r="AS304" i="15"/>
  <c r="AS301" i="15"/>
  <c r="AS369" i="15"/>
  <c r="AS457" i="15"/>
  <c r="AS459" i="15"/>
  <c r="AS302" i="15"/>
  <c r="AS370" i="15"/>
  <c r="AS223" i="15"/>
  <c r="AL217" i="15"/>
  <c r="AR427" i="15"/>
  <c r="AS427" i="15"/>
  <c r="AT427" i="15"/>
  <c r="AQ427" i="15"/>
  <c r="AS110" i="15"/>
  <c r="AS332" i="15"/>
  <c r="AO111" i="15"/>
  <c r="AO333" i="15"/>
  <c r="AO108" i="15"/>
  <c r="AO134" i="15"/>
  <c r="AO395" i="15"/>
  <c r="AO113" i="15"/>
  <c r="AR204" i="15"/>
  <c r="AO331" i="15"/>
  <c r="AO116" i="15"/>
  <c r="AO529" i="15"/>
  <c r="AO110" i="15"/>
  <c r="AO332" i="15"/>
  <c r="BU315" i="15"/>
  <c r="BU316" i="15"/>
  <c r="AM426" i="15"/>
  <c r="AP205" i="15"/>
  <c r="AT532" i="15"/>
  <c r="AT533" i="15"/>
  <c r="AT535" i="15"/>
  <c r="BQ449" i="15"/>
  <c r="BQ446" i="15"/>
  <c r="AR426" i="15"/>
  <c r="AS205" i="15"/>
  <c r="AD446" i="15"/>
  <c r="AD447" i="15"/>
  <c r="G466" i="15"/>
  <c r="G367" i="15"/>
  <c r="G435" i="15"/>
  <c r="G444" i="15"/>
  <c r="G308" i="15"/>
  <c r="AZ428" i="15"/>
  <c r="BT151" i="15"/>
  <c r="BB335" i="15"/>
  <c r="BB138" i="15"/>
  <c r="BB399" i="15"/>
  <c r="BB403" i="15"/>
  <c r="BB409" i="15"/>
  <c r="BB415" i="15"/>
  <c r="K471" i="15"/>
  <c r="K376" i="15"/>
  <c r="AW144" i="15"/>
  <c r="AW339" i="15"/>
  <c r="AB396" i="15"/>
  <c r="AB397" i="15"/>
  <c r="AB428" i="15"/>
  <c r="AC428" i="15"/>
  <c r="AE428" i="15"/>
  <c r="AE441" i="15"/>
  <c r="AD428" i="15"/>
  <c r="AJ208" i="15"/>
  <c r="AI26" i="15"/>
  <c r="AI73" i="15"/>
  <c r="P375" i="15"/>
  <c r="P472" i="15"/>
  <c r="AM532" i="15"/>
  <c r="AM535" i="15"/>
  <c r="O396" i="15"/>
  <c r="O397" i="15"/>
  <c r="P396" i="15"/>
  <c r="AX535" i="15"/>
  <c r="AX532" i="15"/>
  <c r="AX533" i="15"/>
  <c r="BS159" i="15"/>
  <c r="BS177" i="15"/>
  <c r="BS192" i="15"/>
  <c r="BS73" i="15"/>
  <c r="BT217" i="15"/>
  <c r="BT224" i="15"/>
  <c r="BS217" i="15"/>
  <c r="BS224" i="15"/>
  <c r="BL150" i="15"/>
  <c r="BL345" i="15"/>
  <c r="BD345" i="15"/>
  <c r="BD150" i="15"/>
  <c r="E351" i="15"/>
  <c r="E151" i="15"/>
  <c r="AQ393" i="15"/>
  <c r="AQ392" i="15"/>
  <c r="AU392" i="15"/>
  <c r="BW391" i="15"/>
  <c r="BW393" i="15"/>
  <c r="U103" i="15"/>
  <c r="U105" i="15"/>
  <c r="U22" i="15"/>
  <c r="BL202" i="15"/>
  <c r="X202" i="15"/>
  <c r="U81" i="15"/>
  <c r="U559" i="15"/>
  <c r="AT397" i="15"/>
  <c r="AT396" i="15"/>
  <c r="BP151" i="15"/>
  <c r="BP152" i="15"/>
  <c r="BP194" i="15"/>
  <c r="BP196" i="15"/>
  <c r="AL138" i="15"/>
  <c r="AL399" i="15"/>
  <c r="AL335" i="15"/>
  <c r="AJ310" i="15"/>
  <c r="AJ378" i="15"/>
  <c r="AJ311" i="15"/>
  <c r="AJ379" i="15"/>
  <c r="AN138" i="15"/>
  <c r="AN399" i="15"/>
  <c r="AN335" i="15"/>
  <c r="AY458" i="15"/>
  <c r="AY361" i="15"/>
  <c r="AY308" i="15"/>
  <c r="AY307" i="15"/>
  <c r="BU400" i="15"/>
  <c r="W202" i="15"/>
  <c r="J1466" i="17"/>
  <c r="E1474" i="17"/>
  <c r="E1472" i="17"/>
  <c r="BF123" i="15"/>
  <c r="BF122" i="15"/>
  <c r="BF125" i="15"/>
  <c r="BF109" i="15" s="1"/>
  <c r="BF134" i="15" s="1"/>
  <c r="N138" i="15"/>
  <c r="N399" i="15"/>
  <c r="N335" i="15"/>
  <c r="S426" i="15"/>
  <c r="T205" i="15"/>
  <c r="L302" i="15"/>
  <c r="L370" i="15"/>
  <c r="L305" i="15"/>
  <c r="L457" i="15"/>
  <c r="L459" i="15"/>
  <c r="L360" i="15"/>
  <c r="L301" i="15"/>
  <c r="L369" i="15"/>
  <c r="L223" i="15"/>
  <c r="L304" i="15"/>
  <c r="AF505" i="15"/>
  <c r="AF547" i="15"/>
  <c r="BE447" i="15"/>
  <c r="BE446" i="15"/>
  <c r="U560" i="15"/>
  <c r="U47" i="15"/>
  <c r="U119" i="15"/>
  <c r="U121" i="15"/>
  <c r="R373" i="15"/>
  <c r="R469" i="15"/>
  <c r="AA203" i="15"/>
  <c r="Y203" i="15"/>
  <c r="AB203" i="15"/>
  <c r="Y327" i="15"/>
  <c r="Y391" i="15"/>
  <c r="Y425" i="15"/>
  <c r="Y107" i="15"/>
  <c r="Y329" i="15"/>
  <c r="Z203" i="15"/>
  <c r="Y108" i="15"/>
  <c r="AC106" i="15"/>
  <c r="AC328" i="15"/>
  <c r="AG367" i="15"/>
  <c r="AG435" i="15"/>
  <c r="AG466" i="15"/>
  <c r="AR310" i="15"/>
  <c r="AR378" i="15"/>
  <c r="AR311" i="15"/>
  <c r="AR379" i="15"/>
  <c r="AR222" i="15"/>
  <c r="AU110" i="15"/>
  <c r="AU332" i="15"/>
  <c r="AU134" i="15"/>
  <c r="AU108" i="15"/>
  <c r="AU116" i="15"/>
  <c r="AU529" i="15"/>
  <c r="AU111" i="15"/>
  <c r="AU333" i="15"/>
  <c r="AU331" i="15"/>
  <c r="AU113" i="15"/>
  <c r="AU205" i="15" s="1"/>
  <c r="AU395" i="15"/>
  <c r="AX204" i="15"/>
  <c r="AY110" i="15"/>
  <c r="AY332" i="15"/>
  <c r="AE311" i="15"/>
  <c r="AE379" i="15"/>
  <c r="AE222" i="15"/>
  <c r="AE310" i="15"/>
  <c r="AE378" i="15"/>
  <c r="AR399" i="15"/>
  <c r="AR403" i="15"/>
  <c r="AR409" i="15"/>
  <c r="AR415" i="15"/>
  <c r="AR335" i="15"/>
  <c r="AR138" i="15"/>
  <c r="H470" i="15"/>
  <c r="H372" i="15"/>
  <c r="O335" i="15"/>
  <c r="O399" i="15"/>
  <c r="O138" i="15"/>
  <c r="AZ360" i="15"/>
  <c r="AZ301" i="15"/>
  <c r="AZ369" i="15"/>
  <c r="AZ305" i="15"/>
  <c r="C296" i="17"/>
  <c r="AZ302" i="15"/>
  <c r="AZ370" i="15"/>
  <c r="AZ223" i="15"/>
  <c r="AZ457" i="15"/>
  <c r="AZ459" i="15"/>
  <c r="AZ304" i="15"/>
  <c r="M396" i="15"/>
  <c r="X396" i="15"/>
  <c r="T397" i="15"/>
  <c r="T396" i="15"/>
  <c r="AX399" i="15"/>
  <c r="AX403" i="15"/>
  <c r="AX409" i="15"/>
  <c r="AX415" i="15"/>
  <c r="AX138" i="15"/>
  <c r="AX335" i="15"/>
  <c r="AE367" i="15"/>
  <c r="AE435" i="15"/>
  <c r="AE466" i="15"/>
  <c r="AY428" i="15"/>
  <c r="AS26" i="15"/>
  <c r="AS73" i="15"/>
  <c r="AT25" i="15"/>
  <c r="C133" i="17"/>
  <c r="BC426" i="15"/>
  <c r="BV435" i="15"/>
  <c r="AT208" i="15"/>
  <c r="AT224" i="15"/>
  <c r="AS208" i="15"/>
  <c r="AS224" i="15"/>
  <c r="AQ26" i="15"/>
  <c r="AQ73" i="15"/>
  <c r="AC532" i="15"/>
  <c r="AC533" i="15"/>
  <c r="AC535" i="15"/>
  <c r="R156" i="15"/>
  <c r="S156" i="15"/>
  <c r="R417" i="15"/>
  <c r="R352" i="15"/>
  <c r="S151" i="15"/>
  <c r="AK425" i="15"/>
  <c r="AK427" i="15" s="1"/>
  <c r="AL427" i="15"/>
  <c r="AO106" i="15"/>
  <c r="AO328" i="15"/>
  <c r="AM203" i="15"/>
  <c r="AK391" i="15"/>
  <c r="AN203" i="15"/>
  <c r="AK327" i="15"/>
  <c r="AK107" i="15"/>
  <c r="AK329" i="15"/>
  <c r="AK106" i="15"/>
  <c r="AK328" i="15"/>
  <c r="AM397" i="15"/>
  <c r="AM396" i="15"/>
  <c r="BT395" i="15"/>
  <c r="BT397" i="15"/>
  <c r="AP428" i="15"/>
  <c r="AC446" i="15"/>
  <c r="AC447" i="15"/>
  <c r="AL426" i="15"/>
  <c r="AF335" i="15"/>
  <c r="AF399" i="15"/>
  <c r="AF403" i="15"/>
  <c r="AF409" i="15"/>
  <c r="AF415" i="15"/>
  <c r="AF138" i="15"/>
  <c r="AH310" i="15"/>
  <c r="AH378" i="15"/>
  <c r="AH311" i="15"/>
  <c r="AH379" i="15"/>
  <c r="AL203" i="15"/>
  <c r="AN397" i="15"/>
  <c r="BU395" i="15"/>
  <c r="BU397" i="15"/>
  <c r="AQ428" i="15"/>
  <c r="AN396" i="15"/>
  <c r="AZ472" i="15"/>
  <c r="AZ375" i="15"/>
  <c r="G470" i="15"/>
  <c r="G372" i="15"/>
  <c r="AZ458" i="15"/>
  <c r="AZ308" i="15"/>
  <c r="AZ361" i="15"/>
  <c r="AS429" i="15"/>
  <c r="U202" i="15"/>
  <c r="R376" i="15"/>
  <c r="R471" i="15"/>
  <c r="BS530" i="15"/>
  <c r="BS536" i="15"/>
  <c r="BS109" i="15"/>
  <c r="BS127" i="15"/>
  <c r="BS216" i="15"/>
  <c r="BS126" i="15"/>
  <c r="BT126" i="15"/>
  <c r="BT216" i="15"/>
  <c r="BF49" i="15"/>
  <c r="BF97" i="15"/>
  <c r="BF96" i="15"/>
  <c r="AI265" i="15"/>
  <c r="AI264" i="15"/>
  <c r="AY339" i="15"/>
  <c r="AY144" i="15"/>
  <c r="L426" i="15"/>
  <c r="L205" i="15"/>
  <c r="L535" i="15"/>
  <c r="L532" i="15"/>
  <c r="L533" i="15"/>
  <c r="AC457" i="15"/>
  <c r="AC459" i="15"/>
  <c r="AC223" i="15"/>
  <c r="AC360" i="15"/>
  <c r="AC304" i="15"/>
  <c r="C1535" i="17"/>
  <c r="AC305" i="15"/>
  <c r="AC302" i="15"/>
  <c r="AC370" i="15"/>
  <c r="AC301" i="15"/>
  <c r="AC369" i="15"/>
  <c r="AB426" i="15"/>
  <c r="AC205" i="15"/>
  <c r="AB205" i="15"/>
  <c r="AG504" i="15"/>
  <c r="BA562" i="15"/>
  <c r="BF447" i="15"/>
  <c r="BF446" i="15"/>
  <c r="BH151" i="15"/>
  <c r="BI151" i="15" s="1"/>
  <c r="BI152" i="15" s="1"/>
  <c r="BI194" i="15" s="1"/>
  <c r="BI196" i="15" s="1"/>
  <c r="BH152" i="15"/>
  <c r="BH194" i="15"/>
  <c r="BH196" i="15"/>
  <c r="BQ304" i="15"/>
  <c r="BQ470" i="15"/>
  <c r="BQ457" i="15"/>
  <c r="BQ459" i="15"/>
  <c r="AE204" i="15"/>
  <c r="BQ302" i="15"/>
  <c r="BQ301" i="15"/>
  <c r="BQ223" i="15"/>
  <c r="BQ305" i="15"/>
  <c r="BQ469" i="15"/>
  <c r="AK562" i="15"/>
  <c r="R470" i="15"/>
  <c r="R372" i="15"/>
  <c r="AG366" i="15"/>
  <c r="AG434" i="15"/>
  <c r="AG468" i="15"/>
  <c r="J210" i="15"/>
  <c r="J463" i="15"/>
  <c r="J345" i="15"/>
  <c r="J150" i="15"/>
  <c r="BR210" i="15"/>
  <c r="BR463" i="15"/>
  <c r="AP204" i="15"/>
  <c r="BQ450" i="15"/>
  <c r="BQ447" i="15"/>
  <c r="AR535" i="15"/>
  <c r="AR532" i="15"/>
  <c r="AR533" i="15"/>
  <c r="BW457" i="15"/>
  <c r="BW459" i="15"/>
  <c r="BW305" i="15"/>
  <c r="BW469" i="15"/>
  <c r="BW302" i="15"/>
  <c r="BW301" i="15"/>
  <c r="BW304" i="15"/>
  <c r="BW470" i="15"/>
  <c r="BW223" i="15"/>
  <c r="O426" i="15"/>
  <c r="O205" i="15"/>
  <c r="BW205" i="15"/>
  <c r="T335" i="15"/>
  <c r="T138" i="15"/>
  <c r="T399" i="15"/>
  <c r="T403" i="15"/>
  <c r="T409" i="15"/>
  <c r="T415" i="15"/>
  <c r="AX426" i="15"/>
  <c r="BJ134" i="15"/>
  <c r="BJ138" i="15"/>
  <c r="BJ144" i="15"/>
  <c r="BJ150" i="15"/>
  <c r="BJ108" i="15"/>
  <c r="BJ110" i="15"/>
  <c r="BJ116" i="15"/>
  <c r="BJ113" i="15"/>
  <c r="AF205" i="15"/>
  <c r="BJ111" i="15"/>
  <c r="AF204" i="15"/>
  <c r="AY469" i="15"/>
  <c r="AY373" i="15"/>
  <c r="AS411" i="15"/>
  <c r="AS415" i="15"/>
  <c r="AS347" i="15"/>
  <c r="BB535" i="15"/>
  <c r="BB532" i="15"/>
  <c r="BB533" i="15"/>
  <c r="AT361" i="15"/>
  <c r="AT458" i="15"/>
  <c r="AT307" i="15"/>
  <c r="M361" i="15"/>
  <c r="M429" i="15"/>
  <c r="M458" i="15"/>
  <c r="M308" i="15"/>
  <c r="M307" i="15"/>
  <c r="AD372" i="15"/>
  <c r="AD470" i="15"/>
  <c r="AT310" i="15"/>
  <c r="AT378" i="15"/>
  <c r="AT311" i="15"/>
  <c r="AT379" i="15"/>
  <c r="AT222" i="15"/>
  <c r="AY372" i="15"/>
  <c r="AY470" i="15"/>
  <c r="AQ301" i="15"/>
  <c r="AQ369" i="15"/>
  <c r="C780" i="17"/>
  <c r="AQ360" i="15"/>
  <c r="AQ223" i="15"/>
  <c r="AQ305" i="15"/>
  <c r="AQ304" i="15"/>
  <c r="AQ457" i="15"/>
  <c r="AQ459" i="15"/>
  <c r="AQ302" i="15"/>
  <c r="AQ370" i="15"/>
  <c r="AB399" i="15"/>
  <c r="AB403" i="15"/>
  <c r="AB409" i="15"/>
  <c r="AB415" i="15"/>
  <c r="AB335" i="15"/>
  <c r="AB138" i="15"/>
  <c r="AH468" i="15"/>
  <c r="AH366" i="15"/>
  <c r="AH434" i="15"/>
  <c r="AR397" i="15"/>
  <c r="AR396" i="15"/>
  <c r="AV396" i="15"/>
  <c r="AU428" i="15"/>
  <c r="AS428" i="15"/>
  <c r="C889" i="17"/>
  <c r="AO223" i="15"/>
  <c r="AO302" i="15"/>
  <c r="AO370" i="15"/>
  <c r="AO301" i="15"/>
  <c r="AO369" i="15"/>
  <c r="AO457" i="15"/>
  <c r="AO459" i="15"/>
  <c r="AO305" i="15"/>
  <c r="AO360" i="15"/>
  <c r="AO304" i="15"/>
  <c r="J472" i="15"/>
  <c r="J375" i="15"/>
  <c r="AL535" i="15"/>
  <c r="AL532" i="15"/>
  <c r="AL533" i="15"/>
  <c r="J376" i="15"/>
  <c r="J471" i="15"/>
  <c r="AK203" i="15"/>
  <c r="AF466" i="15"/>
  <c r="AF367" i="15"/>
  <c r="AF435" i="15"/>
  <c r="AF308" i="15"/>
  <c r="AJ396" i="15"/>
  <c r="G468" i="15"/>
  <c r="G366" i="15"/>
  <c r="G434" i="15"/>
  <c r="G443" i="15"/>
  <c r="G307" i="15"/>
  <c r="BZ151" i="15"/>
  <c r="BZ152" i="15"/>
  <c r="BZ194" i="15"/>
  <c r="BZ196" i="15"/>
  <c r="V202" i="15"/>
  <c r="AD469" i="15"/>
  <c r="AD373" i="15"/>
  <c r="BV304" i="15"/>
  <c r="BV470" i="15"/>
  <c r="BV305" i="15"/>
  <c r="BV469" i="15"/>
  <c r="BV223" i="15"/>
  <c r="BV302" i="15"/>
  <c r="BV301" i="15"/>
  <c r="BV457" i="15"/>
  <c r="BV459" i="15"/>
  <c r="N535" i="15"/>
  <c r="N532" i="15"/>
  <c r="N533" i="15"/>
  <c r="T301" i="15"/>
  <c r="T369" i="15"/>
  <c r="T304" i="15"/>
  <c r="T223" i="15"/>
  <c r="T457" i="15"/>
  <c r="T459" i="15"/>
  <c r="T360" i="15"/>
  <c r="T302" i="15"/>
  <c r="T370" i="15"/>
  <c r="T305" i="15"/>
  <c r="L138" i="15"/>
  <c r="L399" i="15"/>
  <c r="L335" i="15"/>
  <c r="AB223" i="15"/>
  <c r="AB457" i="15"/>
  <c r="AB459" i="15"/>
  <c r="AB301" i="15"/>
  <c r="AB369" i="15"/>
  <c r="AB302" i="15"/>
  <c r="AB370" i="15"/>
  <c r="AB360" i="15"/>
  <c r="AB304" i="15"/>
  <c r="C1590" i="17"/>
  <c r="AB305" i="15"/>
  <c r="BH110" i="15"/>
  <c r="M144" i="15"/>
  <c r="M339" i="15"/>
  <c r="AK86" i="15"/>
  <c r="AK85" i="15"/>
  <c r="AK24" i="15"/>
  <c r="AF429" i="15"/>
  <c r="U350" i="15"/>
  <c r="U414" i="15"/>
  <c r="AT223" i="15"/>
  <c r="C618" i="17"/>
  <c r="AT457" i="15"/>
  <c r="AT459" i="15"/>
  <c r="AT304" i="15"/>
  <c r="AT301" i="15"/>
  <c r="AT369" i="15"/>
  <c r="AT360" i="15"/>
  <c r="AT302" i="15"/>
  <c r="AT370" i="15"/>
  <c r="AT305" i="15"/>
  <c r="AV204" i="15"/>
  <c r="AT426" i="15"/>
  <c r="AT429" i="15"/>
  <c r="AV205" i="15"/>
  <c r="AW205" i="15"/>
  <c r="AU204" i="15"/>
  <c r="O535" i="15"/>
  <c r="O532" i="15"/>
  <c r="O533" i="15"/>
  <c r="M373" i="15"/>
  <c r="M469" i="15"/>
  <c r="T426" i="15"/>
  <c r="D1373" i="17"/>
  <c r="BQ432" i="15"/>
  <c r="C357" i="17"/>
  <c r="C355" i="17"/>
  <c r="AY316" i="15"/>
  <c r="AY315" i="15"/>
  <c r="BC532" i="15"/>
  <c r="BC535" i="15"/>
  <c r="AL446" i="15"/>
  <c r="AL447" i="15"/>
  <c r="AT443" i="15"/>
  <c r="AT444" i="15"/>
  <c r="Y122" i="15"/>
  <c r="Y126" i="15"/>
  <c r="U122" i="15"/>
  <c r="U126" i="15"/>
  <c r="X215" i="15"/>
  <c r="U123" i="15"/>
  <c r="BL215" i="15"/>
  <c r="V215" i="15"/>
  <c r="W215" i="15"/>
  <c r="U125" i="15"/>
  <c r="U215" i="15"/>
  <c r="AT447" i="15"/>
  <c r="AT446" i="15"/>
  <c r="I532" i="15"/>
  <c r="I533" i="15"/>
  <c r="I535" i="15"/>
  <c r="AC339" i="15"/>
  <c r="AC144" i="15"/>
  <c r="AD471" i="15"/>
  <c r="AD376" i="15"/>
  <c r="V335" i="15"/>
  <c r="W134" i="15"/>
  <c r="V138" i="15"/>
  <c r="V399" i="15"/>
  <c r="AF443" i="15"/>
  <c r="AK311" i="15"/>
  <c r="AK379" i="15"/>
  <c r="AK310" i="15"/>
  <c r="AK378" i="15"/>
  <c r="AK222" i="15"/>
  <c r="AY150" i="15"/>
  <c r="AY345" i="15"/>
  <c r="AZ316" i="15"/>
  <c r="C304" i="17"/>
  <c r="C302" i="17"/>
  <c r="AZ315" i="15"/>
  <c r="AB427" i="15"/>
  <c r="AA427" i="15"/>
  <c r="Z427" i="15"/>
  <c r="Y427" i="15"/>
  <c r="AN403" i="15"/>
  <c r="BA49" i="15"/>
  <c r="BA97" i="15"/>
  <c r="BA96" i="15"/>
  <c r="BJ151" i="15"/>
  <c r="BJ152" i="15"/>
  <c r="BJ194" i="15"/>
  <c r="BJ196" i="15"/>
  <c r="O308" i="15"/>
  <c r="O458" i="15"/>
  <c r="O361" i="15"/>
  <c r="O429" i="15"/>
  <c r="O307" i="15"/>
  <c r="AB458" i="15"/>
  <c r="AB308" i="15"/>
  <c r="AB361" i="15"/>
  <c r="AB307" i="15"/>
  <c r="AN310" i="15"/>
  <c r="AN378" i="15"/>
  <c r="AN222" i="15"/>
  <c r="AN311" i="15"/>
  <c r="AN379" i="15"/>
  <c r="AY449" i="15"/>
  <c r="AY438" i="15"/>
  <c r="AY441" i="15"/>
  <c r="AY437" i="15"/>
  <c r="AY440" i="15"/>
  <c r="AY450" i="15"/>
  <c r="AU535" i="15"/>
  <c r="AU532" i="15"/>
  <c r="Y393" i="15"/>
  <c r="AC392" i="15"/>
  <c r="U97" i="15"/>
  <c r="U96" i="15"/>
  <c r="U49" i="15"/>
  <c r="L372" i="15"/>
  <c r="L470" i="15"/>
  <c r="AY471" i="15"/>
  <c r="AY376" i="15"/>
  <c r="AN339" i="15"/>
  <c r="AN144" i="15"/>
  <c r="U425" i="15"/>
  <c r="X427" i="15"/>
  <c r="U391" i="15"/>
  <c r="U327" i="15"/>
  <c r="BL203" i="15"/>
  <c r="U106" i="15"/>
  <c r="U328" i="15"/>
  <c r="U107" i="15"/>
  <c r="U329" i="15"/>
  <c r="X203" i="15"/>
  <c r="BD351" i="15"/>
  <c r="AC437" i="15"/>
  <c r="AC449" i="15"/>
  <c r="AC438" i="15"/>
  <c r="AC440" i="15"/>
  <c r="AC450" i="15"/>
  <c r="AC441" i="15"/>
  <c r="AZ437" i="15"/>
  <c r="AZ441" i="15"/>
  <c r="AZ438" i="15"/>
  <c r="AZ450" i="15"/>
  <c r="AZ449" i="15"/>
  <c r="AZ440" i="15"/>
  <c r="AP458" i="15"/>
  <c r="AP307" i="15"/>
  <c r="AP361" i="15"/>
  <c r="AP308" i="15"/>
  <c r="AO426" i="15"/>
  <c r="AR429" i="15"/>
  <c r="AR205" i="15"/>
  <c r="AS446" i="15"/>
  <c r="AS447" i="15"/>
  <c r="BC310" i="15"/>
  <c r="BC378" i="15"/>
  <c r="BC311" i="15"/>
  <c r="BC379" i="15"/>
  <c r="BN399" i="15"/>
  <c r="S403" i="15"/>
  <c r="AE458" i="15"/>
  <c r="AE307" i="15"/>
  <c r="AE361" i="15"/>
  <c r="BY152" i="15"/>
  <c r="BY194" i="15"/>
  <c r="BY196" i="15"/>
  <c r="O373" i="15"/>
  <c r="O469" i="15"/>
  <c r="H376" i="15"/>
  <c r="H471" i="15"/>
  <c r="BE468" i="15"/>
  <c r="BE366" i="15"/>
  <c r="BE434" i="15"/>
  <c r="AQ409" i="15"/>
  <c r="BW403" i="15"/>
  <c r="AW470" i="15"/>
  <c r="AW372" i="15"/>
  <c r="Y205" i="15"/>
  <c r="V426" i="15"/>
  <c r="Y429" i="15"/>
  <c r="AQ151" i="15"/>
  <c r="BT156" i="15"/>
  <c r="AQ156" i="15"/>
  <c r="M444" i="15"/>
  <c r="M443" i="15"/>
  <c r="AU302" i="15"/>
  <c r="AU370" i="15"/>
  <c r="C563" i="17"/>
  <c r="AU304" i="15"/>
  <c r="AU305" i="15"/>
  <c r="AU360" i="15"/>
  <c r="AU301" i="15"/>
  <c r="AU369" i="15"/>
  <c r="AU457" i="15"/>
  <c r="AU459" i="15"/>
  <c r="AM208" i="15"/>
  <c r="AN208" i="15"/>
  <c r="AN224" i="15"/>
  <c r="AK26" i="15"/>
  <c r="AK73" i="15"/>
  <c r="AB315" i="15"/>
  <c r="AB316" i="15"/>
  <c r="C1598" i="17"/>
  <c r="C1596" i="17"/>
  <c r="AO470" i="15"/>
  <c r="AO372" i="15"/>
  <c r="AS449" i="15"/>
  <c r="AS450" i="15"/>
  <c r="AS438" i="15"/>
  <c r="AS437" i="15"/>
  <c r="AS440" i="15"/>
  <c r="AS441" i="15"/>
  <c r="AQ469" i="15"/>
  <c r="AQ373" i="15"/>
  <c r="AT472" i="15"/>
  <c r="AT375" i="15"/>
  <c r="AC307" i="15"/>
  <c r="AC458" i="15"/>
  <c r="AC361" i="15"/>
  <c r="AC308" i="15"/>
  <c r="AC315" i="15"/>
  <c r="AC316" i="15"/>
  <c r="C1543" i="17"/>
  <c r="C1541" i="17"/>
  <c r="AI468" i="15"/>
  <c r="AI366" i="15"/>
  <c r="AI434" i="15"/>
  <c r="AS444" i="15"/>
  <c r="AS443" i="15"/>
  <c r="AP450" i="15"/>
  <c r="AP437" i="15"/>
  <c r="AP449" i="15"/>
  <c r="AP438" i="15"/>
  <c r="BV428" i="15"/>
  <c r="AP440" i="15"/>
  <c r="AP441" i="15"/>
  <c r="AK392" i="15"/>
  <c r="AO392" i="15"/>
  <c r="AK393" i="15"/>
  <c r="AE308" i="15"/>
  <c r="J280" i="17"/>
  <c r="E286" i="17"/>
  <c r="E288" i="17"/>
  <c r="V214" i="15"/>
  <c r="BL214" i="15"/>
  <c r="BL221" i="15"/>
  <c r="U214" i="15"/>
  <c r="U221" i="15"/>
  <c r="X214" i="15"/>
  <c r="U571" i="15"/>
  <c r="W214" i="15"/>
  <c r="L315" i="15"/>
  <c r="L316" i="15"/>
  <c r="T458" i="15"/>
  <c r="T307" i="15"/>
  <c r="T361" i="15"/>
  <c r="T308" i="15"/>
  <c r="BS399" i="15"/>
  <c r="AL403" i="15"/>
  <c r="AB441" i="15"/>
  <c r="AB450" i="15"/>
  <c r="AB437" i="15"/>
  <c r="AB449" i="15"/>
  <c r="AB438" i="15"/>
  <c r="AB440" i="15"/>
  <c r="AS308" i="15"/>
  <c r="AS307" i="15"/>
  <c r="AS458" i="15"/>
  <c r="AS361" i="15"/>
  <c r="AP429" i="15"/>
  <c r="BV395" i="15"/>
  <c r="BV397" i="15"/>
  <c r="AR428" i="15"/>
  <c r="AO397" i="15"/>
  <c r="AS396" i="15"/>
  <c r="AR446" i="15"/>
  <c r="AR447" i="15"/>
  <c r="E664" i="17"/>
  <c r="E662" i="17"/>
  <c r="J656" i="17"/>
  <c r="BD427" i="15"/>
  <c r="BC427" i="15"/>
  <c r="BB427" i="15"/>
  <c r="BA427" i="15"/>
  <c r="S339" i="15"/>
  <c r="S144" i="15"/>
  <c r="D187" i="17"/>
  <c r="D189" i="17"/>
  <c r="C189" i="17"/>
  <c r="C191" i="17"/>
  <c r="AT339" i="15"/>
  <c r="AT144" i="15"/>
  <c r="AZ150" i="15"/>
  <c r="AZ345" i="15"/>
  <c r="N316" i="15"/>
  <c r="N315" i="15"/>
  <c r="I335" i="15"/>
  <c r="I399" i="15"/>
  <c r="I138" i="15"/>
  <c r="AQ205" i="15"/>
  <c r="BE367" i="15"/>
  <c r="BE435" i="15"/>
  <c r="BE466" i="15"/>
  <c r="AM144" i="15"/>
  <c r="AM339" i="15"/>
  <c r="AJ150" i="15"/>
  <c r="AJ345" i="15"/>
  <c r="BW307" i="15"/>
  <c r="BW472" i="15"/>
  <c r="BW308" i="15"/>
  <c r="BW471" i="15"/>
  <c r="BW458" i="15"/>
  <c r="AC470" i="15"/>
  <c r="AC372" i="15"/>
  <c r="O403" i="15"/>
  <c r="O409" i="15"/>
  <c r="O415" i="15"/>
  <c r="O428" i="15"/>
  <c r="BF127" i="15"/>
  <c r="BF126" i="15"/>
  <c r="BF530" i="15"/>
  <c r="BF536" i="15"/>
  <c r="BA310" i="15"/>
  <c r="BA378" i="15"/>
  <c r="BA311" i="15"/>
  <c r="BA379" i="15"/>
  <c r="H375" i="15"/>
  <c r="H472" i="15"/>
  <c r="AQ316" i="15"/>
  <c r="C788" i="17"/>
  <c r="C786" i="17"/>
  <c r="AQ315" i="15"/>
  <c r="AE429" i="15"/>
  <c r="AC429" i="15"/>
  <c r="AB429" i="15"/>
  <c r="AD429" i="15"/>
  <c r="AI367" i="15"/>
  <c r="AI435" i="15"/>
  <c r="AI466" i="15"/>
  <c r="AQ438" i="15"/>
  <c r="AQ450" i="15"/>
  <c r="AQ440" i="15"/>
  <c r="AQ449" i="15"/>
  <c r="AQ437" i="15"/>
  <c r="BW428" i="15"/>
  <c r="AQ441" i="15"/>
  <c r="AF144" i="15"/>
  <c r="AF339" i="15"/>
  <c r="AM311" i="15"/>
  <c r="AM379" i="15"/>
  <c r="AM222" i="15"/>
  <c r="AM310" i="15"/>
  <c r="AM378" i="15"/>
  <c r="AZ469" i="15"/>
  <c r="AZ373" i="15"/>
  <c r="AU399" i="15"/>
  <c r="AU403" i="15"/>
  <c r="AU409" i="15"/>
  <c r="AU415" i="15"/>
  <c r="AU335" i="15"/>
  <c r="AU138" i="15"/>
  <c r="AB222" i="15"/>
  <c r="AB310" i="15"/>
  <c r="AB378" i="15"/>
  <c r="AB311" i="15"/>
  <c r="AB379" i="15"/>
  <c r="AK446" i="15"/>
  <c r="AK447" i="15"/>
  <c r="AL144" i="15"/>
  <c r="AL339" i="15"/>
  <c r="AU308" i="15"/>
  <c r="AU458" i="15"/>
  <c r="AU307" i="15"/>
  <c r="AU361" i="15"/>
  <c r="AO399" i="15"/>
  <c r="BU399" i="15"/>
  <c r="AO138" i="15"/>
  <c r="AO335" i="15"/>
  <c r="AS373" i="15"/>
  <c r="AS469" i="15"/>
  <c r="BB311" i="15"/>
  <c r="BB379" i="15"/>
  <c r="BB310" i="15"/>
  <c r="BB378" i="15"/>
  <c r="W203" i="15"/>
  <c r="W427" i="15"/>
  <c r="U427" i="15"/>
  <c r="V427" i="15"/>
  <c r="H440" i="15"/>
  <c r="H450" i="15"/>
  <c r="H449" i="15"/>
  <c r="H438" i="15"/>
  <c r="H437" i="15"/>
  <c r="H441" i="15"/>
  <c r="AG123" i="15"/>
  <c r="AH215" i="15"/>
  <c r="AH222" i="15"/>
  <c r="AG125" i="15"/>
  <c r="AG215" i="15"/>
  <c r="AG222" i="15"/>
  <c r="AJ215" i="15"/>
  <c r="AJ222" i="15"/>
  <c r="AG122" i="15"/>
  <c r="AI215" i="15"/>
  <c r="AI222" i="15"/>
  <c r="AK122" i="15"/>
  <c r="H443" i="15"/>
  <c r="H444" i="15"/>
  <c r="BV307" i="15"/>
  <c r="BV472" i="15"/>
  <c r="BV308" i="15"/>
  <c r="BV471" i="15"/>
  <c r="BV458" i="15"/>
  <c r="N372" i="15"/>
  <c r="N470" i="15"/>
  <c r="I301" i="15"/>
  <c r="I369" i="15"/>
  <c r="I305" i="15"/>
  <c r="I302" i="15"/>
  <c r="I370" i="15"/>
  <c r="I223" i="15"/>
  <c r="I360" i="15"/>
  <c r="I304" i="15"/>
  <c r="I457" i="15"/>
  <c r="I459" i="15"/>
  <c r="AQ429" i="15"/>
  <c r="BC339" i="15"/>
  <c r="BC144" i="15"/>
  <c r="Y305" i="15"/>
  <c r="Y360" i="15"/>
  <c r="Y301" i="15"/>
  <c r="Y369" i="15"/>
  <c r="Y223" i="15"/>
  <c r="Y457" i="15"/>
  <c r="Y459" i="15"/>
  <c r="Y304" i="15"/>
  <c r="Y302" i="15"/>
  <c r="Y370" i="15"/>
  <c r="AG547" i="15"/>
  <c r="AG505" i="15"/>
  <c r="J873" i="17"/>
  <c r="E879" i="17"/>
  <c r="E881" i="17"/>
  <c r="AT372" i="15"/>
  <c r="AT470" i="15"/>
  <c r="BV315" i="15"/>
  <c r="BV316" i="15"/>
  <c r="BQ315" i="15"/>
  <c r="BQ316" i="15"/>
  <c r="AV361" i="15"/>
  <c r="AV308" i="15"/>
  <c r="AV307" i="15"/>
  <c r="AV458" i="15"/>
  <c r="J1575" i="17"/>
  <c r="E1581" i="17"/>
  <c r="E1583" i="17"/>
  <c r="T470" i="15"/>
  <c r="T372" i="15"/>
  <c r="AO469" i="15"/>
  <c r="AO373" i="15"/>
  <c r="AZ471" i="15"/>
  <c r="AZ376" i="15"/>
  <c r="BQ435" i="15"/>
  <c r="AE444" i="15"/>
  <c r="AX360" i="15"/>
  <c r="AX457" i="15"/>
  <c r="AX459" i="15"/>
  <c r="AX304" i="15"/>
  <c r="AX302" i="15"/>
  <c r="AX370" i="15"/>
  <c r="AX301" i="15"/>
  <c r="AX369" i="15"/>
  <c r="AX223" i="15"/>
  <c r="AX305" i="15"/>
  <c r="C402" i="17"/>
  <c r="Y222" i="15"/>
  <c r="Y310" i="15"/>
  <c r="Y378" i="15"/>
  <c r="Y311" i="15"/>
  <c r="Y379" i="15"/>
  <c r="U562" i="15"/>
  <c r="AK208" i="15"/>
  <c r="AS316" i="15"/>
  <c r="AS315" i="15"/>
  <c r="C680" i="17"/>
  <c r="C678" i="17"/>
  <c r="V203" i="15"/>
  <c r="BF208" i="15"/>
  <c r="O470" i="15"/>
  <c r="O372" i="15"/>
  <c r="AG96" i="15"/>
  <c r="AG49" i="15"/>
  <c r="AG97" i="15"/>
  <c r="M449" i="15"/>
  <c r="M441" i="15"/>
  <c r="M438" i="15"/>
  <c r="M437" i="15"/>
  <c r="M440" i="15"/>
  <c r="M450" i="15"/>
  <c r="I396" i="15"/>
  <c r="I397" i="15"/>
  <c r="J396" i="15"/>
  <c r="AG447" i="15"/>
  <c r="AG446" i="15"/>
  <c r="BE119" i="15"/>
  <c r="BE121" i="15"/>
  <c r="BE47" i="15"/>
  <c r="BE560" i="15"/>
  <c r="L329" i="17"/>
  <c r="L331" i="17"/>
  <c r="AM403" i="15"/>
  <c r="BT399" i="15"/>
  <c r="V396" i="15"/>
  <c r="Y428" i="15"/>
  <c r="BO395" i="15"/>
  <c r="BO397" i="15"/>
  <c r="Z396" i="15"/>
  <c r="V397" i="15"/>
  <c r="M210" i="15"/>
  <c r="M463" i="15"/>
  <c r="M150" i="15"/>
  <c r="M345" i="15"/>
  <c r="BU210" i="15"/>
  <c r="BU463" i="15"/>
  <c r="C897" i="17"/>
  <c r="C895" i="17"/>
  <c r="AO316" i="15"/>
  <c r="AO315" i="15"/>
  <c r="J351" i="15"/>
  <c r="J151" i="15"/>
  <c r="J152" i="15"/>
  <c r="U24" i="15"/>
  <c r="U208" i="15"/>
  <c r="U85" i="15"/>
  <c r="U86" i="15"/>
  <c r="C726" i="17"/>
  <c r="AR457" i="15"/>
  <c r="AR459" i="15"/>
  <c r="AR304" i="15"/>
  <c r="AR360" i="15"/>
  <c r="AR305" i="15"/>
  <c r="AR302" i="15"/>
  <c r="AR370" i="15"/>
  <c r="AR301" i="15"/>
  <c r="AR369" i="15"/>
  <c r="AR223" i="15"/>
  <c r="AC547" i="15"/>
  <c r="AC505" i="15"/>
  <c r="AW307" i="15"/>
  <c r="AW458" i="15"/>
  <c r="AW361" i="15"/>
  <c r="AW308" i="15"/>
  <c r="AB469" i="15"/>
  <c r="AB373" i="15"/>
  <c r="AU438" i="15"/>
  <c r="AU440" i="15"/>
  <c r="AU437" i="15"/>
  <c r="AU449" i="15"/>
  <c r="AU450" i="15"/>
  <c r="AU441" i="15"/>
  <c r="BW315" i="15"/>
  <c r="BW316" i="15"/>
  <c r="AZ429" i="15"/>
  <c r="J764" i="17"/>
  <c r="E770" i="17"/>
  <c r="E772" i="17"/>
  <c r="AF361" i="15"/>
  <c r="AF458" i="15"/>
  <c r="AP457" i="15"/>
  <c r="AP459" i="15"/>
  <c r="AP304" i="15"/>
  <c r="C835" i="17"/>
  <c r="AP301" i="15"/>
  <c r="AP369" i="15"/>
  <c r="AP360" i="15"/>
  <c r="AP223" i="15"/>
  <c r="AP302" i="15"/>
  <c r="AP370" i="15"/>
  <c r="AP305" i="15"/>
  <c r="BS134" i="15"/>
  <c r="BS113" i="15"/>
  <c r="BS116" i="15"/>
  <c r="BS529" i="15"/>
  <c r="BS108" i="15"/>
  <c r="BS111" i="15"/>
  <c r="BS204" i="15"/>
  <c r="BS110" i="15"/>
  <c r="BS396" i="15"/>
  <c r="BT110" i="15"/>
  <c r="BT396" i="15"/>
  <c r="BT204" i="15"/>
  <c r="AM427" i="15"/>
  <c r="AN427" i="15"/>
  <c r="D133" i="17"/>
  <c r="D135" i="17"/>
  <c r="D137" i="17"/>
  <c r="C135" i="17"/>
  <c r="C137" i="17"/>
  <c r="AR339" i="15"/>
  <c r="AR144" i="15"/>
  <c r="AU397" i="15"/>
  <c r="AU396" i="15"/>
  <c r="AX428" i="15"/>
  <c r="AY396" i="15"/>
  <c r="Y106" i="15"/>
  <c r="Y328" i="15"/>
  <c r="AA311" i="15"/>
  <c r="AA379" i="15"/>
  <c r="AA310" i="15"/>
  <c r="AA378" i="15"/>
  <c r="AA222" i="15"/>
  <c r="L1462" i="17"/>
  <c r="L1464" i="17"/>
  <c r="AA151" i="15"/>
  <c r="BP156" i="15"/>
  <c r="AA156" i="15"/>
  <c r="BL351" i="15"/>
  <c r="BL151" i="15"/>
  <c r="BL152" i="15"/>
  <c r="AL208" i="15"/>
  <c r="AL224" i="15"/>
  <c r="BB144" i="15"/>
  <c r="BB339" i="15"/>
  <c r="G376" i="15"/>
  <c r="G471" i="15"/>
  <c r="BA393" i="15"/>
  <c r="BA392" i="15"/>
  <c r="BE392" i="15"/>
  <c r="T310" i="15"/>
  <c r="T378" i="15"/>
  <c r="T311" i="15"/>
  <c r="T379" i="15"/>
  <c r="T222" i="15"/>
  <c r="AJ466" i="15"/>
  <c r="AJ367" i="15"/>
  <c r="AJ435" i="15"/>
  <c r="AG562" i="15"/>
  <c r="AG571" i="15"/>
  <c r="AJ214" i="15"/>
  <c r="AJ221" i="15"/>
  <c r="AG214" i="15"/>
  <c r="AG221" i="15"/>
  <c r="AI214" i="15"/>
  <c r="AI221" i="15"/>
  <c r="AH214" i="15"/>
  <c r="AH221" i="15"/>
  <c r="N458" i="15"/>
  <c r="N307" i="15"/>
  <c r="N308" i="15"/>
  <c r="N361" i="15"/>
  <c r="N429" i="15"/>
  <c r="AH447" i="15"/>
  <c r="AH446" i="15"/>
  <c r="AO428" i="15"/>
  <c r="T315" i="15"/>
  <c r="T316" i="15"/>
  <c r="AB339" i="15"/>
  <c r="AB144" i="15"/>
  <c r="J602" i="17"/>
  <c r="E608" i="17"/>
  <c r="E610" i="17"/>
  <c r="L428" i="15"/>
  <c r="L403" i="15"/>
  <c r="L409" i="15"/>
  <c r="L415" i="15"/>
  <c r="L339" i="15"/>
  <c r="L144" i="15"/>
  <c r="AF444" i="15"/>
  <c r="M375" i="15"/>
  <c r="M472" i="15"/>
  <c r="T144" i="15"/>
  <c r="T339" i="15"/>
  <c r="AE301" i="15"/>
  <c r="AE369" i="15"/>
  <c r="AE304" i="15"/>
  <c r="AE457" i="15"/>
  <c r="AE459" i="15"/>
  <c r="AE223" i="15"/>
  <c r="AE360" i="15"/>
  <c r="C1428" i="17"/>
  <c r="AE302" i="15"/>
  <c r="AE370" i="15"/>
  <c r="AE305" i="15"/>
  <c r="AC469" i="15"/>
  <c r="AC373" i="15"/>
  <c r="L458" i="15"/>
  <c r="L361" i="15"/>
  <c r="L429" i="15"/>
  <c r="L307" i="15"/>
  <c r="L308" i="15"/>
  <c r="AL222" i="15"/>
  <c r="AL311" i="15"/>
  <c r="AL379" i="15"/>
  <c r="AL310" i="15"/>
  <c r="AL378" i="15"/>
  <c r="AO205" i="15"/>
  <c r="S352" i="15"/>
  <c r="S417" i="15"/>
  <c r="BN417" i="15"/>
  <c r="AZ372" i="15"/>
  <c r="AZ470" i="15"/>
  <c r="AU426" i="15"/>
  <c r="AX429" i="15"/>
  <c r="AX205" i="15"/>
  <c r="Z222" i="15"/>
  <c r="Z310" i="15"/>
  <c r="Z378" i="15"/>
  <c r="Z311" i="15"/>
  <c r="Z379" i="15"/>
  <c r="L469" i="15"/>
  <c r="L373" i="15"/>
  <c r="N428" i="15"/>
  <c r="N403" i="15"/>
  <c r="N409" i="15"/>
  <c r="N415" i="15"/>
  <c r="W221" i="15"/>
  <c r="X221" i="15"/>
  <c r="E352" i="15"/>
  <c r="E417" i="15"/>
  <c r="E156" i="15"/>
  <c r="AW150" i="15"/>
  <c r="AW345" i="15"/>
  <c r="AO532" i="15"/>
  <c r="AO533" i="15"/>
  <c r="AO535" i="15"/>
  <c r="BD310" i="15"/>
  <c r="BD378" i="15"/>
  <c r="BD311" i="15"/>
  <c r="BD379" i="15"/>
  <c r="U203" i="15"/>
  <c r="AJ366" i="15"/>
  <c r="AJ434" i="15"/>
  <c r="AJ468" i="15"/>
  <c r="R199" i="15"/>
  <c r="AQ150" i="15"/>
  <c r="AQ345" i="15"/>
  <c r="BD215" i="15"/>
  <c r="BD222" i="15" s="1"/>
  <c r="BA122" i="15"/>
  <c r="BB215" i="15"/>
  <c r="BB222" i="15"/>
  <c r="BA123" i="15"/>
  <c r="BA125" i="15"/>
  <c r="BC215" i="15"/>
  <c r="BC222" i="15"/>
  <c r="BA215" i="15"/>
  <c r="BA222" i="15" s="1"/>
  <c r="J439" i="17"/>
  <c r="E447" i="17"/>
  <c r="E445" i="17"/>
  <c r="I205" i="15"/>
  <c r="I426" i="15"/>
  <c r="AJ447" i="15"/>
  <c r="AJ446" i="15"/>
  <c r="AF210" i="15"/>
  <c r="AF463" i="15"/>
  <c r="H210" i="15"/>
  <c r="H463" i="15"/>
  <c r="AD210" i="15"/>
  <c r="AD463" i="15"/>
  <c r="H345" i="15"/>
  <c r="H150" i="15"/>
  <c r="BQ210" i="15"/>
  <c r="AA208" i="15"/>
  <c r="AA224" i="15"/>
  <c r="AB208" i="15"/>
  <c r="AB224" i="15"/>
  <c r="Y208" i="15"/>
  <c r="Y224" i="15"/>
  <c r="Y26" i="15"/>
  <c r="Y73" i="15"/>
  <c r="Z208" i="15"/>
  <c r="Z224" i="15"/>
  <c r="AD375" i="15"/>
  <c r="AD472" i="15"/>
  <c r="AK134" i="15"/>
  <c r="AK108" i="15"/>
  <c r="AN204" i="15"/>
  <c r="AK395" i="15"/>
  <c r="AK111" i="15"/>
  <c r="AK333" i="15"/>
  <c r="AK331" i="15"/>
  <c r="AK116" i="15"/>
  <c r="AK529" i="15"/>
  <c r="AK113" i="15"/>
  <c r="AL204" i="15"/>
  <c r="AM204" i="15"/>
  <c r="AK204" i="15"/>
  <c r="T26" i="15"/>
  <c r="T73" i="15"/>
  <c r="T208" i="15"/>
  <c r="T224" i="15"/>
  <c r="BE208" i="15"/>
  <c r="V221" i="15"/>
  <c r="AY472" i="15"/>
  <c r="AY375" i="15"/>
  <c r="AE449" i="15"/>
  <c r="AE437" i="15"/>
  <c r="AE450" i="15"/>
  <c r="BQ428" i="15"/>
  <c r="AE440" i="15"/>
  <c r="AE438" i="15"/>
  <c r="AS470" i="15"/>
  <c r="AS372" i="15"/>
  <c r="AF437" i="15"/>
  <c r="AF449" i="15"/>
  <c r="AF441" i="15"/>
  <c r="AF440" i="15"/>
  <c r="AF450" i="15"/>
  <c r="AF438" i="15"/>
  <c r="AQ372" i="15"/>
  <c r="AQ470" i="15"/>
  <c r="AF223" i="15"/>
  <c r="C1374" i="17"/>
  <c r="AF301" i="15"/>
  <c r="AF369" i="15"/>
  <c r="AF457" i="15"/>
  <c r="AF459" i="15"/>
  <c r="AF360" i="15"/>
  <c r="AF304" i="15"/>
  <c r="AF302" i="15"/>
  <c r="AF370" i="15"/>
  <c r="AF305" i="15"/>
  <c r="AW429" i="15"/>
  <c r="AB372" i="15"/>
  <c r="AB470" i="15"/>
  <c r="AF471" i="15"/>
  <c r="AF376" i="15"/>
  <c r="AV304" i="15"/>
  <c r="AV457" i="15"/>
  <c r="AV459" i="15"/>
  <c r="AV360" i="15"/>
  <c r="C508" i="17"/>
  <c r="AV301" i="15"/>
  <c r="AV369" i="15"/>
  <c r="AV305" i="15"/>
  <c r="AV302" i="15"/>
  <c r="AV370" i="15"/>
  <c r="AT315" i="15"/>
  <c r="C626" i="17"/>
  <c r="C624" i="17"/>
  <c r="AT316" i="15"/>
  <c r="AY429" i="15"/>
  <c r="AT373" i="15"/>
  <c r="AT469" i="15"/>
  <c r="T469" i="15"/>
  <c r="T373" i="15"/>
  <c r="G375" i="15"/>
  <c r="G472" i="15"/>
  <c r="M376" i="15"/>
  <c r="M471" i="15"/>
  <c r="J1520" i="17"/>
  <c r="E1526" i="17"/>
  <c r="E1528" i="17"/>
  <c r="BF159" i="15"/>
  <c r="BF177" i="15" s="1"/>
  <c r="AO429" i="15"/>
  <c r="AU25" i="15"/>
  <c r="AT26" i="15"/>
  <c r="AT73" i="15"/>
  <c r="AX339" i="15"/>
  <c r="AX144" i="15"/>
  <c r="O144" i="15"/>
  <c r="O339" i="15"/>
  <c r="AF550" i="15"/>
  <c r="N144" i="15"/>
  <c r="N339" i="15"/>
  <c r="E152" i="15"/>
  <c r="AD440" i="15"/>
  <c r="AD450" i="15"/>
  <c r="AD437" i="15"/>
  <c r="AD441" i="15"/>
  <c r="AD438" i="15"/>
  <c r="AD449" i="15"/>
  <c r="BT152" i="15"/>
  <c r="BT194" i="15"/>
  <c r="BT196" i="15"/>
  <c r="AQ446" i="15"/>
  <c r="AQ447" i="15"/>
  <c r="AE151" i="15"/>
  <c r="BQ156" i="15"/>
  <c r="AE156" i="15"/>
  <c r="T392" i="15"/>
  <c r="T393" i="15"/>
  <c r="X392" i="15"/>
  <c r="BC208" i="15"/>
  <c r="BD208" i="15"/>
  <c r="BA208" i="15"/>
  <c r="BB208" i="15"/>
  <c r="O316" i="15"/>
  <c r="O315" i="15"/>
  <c r="BC214" i="15"/>
  <c r="BC221" i="15"/>
  <c r="BA571" i="15"/>
  <c r="BD214" i="15"/>
  <c r="BD221" i="15"/>
  <c r="BB214" i="15"/>
  <c r="BB221" i="15"/>
  <c r="BA214" i="15"/>
  <c r="BA221" i="15"/>
  <c r="N373" i="15"/>
  <c r="N469" i="15"/>
  <c r="AI446" i="15"/>
  <c r="AI447" i="15"/>
  <c r="AW469" i="15"/>
  <c r="AW373" i="15"/>
  <c r="AB550" i="15"/>
  <c r="AF307" i="15"/>
  <c r="J353" i="15"/>
  <c r="J418" i="15"/>
  <c r="J194" i="15"/>
  <c r="J196" i="15"/>
  <c r="BL353" i="15"/>
  <c r="BL418" i="15"/>
  <c r="BL194" i="15"/>
  <c r="BL196" i="15"/>
  <c r="AR150" i="15"/>
  <c r="AR345" i="15"/>
  <c r="Y308" i="15"/>
  <c r="Y361" i="15"/>
  <c r="Y307" i="15"/>
  <c r="Y458" i="15"/>
  <c r="X311" i="15"/>
  <c r="X379" i="15"/>
  <c r="X310" i="15"/>
  <c r="X378" i="15"/>
  <c r="X222" i="15"/>
  <c r="E194" i="15"/>
  <c r="E196" i="15"/>
  <c r="E197" i="15"/>
  <c r="E418" i="15"/>
  <c r="E353" i="15"/>
  <c r="AX345" i="15"/>
  <c r="AX150" i="15"/>
  <c r="AV373" i="15"/>
  <c r="AV469" i="15"/>
  <c r="AK360" i="15"/>
  <c r="AK457" i="15"/>
  <c r="AK459" i="15"/>
  <c r="AK301" i="15"/>
  <c r="AK369" i="15"/>
  <c r="AK302" i="15"/>
  <c r="AK370" i="15"/>
  <c r="AK304" i="15"/>
  <c r="AK305" i="15"/>
  <c r="C1110" i="17"/>
  <c r="AK223" i="15"/>
  <c r="AN360" i="15"/>
  <c r="C945" i="17"/>
  <c r="AN302" i="15"/>
  <c r="AN370" i="15"/>
  <c r="AN304" i="15"/>
  <c r="AN301" i="15"/>
  <c r="AN369" i="15"/>
  <c r="AN223" i="15"/>
  <c r="AN457" i="15"/>
  <c r="AN459" i="15"/>
  <c r="AN305" i="15"/>
  <c r="AZ210" i="15"/>
  <c r="AZ463" i="15"/>
  <c r="AO458" i="15"/>
  <c r="AO308" i="15"/>
  <c r="AO307" i="15"/>
  <c r="AO361" i="15"/>
  <c r="AE372" i="15"/>
  <c r="AE470" i="15"/>
  <c r="N376" i="15"/>
  <c r="N471" i="15"/>
  <c r="BS302" i="15"/>
  <c r="BS223" i="15"/>
  <c r="BS301" i="15"/>
  <c r="BS305" i="15"/>
  <c r="BS469" i="15"/>
  <c r="BS304" i="15"/>
  <c r="BS470" i="15"/>
  <c r="BS457" i="15"/>
  <c r="BS459" i="15"/>
  <c r="AR373" i="15"/>
  <c r="AR469" i="15"/>
  <c r="M351" i="15"/>
  <c r="M151" i="15"/>
  <c r="M152" i="15"/>
  <c r="Y437" i="15"/>
  <c r="Y449" i="15"/>
  <c r="Y440" i="15"/>
  <c r="Y441" i="15"/>
  <c r="Y450" i="15"/>
  <c r="Y438" i="15"/>
  <c r="BE123" i="15"/>
  <c r="BE125" i="15"/>
  <c r="BE215" i="15"/>
  <c r="BE222" i="15"/>
  <c r="BE122" i="15"/>
  <c r="BF215" i="15"/>
  <c r="BF222" i="15"/>
  <c r="AU429" i="15"/>
  <c r="AX469" i="15"/>
  <c r="AX373" i="15"/>
  <c r="Y373" i="15"/>
  <c r="Y469" i="15"/>
  <c r="V446" i="15"/>
  <c r="V447" i="15"/>
  <c r="BQ429" i="15"/>
  <c r="BQ444" i="15" s="1"/>
  <c r="BQ443" i="15"/>
  <c r="AE443" i="15"/>
  <c r="S150" i="15"/>
  <c r="S345" i="15"/>
  <c r="T210" i="15"/>
  <c r="T463" i="15"/>
  <c r="BV429" i="15"/>
  <c r="AP443" i="15"/>
  <c r="AP444" i="15"/>
  <c r="O375" i="15"/>
  <c r="O472" i="15"/>
  <c r="BA159" i="15"/>
  <c r="BA177" i="15"/>
  <c r="BA192" i="15"/>
  <c r="BC217" i="15"/>
  <c r="BB217" i="15"/>
  <c r="BD217" i="15"/>
  <c r="BD224" i="15"/>
  <c r="BA217" i="15"/>
  <c r="J386" i="17"/>
  <c r="E392" i="17"/>
  <c r="E394" i="17"/>
  <c r="I316" i="15"/>
  <c r="I315" i="15"/>
  <c r="BC224" i="15"/>
  <c r="L1518" i="17"/>
  <c r="L1516" i="17"/>
  <c r="BQ437" i="15"/>
  <c r="BQ440" i="15"/>
  <c r="BQ438" i="15"/>
  <c r="AM305" i="15"/>
  <c r="AM301" i="15"/>
  <c r="AM369" i="15"/>
  <c r="AM457" i="15"/>
  <c r="AM459" i="15"/>
  <c r="AM302" i="15"/>
  <c r="AM370" i="15"/>
  <c r="AM360" i="15"/>
  <c r="C1001" i="17"/>
  <c r="AM223" i="15"/>
  <c r="AM304" i="15"/>
  <c r="AS210" i="15"/>
  <c r="AS463" i="15"/>
  <c r="AY210" i="15"/>
  <c r="AY463" i="15"/>
  <c r="N472" i="15"/>
  <c r="N375" i="15"/>
  <c r="BL417" i="15"/>
  <c r="BL352" i="15"/>
  <c r="BL156" i="15"/>
  <c r="AP315" i="15"/>
  <c r="C843" i="17"/>
  <c r="C841" i="17"/>
  <c r="AP316" i="15"/>
  <c r="J417" i="15"/>
  <c r="J352" i="15"/>
  <c r="J156" i="15"/>
  <c r="C410" i="17"/>
  <c r="C408" i="17"/>
  <c r="AX315" i="15"/>
  <c r="AX316" i="15"/>
  <c r="AG550" i="15"/>
  <c r="BC345" i="15"/>
  <c r="BC150" i="15"/>
  <c r="I373" i="15"/>
  <c r="I469" i="15"/>
  <c r="U447" i="15"/>
  <c r="U446" i="15"/>
  <c r="AL150" i="15"/>
  <c r="AL345" i="15"/>
  <c r="AU339" i="15"/>
  <c r="AU144" i="15"/>
  <c r="AW210" i="15"/>
  <c r="AW463" i="15"/>
  <c r="BQ441" i="15"/>
  <c r="AR361" i="15"/>
  <c r="AR458" i="15"/>
  <c r="AR307" i="15"/>
  <c r="AR308" i="15"/>
  <c r="O443" i="15"/>
  <c r="O444" i="15"/>
  <c r="AC150" i="15"/>
  <c r="AC345" i="15"/>
  <c r="BL216" i="15"/>
  <c r="U109" i="15"/>
  <c r="U127" i="15"/>
  <c r="X216" i="15"/>
  <c r="U530" i="15"/>
  <c r="U536" i="15"/>
  <c r="V216" i="15"/>
  <c r="U216" i="15"/>
  <c r="W216" i="15"/>
  <c r="AK397" i="15"/>
  <c r="AN428" i="15"/>
  <c r="AK428" i="15"/>
  <c r="AM428" i="15"/>
  <c r="AL428" i="15"/>
  <c r="BE96" i="15"/>
  <c r="BE49" i="15"/>
  <c r="BE97" i="15"/>
  <c r="L869" i="17"/>
  <c r="L871" i="17"/>
  <c r="AC443" i="15"/>
  <c r="AC444" i="15"/>
  <c r="T375" i="15"/>
  <c r="T472" i="15"/>
  <c r="AY444" i="15"/>
  <c r="AY443" i="15"/>
  <c r="J492" i="17"/>
  <c r="E498" i="17"/>
  <c r="E500" i="17"/>
  <c r="AV429" i="15"/>
  <c r="AL223" i="15"/>
  <c r="AL360" i="15"/>
  <c r="AL305" i="15"/>
  <c r="AL301" i="15"/>
  <c r="AL369" i="15"/>
  <c r="AL302" i="15"/>
  <c r="AL370" i="15"/>
  <c r="AL304" i="15"/>
  <c r="C1058" i="17"/>
  <c r="AL457" i="15"/>
  <c r="AL459" i="15"/>
  <c r="AT210" i="15"/>
  <c r="AT463" i="15"/>
  <c r="U311" i="15"/>
  <c r="U379" i="15"/>
  <c r="U310" i="15"/>
  <c r="U378" i="15"/>
  <c r="U222" i="15"/>
  <c r="AX458" i="15"/>
  <c r="AX307" i="15"/>
  <c r="AX361" i="15"/>
  <c r="AX308" i="15"/>
  <c r="AE469" i="15"/>
  <c r="AE373" i="15"/>
  <c r="L441" i="15"/>
  <c r="L449" i="15"/>
  <c r="L437" i="15"/>
  <c r="L440" i="15"/>
  <c r="L438" i="15"/>
  <c r="L450" i="15"/>
  <c r="AW375" i="15"/>
  <c r="AW472" i="15"/>
  <c r="AR372" i="15"/>
  <c r="AR470" i="15"/>
  <c r="L1571" i="17"/>
  <c r="L1573" i="17"/>
  <c r="W447" i="15"/>
  <c r="W446" i="15"/>
  <c r="AO144" i="15"/>
  <c r="AQ210" i="15"/>
  <c r="AQ463" i="15"/>
  <c r="AO339" i="15"/>
  <c r="AF345" i="15"/>
  <c r="AF150" i="15"/>
  <c r="AQ458" i="15"/>
  <c r="AQ361" i="15"/>
  <c r="AQ307" i="15"/>
  <c r="AQ308" i="15"/>
  <c r="BA447" i="15"/>
  <c r="BA446" i="15"/>
  <c r="S409" i="15"/>
  <c r="BN403" i="15"/>
  <c r="AR443" i="15"/>
  <c r="AR444" i="15"/>
  <c r="BL311" i="15"/>
  <c r="BL310" i="15"/>
  <c r="BL222" i="15"/>
  <c r="V217" i="15"/>
  <c r="U159" i="15"/>
  <c r="U177" i="15"/>
  <c r="U192" i="15"/>
  <c r="BL217" i="15"/>
  <c r="U217" i="15"/>
  <c r="U224" i="15"/>
  <c r="X217" i="15"/>
  <c r="W217" i="15"/>
  <c r="V403" i="15"/>
  <c r="AB447" i="15"/>
  <c r="AB446" i="15"/>
  <c r="AV25" i="15"/>
  <c r="AU26" i="15"/>
  <c r="AU73" i="15"/>
  <c r="AW444" i="15"/>
  <c r="AW443" i="15"/>
  <c r="BQ463" i="15"/>
  <c r="AE210" i="15"/>
  <c r="AE463" i="15"/>
  <c r="T345" i="15"/>
  <c r="T150" i="15"/>
  <c r="AN446" i="15"/>
  <c r="AN447" i="15"/>
  <c r="BS535" i="15"/>
  <c r="BS532" i="15"/>
  <c r="L760" i="17"/>
  <c r="L762" i="17"/>
  <c r="AM409" i="15"/>
  <c r="BT403" i="15"/>
  <c r="Y470" i="15"/>
  <c r="Y372" i="15"/>
  <c r="AQ443" i="15"/>
  <c r="BW429" i="15"/>
  <c r="AQ444" i="15"/>
  <c r="W310" i="15"/>
  <c r="W378" i="15"/>
  <c r="W311" i="15"/>
  <c r="W379" i="15"/>
  <c r="W222" i="15"/>
  <c r="BV399" i="15"/>
  <c r="AO403" i="15"/>
  <c r="BU403" i="15"/>
  <c r="AJ351" i="15"/>
  <c r="AZ351" i="15"/>
  <c r="BB447" i="15"/>
  <c r="BB446" i="15"/>
  <c r="AO396" i="15"/>
  <c r="AS375" i="15"/>
  <c r="AS472" i="15"/>
  <c r="AL409" i="15"/>
  <c r="BS403" i="15"/>
  <c r="AC471" i="15"/>
  <c r="AC376" i="15"/>
  <c r="AQ415" i="15"/>
  <c r="BW415" i="15"/>
  <c r="BW409" i="15"/>
  <c r="AP376" i="15"/>
  <c r="AP471" i="15"/>
  <c r="O376" i="15"/>
  <c r="O471" i="15"/>
  <c r="AN409" i="15"/>
  <c r="O150" i="15"/>
  <c r="O210" i="15"/>
  <c r="O463" i="15"/>
  <c r="O345" i="15"/>
  <c r="BW210" i="15"/>
  <c r="BW463" i="15"/>
  <c r="L210" i="15"/>
  <c r="L463" i="15"/>
  <c r="L345" i="15"/>
  <c r="L150" i="15"/>
  <c r="AW471" i="15"/>
  <c r="AW376" i="15"/>
  <c r="AU471" i="15"/>
  <c r="AU376" i="15"/>
  <c r="AN205" i="15"/>
  <c r="AK426" i="15"/>
  <c r="AL205" i="15"/>
  <c r="AK205" i="15"/>
  <c r="AM205" i="15"/>
  <c r="AW351" i="15"/>
  <c r="AO444" i="15"/>
  <c r="AO443" i="15"/>
  <c r="BU429" i="15"/>
  <c r="AF316" i="15"/>
  <c r="AF315" i="15"/>
  <c r="C1382" i="17"/>
  <c r="C1380" i="17"/>
  <c r="V208" i="15"/>
  <c r="V224" i="15"/>
  <c r="AK535" i="15"/>
  <c r="AK532" i="15"/>
  <c r="AK533" i="15"/>
  <c r="H351" i="15"/>
  <c r="H151" i="15"/>
  <c r="H152" i="15"/>
  <c r="I361" i="15"/>
  <c r="I429" i="15"/>
  <c r="I458" i="15"/>
  <c r="I307" i="15"/>
  <c r="I308" i="15"/>
  <c r="BA126" i="15"/>
  <c r="BD216" i="15"/>
  <c r="BA127" i="15"/>
  <c r="BA109" i="15"/>
  <c r="BA530" i="15"/>
  <c r="BA536" i="15"/>
  <c r="BC216" i="15"/>
  <c r="BB216" i="15"/>
  <c r="BA216" i="15"/>
  <c r="AQ351" i="15"/>
  <c r="AQ152" i="15"/>
  <c r="N440" i="15"/>
  <c r="N437" i="15"/>
  <c r="N438" i="15"/>
  <c r="N441" i="15"/>
  <c r="N449" i="15"/>
  <c r="N450" i="15"/>
  <c r="L471" i="15"/>
  <c r="L376" i="15"/>
  <c r="J1412" i="17"/>
  <c r="E1420" i="17"/>
  <c r="E1418" i="17"/>
  <c r="AO437" i="15"/>
  <c r="BU428" i="15"/>
  <c r="AO449" i="15"/>
  <c r="AO441" i="15"/>
  <c r="AO450" i="15"/>
  <c r="AO440" i="15"/>
  <c r="AO438" i="15"/>
  <c r="AA352" i="15"/>
  <c r="AA417" i="15"/>
  <c r="BP417" i="15"/>
  <c r="AA152" i="15"/>
  <c r="AX450" i="15"/>
  <c r="AX449" i="15"/>
  <c r="AX441" i="15"/>
  <c r="AX438" i="15"/>
  <c r="AX440" i="15"/>
  <c r="AX437" i="15"/>
  <c r="AM447" i="15"/>
  <c r="AM446" i="15"/>
  <c r="BT205" i="15"/>
  <c r="BS205" i="15"/>
  <c r="J819" i="17"/>
  <c r="E825" i="17"/>
  <c r="E827" i="17"/>
  <c r="AZ444" i="15"/>
  <c r="AZ443" i="15"/>
  <c r="AC550" i="15"/>
  <c r="J710" i="17"/>
  <c r="E716" i="17"/>
  <c r="E718" i="17"/>
  <c r="V222" i="15"/>
  <c r="V310" i="15"/>
  <c r="V378" i="15"/>
  <c r="V311" i="15"/>
  <c r="V379" i="15"/>
  <c r="AX470" i="15"/>
  <c r="AX372" i="15"/>
  <c r="AV472" i="15"/>
  <c r="AV375" i="15"/>
  <c r="BW438" i="15"/>
  <c r="BW437" i="15"/>
  <c r="BW440" i="15"/>
  <c r="BW441" i="15"/>
  <c r="BR435" i="15"/>
  <c r="I144" i="15"/>
  <c r="I339" i="15"/>
  <c r="AT345" i="15"/>
  <c r="AT150" i="15"/>
  <c r="BC447" i="15"/>
  <c r="BC446" i="15"/>
  <c r="AS376" i="15"/>
  <c r="AS471" i="15"/>
  <c r="L276" i="17"/>
  <c r="L278" i="17"/>
  <c r="AU469" i="15"/>
  <c r="AU373" i="15"/>
  <c r="U393" i="15"/>
  <c r="U392" i="15"/>
  <c r="AN150" i="15"/>
  <c r="AN345" i="15"/>
  <c r="AB375" i="15"/>
  <c r="AB472" i="15"/>
  <c r="Y447" i="15"/>
  <c r="Y446" i="15"/>
  <c r="V144" i="15"/>
  <c r="V339" i="15"/>
  <c r="AF470" i="15"/>
  <c r="AF372" i="15"/>
  <c r="AP373" i="15"/>
  <c r="AP469" i="15"/>
  <c r="N345" i="15"/>
  <c r="N210" i="15"/>
  <c r="N463" i="15"/>
  <c r="N150" i="15"/>
  <c r="BV210" i="15"/>
  <c r="BV463" i="15"/>
  <c r="AK399" i="15"/>
  <c r="AK335" i="15"/>
  <c r="AX443" i="15"/>
  <c r="AX444" i="15"/>
  <c r="AF375" i="15"/>
  <c r="AF472" i="15"/>
  <c r="BB224" i="15"/>
  <c r="AV470" i="15"/>
  <c r="AV372" i="15"/>
  <c r="AF373" i="15"/>
  <c r="AF469" i="15"/>
  <c r="L375" i="15"/>
  <c r="L472" i="15"/>
  <c r="L598" i="17"/>
  <c r="L600" i="17"/>
  <c r="BT457" i="15"/>
  <c r="BT459" i="15"/>
  <c r="BT223" i="15"/>
  <c r="BT304" i="15"/>
  <c r="BT470" i="15"/>
  <c r="BT301" i="15"/>
  <c r="BT302" i="15"/>
  <c r="BT305" i="15"/>
  <c r="BT469" i="15"/>
  <c r="BS138" i="15"/>
  <c r="BS144" i="15"/>
  <c r="BT210" i="15"/>
  <c r="BT463" i="15"/>
  <c r="AP470" i="15"/>
  <c r="AP372" i="15"/>
  <c r="AR316" i="15"/>
  <c r="C734" i="17"/>
  <c r="C732" i="17"/>
  <c r="AR315" i="15"/>
  <c r="AG159" i="15"/>
  <c r="AG177" i="15"/>
  <c r="AG192" i="15"/>
  <c r="AG73" i="15"/>
  <c r="AJ217" i="15"/>
  <c r="AJ224" i="15"/>
  <c r="AI217" i="15"/>
  <c r="AI224" i="15"/>
  <c r="AG217" i="15"/>
  <c r="AG224" i="15"/>
  <c r="AH217" i="15"/>
  <c r="AH224" i="15"/>
  <c r="AV376" i="15"/>
  <c r="AV471" i="15"/>
  <c r="Y315" i="15"/>
  <c r="Y316" i="15"/>
  <c r="I372" i="15"/>
  <c r="I470" i="15"/>
  <c r="AU472" i="15"/>
  <c r="AU375" i="15"/>
  <c r="AD444" i="15"/>
  <c r="AD443" i="15"/>
  <c r="BF113" i="15"/>
  <c r="BF426" i="15"/>
  <c r="BF331" i="15"/>
  <c r="BF111" i="15"/>
  <c r="BF333" i="15"/>
  <c r="BF395" i="15"/>
  <c r="BF110" i="15"/>
  <c r="BF332" i="15"/>
  <c r="BF108" i="15"/>
  <c r="BF116" i="15"/>
  <c r="BF529" i="15"/>
  <c r="I403" i="15"/>
  <c r="I409" i="15"/>
  <c r="I415" i="15"/>
  <c r="I428" i="15"/>
  <c r="BD447" i="15"/>
  <c r="BD446" i="15"/>
  <c r="T471" i="15"/>
  <c r="T376" i="15"/>
  <c r="AE376" i="15"/>
  <c r="AE471" i="15"/>
  <c r="AU470" i="15"/>
  <c r="AU372" i="15"/>
  <c r="AQ352" i="15"/>
  <c r="AQ417" i="15"/>
  <c r="BW417" i="15"/>
  <c r="AP375" i="15"/>
  <c r="AP472" i="15"/>
  <c r="X446" i="15"/>
  <c r="X447" i="15"/>
  <c r="Z447" i="15"/>
  <c r="Z446" i="15"/>
  <c r="AY351" i="15"/>
  <c r="W138" i="15"/>
  <c r="W399" i="15"/>
  <c r="W403" i="15"/>
  <c r="W409" i="15"/>
  <c r="W415" i="15"/>
  <c r="W335" i="15"/>
  <c r="L435" i="17"/>
  <c r="L437" i="17"/>
  <c r="N443" i="15"/>
  <c r="N444" i="15"/>
  <c r="BL208" i="15"/>
  <c r="X208" i="15"/>
  <c r="X224" i="15"/>
  <c r="U26" i="15"/>
  <c r="U73" i="15"/>
  <c r="AG530" i="15"/>
  <c r="AG536" i="15"/>
  <c r="AG109" i="15"/>
  <c r="AG127" i="15"/>
  <c r="AJ216" i="15"/>
  <c r="AG126" i="15"/>
  <c r="AG216" i="15"/>
  <c r="AI216" i="15"/>
  <c r="AH216" i="15"/>
  <c r="AK126" i="15"/>
  <c r="E1364" i="17"/>
  <c r="J1358" i="17"/>
  <c r="E1366" i="17"/>
  <c r="BA224" i="15"/>
  <c r="AE352" i="15"/>
  <c r="AE417" i="15"/>
  <c r="BQ417" i="15"/>
  <c r="AE152" i="15"/>
  <c r="W208" i="15"/>
  <c r="W224" i="15"/>
  <c r="L443" i="15"/>
  <c r="L444" i="15"/>
  <c r="AE315" i="15"/>
  <c r="C1436" i="17"/>
  <c r="C1434" i="17"/>
  <c r="AE316" i="15"/>
  <c r="AB150" i="15"/>
  <c r="AB345" i="15"/>
  <c r="AC210" i="15"/>
  <c r="AC463" i="15"/>
  <c r="AB210" i="15"/>
  <c r="AB463" i="15"/>
  <c r="BB150" i="15"/>
  <c r="BB345" i="15"/>
  <c r="BE214" i="15"/>
  <c r="BE221" i="15"/>
  <c r="BE571" i="15"/>
  <c r="BF214" i="15"/>
  <c r="BF221" i="15"/>
  <c r="BE562" i="15"/>
  <c r="AB444" i="15"/>
  <c r="AB443" i="15"/>
  <c r="O449" i="15"/>
  <c r="O450" i="15"/>
  <c r="O437" i="15"/>
  <c r="O438" i="15"/>
  <c r="O441" i="15"/>
  <c r="O440" i="15"/>
  <c r="AM345" i="15"/>
  <c r="AM150" i="15"/>
  <c r="AP210" i="15"/>
  <c r="AP463" i="15"/>
  <c r="L652" i="17"/>
  <c r="L654" i="17"/>
  <c r="AR440" i="15"/>
  <c r="AR450" i="15"/>
  <c r="AR449" i="15"/>
  <c r="AR441" i="15"/>
  <c r="AR438" i="15"/>
  <c r="AR437" i="15"/>
  <c r="BV438" i="15"/>
  <c r="BV437" i="15"/>
  <c r="BV440" i="15"/>
  <c r="BV441" i="15"/>
  <c r="BR434" i="15"/>
  <c r="AC375" i="15"/>
  <c r="AC472" i="15"/>
  <c r="J547" i="17"/>
  <c r="E555" i="17"/>
  <c r="E553" i="17"/>
  <c r="Y444" i="15"/>
  <c r="Y443" i="15"/>
  <c r="AE472" i="15"/>
  <c r="AE375" i="15"/>
  <c r="Y392" i="15"/>
  <c r="AB376" i="15"/>
  <c r="AB471" i="15"/>
  <c r="AA446" i="15"/>
  <c r="AA447" i="15"/>
  <c r="M194" i="15"/>
  <c r="M196" i="15"/>
  <c r="M353" i="15"/>
  <c r="M418" i="15"/>
  <c r="AN351" i="15"/>
  <c r="AA194" i="15"/>
  <c r="AA196" i="15"/>
  <c r="AA418" i="15"/>
  <c r="BP418" i="15"/>
  <c r="AA353" i="15"/>
  <c r="E1048" i="17"/>
  <c r="J1042" i="17"/>
  <c r="E1050" i="17"/>
  <c r="AO210" i="15"/>
  <c r="AO463" i="15"/>
  <c r="E991" i="17"/>
  <c r="J985" i="17"/>
  <c r="E993" i="17"/>
  <c r="AK470" i="15"/>
  <c r="AK372" i="15"/>
  <c r="AM351" i="15"/>
  <c r="BB151" i="15"/>
  <c r="BB351" i="15"/>
  <c r="BB152" i="15"/>
  <c r="AE353" i="15"/>
  <c r="AE418" i="15"/>
  <c r="BQ418" i="15"/>
  <c r="AE194" i="15"/>
  <c r="AE196" i="15"/>
  <c r="AG395" i="15"/>
  <c r="AG331" i="15"/>
  <c r="AG113" i="15"/>
  <c r="AG111" i="15"/>
  <c r="AG333" i="15"/>
  <c r="AG134" i="15"/>
  <c r="AG108" i="15"/>
  <c r="AG116" i="15"/>
  <c r="AG529" i="15"/>
  <c r="AJ204" i="15"/>
  <c r="AG110" i="15"/>
  <c r="AG332" i="15"/>
  <c r="AH204" i="15"/>
  <c r="AG204" i="15"/>
  <c r="AI204" i="15"/>
  <c r="AK110" i="15"/>
  <c r="AK332" i="15"/>
  <c r="BF535" i="15"/>
  <c r="BF532" i="15"/>
  <c r="BF533" i="15"/>
  <c r="AV210" i="15"/>
  <c r="AV463" i="15"/>
  <c r="BW444" i="15"/>
  <c r="BW443" i="15"/>
  <c r="S415" i="15"/>
  <c r="BN415" i="15"/>
  <c r="BN409" i="15"/>
  <c r="AX375" i="15"/>
  <c r="AX472" i="15"/>
  <c r="AL470" i="15"/>
  <c r="AL372" i="15"/>
  <c r="AN449" i="15"/>
  <c r="AN438" i="15"/>
  <c r="AN437" i="15"/>
  <c r="AN450" i="15"/>
  <c r="AN441" i="15"/>
  <c r="BT428" i="15"/>
  <c r="AN440" i="15"/>
  <c r="AR472" i="15"/>
  <c r="AR375" i="15"/>
  <c r="BE109" i="15"/>
  <c r="BE126" i="15"/>
  <c r="BE127" i="15"/>
  <c r="BE530" i="15"/>
  <c r="BE536" i="15"/>
  <c r="BE216" i="15"/>
  <c r="BF216" i="15"/>
  <c r="AO472" i="15"/>
  <c r="AO375" i="15"/>
  <c r="AN470" i="15"/>
  <c r="AN372" i="15"/>
  <c r="AX151" i="15"/>
  <c r="AX152" i="15"/>
  <c r="AX351" i="15"/>
  <c r="L1356" i="17"/>
  <c r="L1354" i="17"/>
  <c r="BF335" i="15"/>
  <c r="BF138" i="15"/>
  <c r="BF399" i="15"/>
  <c r="BF403" i="15"/>
  <c r="BU440" i="15"/>
  <c r="BU437" i="15"/>
  <c r="BU441" i="15"/>
  <c r="BU438" i="15"/>
  <c r="I375" i="15"/>
  <c r="I472" i="15"/>
  <c r="T351" i="15"/>
  <c r="T151" i="15"/>
  <c r="AF351" i="15"/>
  <c r="AF151" i="15"/>
  <c r="AK437" i="15"/>
  <c r="AK438" i="15"/>
  <c r="AK450" i="15"/>
  <c r="AK441" i="15"/>
  <c r="AK449" i="15"/>
  <c r="AK440" i="15"/>
  <c r="AR376" i="15"/>
  <c r="AR471" i="15"/>
  <c r="L382" i="17"/>
  <c r="L384" i="17"/>
  <c r="AR351" i="15"/>
  <c r="AR151" i="15"/>
  <c r="AR152" i="15" s="1"/>
  <c r="I443" i="15"/>
  <c r="I444" i="15"/>
  <c r="BO399" i="15"/>
  <c r="L488" i="17"/>
  <c r="L490" i="17"/>
  <c r="BL204" i="15"/>
  <c r="U108" i="15"/>
  <c r="U395" i="15"/>
  <c r="U116" i="15"/>
  <c r="U529" i="15"/>
  <c r="U535" i="15"/>
  <c r="U134" i="15"/>
  <c r="U331" i="15"/>
  <c r="U111" i="15"/>
  <c r="U333" i="15"/>
  <c r="U113" i="15"/>
  <c r="X204" i="15"/>
  <c r="Y110" i="15"/>
  <c r="Y332" i="15"/>
  <c r="U110" i="15"/>
  <c r="U332" i="15"/>
  <c r="W204" i="15"/>
  <c r="V204" i="15"/>
  <c r="U204" i="15"/>
  <c r="AL151" i="15"/>
  <c r="AL152" i="15" s="1"/>
  <c r="AL351" i="15"/>
  <c r="M417" i="15"/>
  <c r="M352" i="15"/>
  <c r="AS151" i="15"/>
  <c r="M156" i="15"/>
  <c r="BS315" i="15"/>
  <c r="BS316" i="15"/>
  <c r="AO471" i="15"/>
  <c r="AO376" i="15"/>
  <c r="E937" i="17"/>
  <c r="J929" i="17"/>
  <c r="E935" i="17"/>
  <c r="AT151" i="15"/>
  <c r="AT152" i="15"/>
  <c r="AT351" i="15"/>
  <c r="BA111" i="15"/>
  <c r="BA333" i="15"/>
  <c r="BD204" i="15"/>
  <c r="BA134" i="15"/>
  <c r="BA108" i="15"/>
  <c r="BA331" i="15"/>
  <c r="BA110" i="15"/>
  <c r="BA332" i="15"/>
  <c r="BA395" i="15"/>
  <c r="BA113" i="15"/>
  <c r="BA116" i="15"/>
  <c r="BA529" i="15"/>
  <c r="BC204" i="15"/>
  <c r="BB204" i="15"/>
  <c r="BA204" i="15"/>
  <c r="AM307" i="15"/>
  <c r="AM308" i="15"/>
  <c r="AM458" i="15"/>
  <c r="AM361" i="15"/>
  <c r="O351" i="15"/>
  <c r="O151" i="15"/>
  <c r="BF397" i="15"/>
  <c r="BF396" i="15"/>
  <c r="L1410" i="17"/>
  <c r="L1408" i="17"/>
  <c r="H417" i="15"/>
  <c r="H352" i="15"/>
  <c r="H156" i="15"/>
  <c r="BU443" i="15"/>
  <c r="BU444" i="15"/>
  <c r="AK307" i="15"/>
  <c r="AK308" i="15"/>
  <c r="AK458" i="15"/>
  <c r="AK361" i="15"/>
  <c r="BL378" i="15"/>
  <c r="BL449" i="15"/>
  <c r="BL446" i="15"/>
  <c r="AQ376" i="15"/>
  <c r="AQ471" i="15"/>
  <c r="AL373" i="15"/>
  <c r="AL469" i="15"/>
  <c r="BE159" i="15"/>
  <c r="BE177" i="15"/>
  <c r="BE192" i="15"/>
  <c r="BF217" i="15"/>
  <c r="BF224" i="15"/>
  <c r="BE217" i="15"/>
  <c r="BE224" i="15"/>
  <c r="H418" i="15"/>
  <c r="H194" i="15"/>
  <c r="H196" i="15"/>
  <c r="H353" i="15"/>
  <c r="AO409" i="15"/>
  <c r="BV403" i="15"/>
  <c r="V409" i="15"/>
  <c r="BO403" i="15"/>
  <c r="S351" i="15"/>
  <c r="S152" i="15"/>
  <c r="Y472" i="15"/>
  <c r="Y375" i="15"/>
  <c r="W339" i="15"/>
  <c r="W144" i="15"/>
  <c r="BT315" i="15"/>
  <c r="BT316" i="15"/>
  <c r="AB351" i="15"/>
  <c r="AB151" i="15"/>
  <c r="AB152" i="15" s="1"/>
  <c r="AC151" i="15"/>
  <c r="BL224" i="15"/>
  <c r="L815" i="17"/>
  <c r="L817" i="17"/>
  <c r="AQ418" i="15"/>
  <c r="BW418" i="15"/>
  <c r="AQ194" i="15"/>
  <c r="AQ196" i="15"/>
  <c r="AQ353" i="15"/>
  <c r="AL361" i="15"/>
  <c r="AL458" i="15"/>
  <c r="AL308" i="15"/>
  <c r="AL307" i="15"/>
  <c r="L351" i="15"/>
  <c r="L151" i="15"/>
  <c r="L152" i="15"/>
  <c r="AN415" i="15"/>
  <c r="BL379" i="15"/>
  <c r="BL447" i="15"/>
  <c r="BL450" i="15"/>
  <c r="AQ375" i="15"/>
  <c r="AQ472" i="15"/>
  <c r="AC351" i="15"/>
  <c r="AM469" i="15"/>
  <c r="AM373" i="15"/>
  <c r="AU444" i="15"/>
  <c r="AU443" i="15"/>
  <c r="AN373" i="15"/>
  <c r="AN469" i="15"/>
  <c r="AK316" i="15"/>
  <c r="AK315" i="15"/>
  <c r="C1118" i="17"/>
  <c r="C1116" i="17"/>
  <c r="BO197" i="15"/>
  <c r="BO199" i="15"/>
  <c r="F197" i="15"/>
  <c r="G197" i="15"/>
  <c r="E199" i="15"/>
  <c r="Y471" i="15"/>
  <c r="Y376" i="15"/>
  <c r="I345" i="15"/>
  <c r="I210" i="15"/>
  <c r="I463" i="15"/>
  <c r="I150" i="15"/>
  <c r="AR210" i="15"/>
  <c r="AR463" i="15"/>
  <c r="AO150" i="15"/>
  <c r="AO345" i="15"/>
  <c r="AL315" i="15"/>
  <c r="AL316" i="15"/>
  <c r="C1066" i="17"/>
  <c r="C1064" i="17"/>
  <c r="AL450" i="15"/>
  <c r="AL449" i="15"/>
  <c r="AL437" i="15"/>
  <c r="AL440" i="15"/>
  <c r="AL441" i="15"/>
  <c r="AL438" i="15"/>
  <c r="AU345" i="15"/>
  <c r="AU150" i="15"/>
  <c r="AX210" i="15"/>
  <c r="AX463" i="15"/>
  <c r="AM372" i="15"/>
  <c r="AM470" i="15"/>
  <c r="E1100" i="17"/>
  <c r="J1094" i="17"/>
  <c r="E1102" i="17"/>
  <c r="AU210" i="15"/>
  <c r="AU463" i="15"/>
  <c r="L706" i="17"/>
  <c r="L708" i="17"/>
  <c r="BS308" i="15"/>
  <c r="BS471" i="15"/>
  <c r="BS458" i="15"/>
  <c r="BS307" i="15"/>
  <c r="BS472" i="15"/>
  <c r="AN429" i="15"/>
  <c r="AM429" i="15"/>
  <c r="AK429" i="15"/>
  <c r="AL429" i="15"/>
  <c r="BV443" i="15"/>
  <c r="BV444" i="15"/>
  <c r="L543" i="17"/>
  <c r="L545" i="17"/>
  <c r="I440" i="15"/>
  <c r="I450" i="15"/>
  <c r="I438" i="15"/>
  <c r="I437" i="15"/>
  <c r="I449" i="15"/>
  <c r="I441" i="15"/>
  <c r="BS150" i="15"/>
  <c r="BS210" i="15"/>
  <c r="BS463" i="15"/>
  <c r="N351" i="15"/>
  <c r="N151" i="15"/>
  <c r="N152" i="15"/>
  <c r="V345" i="15"/>
  <c r="V150" i="15"/>
  <c r="Y210" i="15"/>
  <c r="Y463" i="15"/>
  <c r="BT307" i="15"/>
  <c r="BT472" i="15"/>
  <c r="BT458" i="15"/>
  <c r="BT308" i="15"/>
  <c r="BT471" i="15"/>
  <c r="I376" i="15"/>
  <c r="I471" i="15"/>
  <c r="AN458" i="15"/>
  <c r="AN308" i="15"/>
  <c r="AN361" i="15"/>
  <c r="AN307" i="15"/>
  <c r="AL415" i="15"/>
  <c r="BS409" i="15"/>
  <c r="AM415" i="15"/>
  <c r="BS415" i="15" s="1"/>
  <c r="BT415" i="15"/>
  <c r="BT409" i="15"/>
  <c r="AV26" i="15"/>
  <c r="AV73" i="15"/>
  <c r="AW25" i="15"/>
  <c r="AX471" i="15"/>
  <c r="AX376" i="15"/>
  <c r="AV443" i="15"/>
  <c r="AV444" i="15"/>
  <c r="AM438" i="15"/>
  <c r="AM450" i="15"/>
  <c r="AM441" i="15"/>
  <c r="BS428" i="15"/>
  <c r="AM437" i="15"/>
  <c r="AM449" i="15"/>
  <c r="AM440" i="15"/>
  <c r="BC351" i="15"/>
  <c r="AM315" i="15"/>
  <c r="C1009" i="17"/>
  <c r="C1007" i="17"/>
  <c r="AM316" i="15"/>
  <c r="C953" i="17"/>
  <c r="C951" i="17"/>
  <c r="AN316" i="15"/>
  <c r="AN315" i="15"/>
  <c r="AK373" i="15"/>
  <c r="AK469" i="15"/>
  <c r="AC352" i="15"/>
  <c r="AC417" i="15"/>
  <c r="AC152" i="15"/>
  <c r="AX418" i="15"/>
  <c r="AX194" i="15"/>
  <c r="AX196" i="15"/>
  <c r="AX353" i="15"/>
  <c r="N353" i="15"/>
  <c r="N194" i="15"/>
  <c r="N196" i="15"/>
  <c r="N418" i="15"/>
  <c r="AT194" i="15"/>
  <c r="AT196" i="15"/>
  <c r="AT353" i="15"/>
  <c r="AT418" i="15"/>
  <c r="BS429" i="15"/>
  <c r="AM444" i="15"/>
  <c r="AM443" i="15"/>
  <c r="BS437" i="15"/>
  <c r="BS438" i="15"/>
  <c r="BS440" i="15"/>
  <c r="BS441" i="15"/>
  <c r="AN376" i="15"/>
  <c r="AN471" i="15"/>
  <c r="BS151" i="15"/>
  <c r="BS152" i="15"/>
  <c r="BS194" i="15"/>
  <c r="BS196" i="15"/>
  <c r="AO351" i="15"/>
  <c r="V151" i="15"/>
  <c r="V152" i="15"/>
  <c r="V351" i="15"/>
  <c r="I151" i="15"/>
  <c r="I152" i="15" s="1"/>
  <c r="I351" i="15"/>
  <c r="AO415" i="15"/>
  <c r="BV415" i="15"/>
  <c r="BV409" i="15"/>
  <c r="BA535" i="15"/>
  <c r="BA532" i="15"/>
  <c r="BA533" i="15"/>
  <c r="T352" i="15"/>
  <c r="T417" i="15"/>
  <c r="T156" i="15"/>
  <c r="U156" i="15"/>
  <c r="U151" i="15"/>
  <c r="AG138" i="15"/>
  <c r="AG335" i="15"/>
  <c r="AG399" i="15"/>
  <c r="AG403" i="15"/>
  <c r="AG409" i="15"/>
  <c r="AG415" i="15"/>
  <c r="BB353" i="15"/>
  <c r="BB194" i="15"/>
  <c r="BB196" i="15"/>
  <c r="BB418" i="15"/>
  <c r="L981" i="17"/>
  <c r="L983" i="17"/>
  <c r="AL444" i="15"/>
  <c r="AL443" i="15"/>
  <c r="BU409" i="15"/>
  <c r="C239" i="17"/>
  <c r="BD205" i="15"/>
  <c r="BA426" i="15"/>
  <c r="BC205" i="15"/>
  <c r="BB205" i="15"/>
  <c r="BA205" i="15"/>
  <c r="X304" i="15"/>
  <c r="X457" i="15"/>
  <c r="X459" i="15"/>
  <c r="X360" i="15"/>
  <c r="X302" i="15"/>
  <c r="X370" i="15"/>
  <c r="X223" i="15"/>
  <c r="X305" i="15"/>
  <c r="X301" i="15"/>
  <c r="X369" i="15"/>
  <c r="C1693" i="17"/>
  <c r="BL302" i="15"/>
  <c r="BL370" i="15"/>
  <c r="BL223" i="15"/>
  <c r="BL301" i="15"/>
  <c r="BL369" i="15"/>
  <c r="BL360" i="15"/>
  <c r="BL428" i="15"/>
  <c r="BL305" i="15"/>
  <c r="BL457" i="15"/>
  <c r="BL459" i="15"/>
  <c r="BL304" i="15"/>
  <c r="C1214" i="17"/>
  <c r="AI302" i="15"/>
  <c r="AI370" i="15"/>
  <c r="AI301" i="15"/>
  <c r="AI369" i="15"/>
  <c r="AI304" i="15"/>
  <c r="AI223" i="15"/>
  <c r="AI305" i="15"/>
  <c r="AI457" i="15"/>
  <c r="AI459" i="15"/>
  <c r="AI360" i="15"/>
  <c r="AB353" i="15"/>
  <c r="AB418" i="15"/>
  <c r="AB194" i="15"/>
  <c r="AB196" i="15"/>
  <c r="AR353" i="15"/>
  <c r="AR194" i="15"/>
  <c r="AR196" i="15"/>
  <c r="AR418" i="15"/>
  <c r="AK444" i="15"/>
  <c r="AK443" i="15"/>
  <c r="AU351" i="15"/>
  <c r="BU415" i="15"/>
  <c r="AB417" i="15"/>
  <c r="AB352" i="15"/>
  <c r="AB156" i="15"/>
  <c r="AK376" i="15"/>
  <c r="AK471" i="15"/>
  <c r="BD428" i="15"/>
  <c r="BA397" i="15"/>
  <c r="BA396" i="15"/>
  <c r="BB428" i="15"/>
  <c r="BC428" i="15"/>
  <c r="BA428" i="15"/>
  <c r="AL417" i="15"/>
  <c r="AL352" i="15"/>
  <c r="AL156" i="15"/>
  <c r="X205" i="15"/>
  <c r="U426" i="15"/>
  <c r="BL205" i="15"/>
  <c r="W205" i="15"/>
  <c r="U205" i="15"/>
  <c r="V205" i="15"/>
  <c r="BT437" i="15"/>
  <c r="BT438" i="15"/>
  <c r="BT441" i="15"/>
  <c r="BT440" i="15"/>
  <c r="AG302" i="15"/>
  <c r="AG370" i="15"/>
  <c r="AG305" i="15"/>
  <c r="AG304" i="15"/>
  <c r="AG301" i="15"/>
  <c r="AG369" i="15"/>
  <c r="AG457" i="15"/>
  <c r="AG459" i="15"/>
  <c r="AG223" i="15"/>
  <c r="C1320" i="17"/>
  <c r="AG360" i="15"/>
  <c r="AG426" i="15"/>
  <c r="AJ205" i="15"/>
  <c r="AG205" i="15"/>
  <c r="AI205" i="15"/>
  <c r="AH205" i="15"/>
  <c r="BB352" i="15"/>
  <c r="BB417" i="15"/>
  <c r="BC151" i="15"/>
  <c r="BB156" i="15"/>
  <c r="BC156" i="15"/>
  <c r="N417" i="15"/>
  <c r="N352" i="15"/>
  <c r="N156" i="15"/>
  <c r="AM471" i="15"/>
  <c r="AM376" i="15"/>
  <c r="AT417" i="15"/>
  <c r="AT352" i="15"/>
  <c r="AU151" i="15"/>
  <c r="AT156" i="15"/>
  <c r="AU156" i="15"/>
  <c r="AL418" i="15"/>
  <c r="AL353" i="15"/>
  <c r="AL194" i="15"/>
  <c r="AL196" i="15"/>
  <c r="L352" i="15"/>
  <c r="L417" i="15"/>
  <c r="L156" i="15"/>
  <c r="AS417" i="15"/>
  <c r="AS352" i="15"/>
  <c r="AS152" i="15"/>
  <c r="AF352" i="15"/>
  <c r="AF417" i="15"/>
  <c r="AF156" i="15"/>
  <c r="AG156" i="15"/>
  <c r="AG151" i="15"/>
  <c r="AX352" i="15"/>
  <c r="AX417" i="15"/>
  <c r="AY151" i="15"/>
  <c r="AX156" i="15"/>
  <c r="AY156" i="15"/>
  <c r="AG397" i="15"/>
  <c r="AG396" i="15"/>
  <c r="AJ428" i="15"/>
  <c r="AG428" i="15"/>
  <c r="AH428" i="15"/>
  <c r="AI428" i="15"/>
  <c r="AK396" i="15"/>
  <c r="L1038" i="17"/>
  <c r="L1040" i="17"/>
  <c r="L418" i="15"/>
  <c r="L353" i="15"/>
  <c r="L194" i="15"/>
  <c r="L196" i="15"/>
  <c r="S353" i="15"/>
  <c r="S418" i="15"/>
  <c r="BN418" i="15"/>
  <c r="S194" i="15"/>
  <c r="S196" i="15"/>
  <c r="S197" i="15"/>
  <c r="AK472" i="15"/>
  <c r="AK375" i="15"/>
  <c r="AH457" i="15"/>
  <c r="AH459" i="15"/>
  <c r="AH302" i="15"/>
  <c r="AH370" i="15"/>
  <c r="AH360" i="15"/>
  <c r="C1267" i="17"/>
  <c r="AH301" i="15"/>
  <c r="AH369" i="15"/>
  <c r="AH305" i="15"/>
  <c r="AH223" i="15"/>
  <c r="AH304" i="15"/>
  <c r="AN472" i="15"/>
  <c r="AN375" i="15"/>
  <c r="BT429" i="15"/>
  <c r="AN443" i="15"/>
  <c r="AN444" i="15"/>
  <c r="L1092" i="17"/>
  <c r="L1090" i="17"/>
  <c r="AM472" i="15"/>
  <c r="AM375" i="15"/>
  <c r="U223" i="15"/>
  <c r="U457" i="15"/>
  <c r="U459" i="15"/>
  <c r="U360" i="15"/>
  <c r="U301" i="15"/>
  <c r="U369" i="15"/>
  <c r="U302" i="15"/>
  <c r="U370" i="15"/>
  <c r="U305" i="15"/>
  <c r="U304" i="15"/>
  <c r="BA304" i="15"/>
  <c r="BA223" i="15"/>
  <c r="C244" i="17"/>
  <c r="BA305" i="15"/>
  <c r="BA457" i="15"/>
  <c r="BA459" i="15"/>
  <c r="BA360" i="15"/>
  <c r="BA302" i="15"/>
  <c r="BA370" i="15"/>
  <c r="BA301" i="15"/>
  <c r="BA369" i="15"/>
  <c r="L925" i="17"/>
  <c r="L927" i="17"/>
  <c r="V301" i="15"/>
  <c r="V369" i="15"/>
  <c r="V223" i="15"/>
  <c r="V305" i="15"/>
  <c r="V302" i="15"/>
  <c r="V370" i="15"/>
  <c r="V360" i="15"/>
  <c r="V304" i="15"/>
  <c r="V457" i="15"/>
  <c r="V459" i="15"/>
  <c r="U335" i="15"/>
  <c r="U138" i="15"/>
  <c r="U399" i="15"/>
  <c r="U403" i="15"/>
  <c r="U409" i="15"/>
  <c r="U415" i="15"/>
  <c r="AF152" i="15"/>
  <c r="BF339" i="15"/>
  <c r="BF144" i="15"/>
  <c r="BF345" i="15"/>
  <c r="AJ301" i="15"/>
  <c r="AJ369" i="15"/>
  <c r="AJ360" i="15"/>
  <c r="AJ302" i="15"/>
  <c r="AJ370" i="15"/>
  <c r="C1162" i="17"/>
  <c r="AJ305" i="15"/>
  <c r="AJ223" i="15"/>
  <c r="AJ457" i="15"/>
  <c r="AJ459" i="15"/>
  <c r="AJ304" i="15"/>
  <c r="AW26" i="15"/>
  <c r="AW73" i="15"/>
  <c r="AX25" i="15"/>
  <c r="BH197" i="15"/>
  <c r="G199" i="15"/>
  <c r="H197" i="15"/>
  <c r="AL375" i="15"/>
  <c r="AL472" i="15"/>
  <c r="V415" i="15"/>
  <c r="BO415" i="15"/>
  <c r="BO409" i="15"/>
  <c r="AC156" i="15"/>
  <c r="O352" i="15"/>
  <c r="O417" i="15"/>
  <c r="O156" i="15"/>
  <c r="BB305" i="15"/>
  <c r="BB302" i="15"/>
  <c r="BB370" i="15"/>
  <c r="BB360" i="15"/>
  <c r="BB457" i="15"/>
  <c r="BB459" i="15"/>
  <c r="BB301" i="15"/>
  <c r="BB369" i="15"/>
  <c r="C192" i="17"/>
  <c r="BB223" i="15"/>
  <c r="BB304" i="15"/>
  <c r="BA138" i="15"/>
  <c r="BA399" i="15"/>
  <c r="BA403" i="15"/>
  <c r="BA409" i="15"/>
  <c r="BA415" i="15"/>
  <c r="BA335" i="15"/>
  <c r="W301" i="15"/>
  <c r="W369" i="15"/>
  <c r="W360" i="15"/>
  <c r="W304" i="15"/>
  <c r="W305" i="15"/>
  <c r="W457" i="15"/>
  <c r="W459" i="15"/>
  <c r="W302" i="15"/>
  <c r="W370" i="15"/>
  <c r="W223" i="15"/>
  <c r="BE108" i="15"/>
  <c r="BE134" i="15"/>
  <c r="BE395" i="15"/>
  <c r="BE116" i="15"/>
  <c r="BE529" i="15"/>
  <c r="BE111" i="15"/>
  <c r="BE333" i="15"/>
  <c r="BE331" i="15"/>
  <c r="BE113" i="15"/>
  <c r="BE110" i="15"/>
  <c r="BE332" i="15"/>
  <c r="BE204" i="15"/>
  <c r="BF204" i="15"/>
  <c r="C27" i="17" s="1"/>
  <c r="AG532" i="15"/>
  <c r="AG533" i="15"/>
  <c r="AG535" i="15"/>
  <c r="BY197" i="15"/>
  <c r="BY199" i="15"/>
  <c r="F199" i="15"/>
  <c r="BP197" i="15"/>
  <c r="BP199" i="15"/>
  <c r="AL471" i="15"/>
  <c r="AL376" i="15"/>
  <c r="W345" i="15"/>
  <c r="Z210" i="15"/>
  <c r="Z463" i="15"/>
  <c r="W150" i="15"/>
  <c r="O152" i="15"/>
  <c r="BC223" i="15"/>
  <c r="BC301" i="15"/>
  <c r="BC369" i="15"/>
  <c r="BC457" i="15"/>
  <c r="BC459" i="15"/>
  <c r="BC360" i="15"/>
  <c r="C138" i="17"/>
  <c r="BC302" i="15"/>
  <c r="BC370" i="15"/>
  <c r="BC304" i="15"/>
  <c r="BC305" i="15"/>
  <c r="C84" i="17"/>
  <c r="BD360" i="15"/>
  <c r="BD302" i="15"/>
  <c r="BD370" i="15"/>
  <c r="BD304" i="15"/>
  <c r="BD223" i="15"/>
  <c r="BD457" i="15"/>
  <c r="BD459" i="15"/>
  <c r="BD305" i="15"/>
  <c r="BD301" i="15"/>
  <c r="BD369" i="15"/>
  <c r="U396" i="15"/>
  <c r="U397" i="15"/>
  <c r="Y396" i="15"/>
  <c r="X428" i="15"/>
  <c r="V428" i="15"/>
  <c r="U428" i="15"/>
  <c r="W428" i="15"/>
  <c r="AR417" i="15"/>
  <c r="AR352" i="15"/>
  <c r="AR156" i="15"/>
  <c r="AS156" i="15" s="1"/>
  <c r="T152" i="15"/>
  <c r="V353" i="15"/>
  <c r="V418" i="15"/>
  <c r="V194" i="15"/>
  <c r="V196" i="15"/>
  <c r="W437" i="15"/>
  <c r="W440" i="15"/>
  <c r="W441" i="15"/>
  <c r="W450" i="15"/>
  <c r="W449" i="15"/>
  <c r="W438" i="15"/>
  <c r="AG470" i="15"/>
  <c r="AG372" i="15"/>
  <c r="BB458" i="15"/>
  <c r="BB361" i="15"/>
  <c r="BB308" i="15"/>
  <c r="BB307" i="15"/>
  <c r="U449" i="15"/>
  <c r="U437" i="15"/>
  <c r="U440" i="15"/>
  <c r="U441" i="15"/>
  <c r="U438" i="15"/>
  <c r="U450" i="15"/>
  <c r="BE301" i="15"/>
  <c r="BE369" i="15"/>
  <c r="BE223" i="15"/>
  <c r="BE457" i="15"/>
  <c r="BE459" i="15"/>
  <c r="BE360" i="15"/>
  <c r="BE302" i="15"/>
  <c r="BE370" i="15"/>
  <c r="BE305" i="15"/>
  <c r="BE304" i="15"/>
  <c r="AX26" i="15"/>
  <c r="AX73" i="15"/>
  <c r="AY25" i="15"/>
  <c r="BA372" i="15"/>
  <c r="BA470" i="15"/>
  <c r="AJ438" i="15"/>
  <c r="AJ441" i="15"/>
  <c r="AJ450" i="15"/>
  <c r="AJ449" i="15"/>
  <c r="AJ440" i="15"/>
  <c r="AJ437" i="15"/>
  <c r="AU417" i="15"/>
  <c r="AU352" i="15"/>
  <c r="AJ458" i="15"/>
  <c r="AJ361" i="15"/>
  <c r="AJ307" i="15"/>
  <c r="AJ308" i="15"/>
  <c r="AG373" i="15"/>
  <c r="AG469" i="15"/>
  <c r="W361" i="15"/>
  <c r="W458" i="15"/>
  <c r="W308" i="15"/>
  <c r="W307" i="15"/>
  <c r="BC449" i="15"/>
  <c r="BC450" i="15"/>
  <c r="BC441" i="15"/>
  <c r="BC438" i="15"/>
  <c r="BC437" i="15"/>
  <c r="BC440" i="15"/>
  <c r="X469" i="15"/>
  <c r="X373" i="15"/>
  <c r="BC458" i="15"/>
  <c r="BC361" i="15"/>
  <c r="BC308" i="15"/>
  <c r="BC307" i="15"/>
  <c r="BK151" i="15"/>
  <c r="BK152" i="15"/>
  <c r="BK194" i="15"/>
  <c r="BK196" i="15"/>
  <c r="I352" i="15"/>
  <c r="I417" i="15"/>
  <c r="I156" i="15"/>
  <c r="BK156" i="15"/>
  <c r="BL307" i="15"/>
  <c r="BL458" i="15"/>
  <c r="BL361" i="15"/>
  <c r="BL429" i="15"/>
  <c r="BL308" i="15"/>
  <c r="BB440" i="15"/>
  <c r="BB450" i="15"/>
  <c r="BB441" i="15"/>
  <c r="BB438" i="15"/>
  <c r="BB449" i="15"/>
  <c r="BB437" i="15"/>
  <c r="AI469" i="15"/>
  <c r="AI373" i="15"/>
  <c r="BL373" i="15"/>
  <c r="BL469" i="15"/>
  <c r="X316" i="15"/>
  <c r="C1701" i="17"/>
  <c r="C1699" i="17"/>
  <c r="X315" i="15"/>
  <c r="BD429" i="15"/>
  <c r="BB429" i="15"/>
  <c r="BC429" i="15"/>
  <c r="BA429" i="15"/>
  <c r="I418" i="15"/>
  <c r="I353" i="15"/>
  <c r="I194" i="15"/>
  <c r="I196" i="15"/>
  <c r="I197" i="15"/>
  <c r="I199" i="15"/>
  <c r="AM151" i="15"/>
  <c r="BS156" i="15"/>
  <c r="AM156" i="15"/>
  <c r="AG458" i="15"/>
  <c r="AG361" i="15"/>
  <c r="AG307" i="15"/>
  <c r="AG308" i="15"/>
  <c r="J122" i="17"/>
  <c r="E128" i="17"/>
  <c r="E130" i="17"/>
  <c r="AH372" i="15"/>
  <c r="AH470" i="15"/>
  <c r="AG417" i="15"/>
  <c r="AG352" i="15"/>
  <c r="BD470" i="15"/>
  <c r="BD372" i="15"/>
  <c r="C1275" i="17"/>
  <c r="C1273" i="17"/>
  <c r="AH316" i="15"/>
  <c r="AH315" i="15"/>
  <c r="BC417" i="15"/>
  <c r="BC352" i="15"/>
  <c r="BD151" i="15"/>
  <c r="BC152" i="15"/>
  <c r="X429" i="15"/>
  <c r="V429" i="15"/>
  <c r="U429" i="15"/>
  <c r="W429" i="15"/>
  <c r="C1222" i="17"/>
  <c r="C1220" i="17"/>
  <c r="AI315" i="15"/>
  <c r="AI316" i="15"/>
  <c r="BL438" i="15"/>
  <c r="BL441" i="15"/>
  <c r="BL440" i="15"/>
  <c r="BL437" i="15"/>
  <c r="BD458" i="15"/>
  <c r="BD307" i="15"/>
  <c r="BD308" i="15"/>
  <c r="BD361" i="15"/>
  <c r="BS444" i="15"/>
  <c r="BS443" i="15"/>
  <c r="BD469" i="15"/>
  <c r="BD373" i="15"/>
  <c r="W351" i="15"/>
  <c r="BE399" i="15"/>
  <c r="BE403" i="15"/>
  <c r="BE409" i="15"/>
  <c r="BE415" i="15"/>
  <c r="BE138" i="15"/>
  <c r="BE335" i="15"/>
  <c r="BH199" i="15"/>
  <c r="BI197" i="15"/>
  <c r="U315" i="15"/>
  <c r="U316" i="15"/>
  <c r="BA440" i="15"/>
  <c r="BA441" i="15"/>
  <c r="BA450" i="15"/>
  <c r="BA449" i="15"/>
  <c r="BA437" i="15"/>
  <c r="BA438" i="15"/>
  <c r="W315" i="15"/>
  <c r="W316" i="15"/>
  <c r="BA144" i="15"/>
  <c r="BA339" i="15"/>
  <c r="AJ372" i="15"/>
  <c r="AJ470" i="15"/>
  <c r="U469" i="15"/>
  <c r="U373" i="15"/>
  <c r="T353" i="15"/>
  <c r="T418" i="15"/>
  <c r="T194" i="15"/>
  <c r="T196" i="15"/>
  <c r="BB372" i="15"/>
  <c r="BB470" i="15"/>
  <c r="AH469" i="15"/>
  <c r="AH373" i="15"/>
  <c r="E1312" i="17"/>
  <c r="E1310" i="17"/>
  <c r="J1304" i="17"/>
  <c r="X307" i="15"/>
  <c r="X458" i="15"/>
  <c r="X361" i="15"/>
  <c r="X308" i="15"/>
  <c r="AV151" i="15"/>
  <c r="AI470" i="15"/>
  <c r="AI372" i="15"/>
  <c r="C241" i="17"/>
  <c r="C243" i="17"/>
  <c r="D239" i="17"/>
  <c r="D241" i="17"/>
  <c r="D243" i="17"/>
  <c r="BC470" i="15"/>
  <c r="BC372" i="15"/>
  <c r="BA316" i="15"/>
  <c r="BA315" i="15"/>
  <c r="C252" i="17"/>
  <c r="C250" i="17"/>
  <c r="AG449" i="15"/>
  <c r="AG440" i="15"/>
  <c r="AG438" i="15"/>
  <c r="AG450" i="15"/>
  <c r="AG437" i="15"/>
  <c r="AG441" i="15"/>
  <c r="BL470" i="15"/>
  <c r="BL372" i="15"/>
  <c r="C91" i="17"/>
  <c r="C90" i="17"/>
  <c r="BD316" i="15"/>
  <c r="BD315" i="15"/>
  <c r="AJ429" i="15"/>
  <c r="AG429" i="15"/>
  <c r="AH429" i="15"/>
  <c r="AI429" i="15"/>
  <c r="W373" i="15"/>
  <c r="W469" i="15"/>
  <c r="C200" i="17"/>
  <c r="C198" i="17"/>
  <c r="BB315" i="15"/>
  <c r="BB316" i="15"/>
  <c r="C1170" i="17"/>
  <c r="C1168" i="17"/>
  <c r="AJ315" i="15"/>
  <c r="AJ316" i="15"/>
  <c r="AF418" i="15"/>
  <c r="AF353" i="15"/>
  <c r="AF194" i="15"/>
  <c r="AF196" i="15"/>
  <c r="V469" i="15"/>
  <c r="V373" i="15"/>
  <c r="S199" i="15"/>
  <c r="T197" i="15"/>
  <c r="AG315" i="15"/>
  <c r="C1328" i="17"/>
  <c r="C1326" i="17"/>
  <c r="AG316" i="15"/>
  <c r="BD449" i="15"/>
  <c r="BD437" i="15"/>
  <c r="BD440" i="15"/>
  <c r="BD441" i="15"/>
  <c r="BD438" i="15"/>
  <c r="BD450" i="15"/>
  <c r="AU152" i="15"/>
  <c r="BL315" i="15"/>
  <c r="BL316" i="15"/>
  <c r="AC353" i="15"/>
  <c r="AC418" i="15"/>
  <c r="AC194" i="15"/>
  <c r="AC196" i="15"/>
  <c r="BF360" i="15"/>
  <c r="BF223" i="15"/>
  <c r="C34" i="17" s="1"/>
  <c r="BF457" i="15"/>
  <c r="BF302" i="15"/>
  <c r="BF370" i="15"/>
  <c r="BF305" i="15"/>
  <c r="BF301" i="15"/>
  <c r="BF369" i="15"/>
  <c r="BF304" i="15"/>
  <c r="U458" i="15"/>
  <c r="U361" i="15"/>
  <c r="U307" i="15"/>
  <c r="U308" i="15"/>
  <c r="V372" i="15"/>
  <c r="V470" i="15"/>
  <c r="X441" i="15"/>
  <c r="X450" i="15"/>
  <c r="X437" i="15"/>
  <c r="X440" i="15"/>
  <c r="X449" i="15"/>
  <c r="X438" i="15"/>
  <c r="BE426" i="15"/>
  <c r="BF205" i="15"/>
  <c r="BE205" i="15"/>
  <c r="J67" i="17"/>
  <c r="E76" i="17"/>
  <c r="E74" i="17"/>
  <c r="BE532" i="15"/>
  <c r="BE533" i="15"/>
  <c r="BE535" i="15"/>
  <c r="W470" i="15"/>
  <c r="W372" i="15"/>
  <c r="E182" i="17"/>
  <c r="J176" i="17"/>
  <c r="E184" i="17"/>
  <c r="J197" i="15"/>
  <c r="BZ197" i="15"/>
  <c r="BZ199" i="15"/>
  <c r="AD197" i="15"/>
  <c r="BQ197" i="15"/>
  <c r="BQ199" i="15"/>
  <c r="H199" i="15"/>
  <c r="AJ469" i="15"/>
  <c r="AJ373" i="15"/>
  <c r="V315" i="15"/>
  <c r="V316" i="15"/>
  <c r="BA469" i="15"/>
  <c r="BA373" i="15"/>
  <c r="J1251" i="17"/>
  <c r="E1257" i="17"/>
  <c r="E1259" i="17"/>
  <c r="AI441" i="15"/>
  <c r="BR428" i="15"/>
  <c r="AI438" i="15"/>
  <c r="AI449" i="15"/>
  <c r="AI437" i="15"/>
  <c r="AI450" i="15"/>
  <c r="AI440" i="15"/>
  <c r="AS418" i="15"/>
  <c r="AS353" i="15"/>
  <c r="AS194" i="15"/>
  <c r="AS196" i="15"/>
  <c r="AH361" i="15"/>
  <c r="AH458" i="15"/>
  <c r="AH307" i="15"/>
  <c r="AH308" i="15"/>
  <c r="X372" i="15"/>
  <c r="X470" i="15"/>
  <c r="V417" i="15"/>
  <c r="V352" i="15"/>
  <c r="W151" i="15"/>
  <c r="V156" i="15"/>
  <c r="W156" i="15"/>
  <c r="U417" i="15"/>
  <c r="U352" i="15"/>
  <c r="V437" i="15"/>
  <c r="V450" i="15"/>
  <c r="V441" i="15"/>
  <c r="V440" i="15"/>
  <c r="V449" i="15"/>
  <c r="V438" i="15"/>
  <c r="U470" i="15"/>
  <c r="U372" i="15"/>
  <c r="BB373" i="15"/>
  <c r="BB469" i="15"/>
  <c r="C146" i="17"/>
  <c r="C144" i="17"/>
  <c r="BC315" i="15"/>
  <c r="BC316" i="15"/>
  <c r="BC469" i="15"/>
  <c r="BC373" i="15"/>
  <c r="O418" i="15"/>
  <c r="O353" i="15"/>
  <c r="O194" i="15"/>
  <c r="O196" i="15"/>
  <c r="BE397" i="15"/>
  <c r="BE396" i="15"/>
  <c r="BE428" i="15"/>
  <c r="BF428" i="15"/>
  <c r="E1152" i="17"/>
  <c r="J1146" i="17"/>
  <c r="E1154" i="17"/>
  <c r="U144" i="15"/>
  <c r="U339" i="15"/>
  <c r="J228" i="17"/>
  <c r="E234" i="17"/>
  <c r="E236" i="17"/>
  <c r="BT443" i="15"/>
  <c r="BT444" i="15"/>
  <c r="AH437" i="15"/>
  <c r="AH438" i="15"/>
  <c r="AH440" i="15"/>
  <c r="AH441" i="15"/>
  <c r="AH450" i="15"/>
  <c r="AH449" i="15"/>
  <c r="AY417" i="15"/>
  <c r="AY352" i="15"/>
  <c r="AZ151" i="15"/>
  <c r="AY152" i="15"/>
  <c r="AI458" i="15"/>
  <c r="AI361" i="15"/>
  <c r="AI307" i="15"/>
  <c r="AI308" i="15"/>
  <c r="V308" i="15"/>
  <c r="V307" i="15"/>
  <c r="V361" i="15"/>
  <c r="V458" i="15"/>
  <c r="J1198" i="17"/>
  <c r="E1204" i="17"/>
  <c r="E1206" i="17"/>
  <c r="D1684" i="17"/>
  <c r="D1686" i="17"/>
  <c r="BA458" i="15"/>
  <c r="BA361" i="15"/>
  <c r="BA307" i="15"/>
  <c r="BA308" i="15"/>
  <c r="AG339" i="15"/>
  <c r="AG144" i="15"/>
  <c r="L1194" i="17"/>
  <c r="L1196" i="17"/>
  <c r="W417" i="15"/>
  <c r="BO417" i="15"/>
  <c r="W352" i="15"/>
  <c r="AV352" i="15"/>
  <c r="AV152" i="15"/>
  <c r="AV417" i="15"/>
  <c r="AV156" i="15"/>
  <c r="AW156" i="15"/>
  <c r="AW151" i="15"/>
  <c r="BL443" i="15"/>
  <c r="BL444" i="15"/>
  <c r="BB375" i="15"/>
  <c r="BB472" i="15"/>
  <c r="L224" i="17"/>
  <c r="L226" i="17"/>
  <c r="BR197" i="15"/>
  <c r="BR199" i="15"/>
  <c r="J199" i="15"/>
  <c r="K197" i="15"/>
  <c r="T199" i="15"/>
  <c r="AH444" i="15"/>
  <c r="AH443" i="15"/>
  <c r="X376" i="15"/>
  <c r="X471" i="15"/>
  <c r="BC194" i="15"/>
  <c r="BC196" i="15"/>
  <c r="BC418" i="15"/>
  <c r="BC353" i="15"/>
  <c r="BD444" i="15"/>
  <c r="BD443" i="15"/>
  <c r="AJ471" i="15"/>
  <c r="AJ376" i="15"/>
  <c r="BB376" i="15"/>
  <c r="BB471" i="15"/>
  <c r="BB444" i="15"/>
  <c r="BB443" i="15"/>
  <c r="BC471" i="15"/>
  <c r="BC376" i="15"/>
  <c r="BA375" i="15"/>
  <c r="BA472" i="15"/>
  <c r="BR438" i="15"/>
  <c r="BR437" i="15"/>
  <c r="BR441" i="15"/>
  <c r="BR440" i="15"/>
  <c r="AG443" i="15"/>
  <c r="AG444" i="15"/>
  <c r="BE144" i="15"/>
  <c r="BE339" i="15"/>
  <c r="BD352" i="15"/>
  <c r="BD417" i="15"/>
  <c r="BD156" i="15"/>
  <c r="BE151" i="15"/>
  <c r="BD152" i="15"/>
  <c r="L118" i="17"/>
  <c r="L120" i="17"/>
  <c r="AM352" i="15"/>
  <c r="AM417" i="15"/>
  <c r="AM152" i="15"/>
  <c r="AN151" i="15"/>
  <c r="BL375" i="15"/>
  <c r="BL472" i="15"/>
  <c r="AJ472" i="15"/>
  <c r="AJ375" i="15"/>
  <c r="BE470" i="15"/>
  <c r="BE372" i="15"/>
  <c r="BR429" i="15"/>
  <c r="AI444" i="15"/>
  <c r="AI443" i="15"/>
  <c r="X444" i="15"/>
  <c r="X443" i="15"/>
  <c r="W472" i="15"/>
  <c r="W375" i="15"/>
  <c r="BE373" i="15"/>
  <c r="BE469" i="15"/>
  <c r="BF316" i="15"/>
  <c r="BF315" i="15"/>
  <c r="BL210" i="15"/>
  <c r="BL463" i="15"/>
  <c r="U345" i="15"/>
  <c r="U150" i="15"/>
  <c r="X210" i="15"/>
  <c r="X463" i="15"/>
  <c r="W210" i="15"/>
  <c r="W463" i="15"/>
  <c r="U210" i="15"/>
  <c r="U463" i="15"/>
  <c r="V210" i="15"/>
  <c r="V463" i="15"/>
  <c r="L64" i="17"/>
  <c r="L66" i="17"/>
  <c r="BD376" i="15"/>
  <c r="BD471" i="15"/>
  <c r="AZ352" i="15"/>
  <c r="AZ417" i="15"/>
  <c r="AZ156" i="15"/>
  <c r="AZ152" i="15"/>
  <c r="BA151" i="15"/>
  <c r="BE458" i="15"/>
  <c r="BE361" i="15"/>
  <c r="BE307" i="15"/>
  <c r="BE308" i="15"/>
  <c r="X375" i="15"/>
  <c r="X472" i="15"/>
  <c r="BA345" i="15"/>
  <c r="BA150" i="15"/>
  <c r="BD210" i="15"/>
  <c r="BD463" i="15"/>
  <c r="BB210" i="15"/>
  <c r="BB463" i="15"/>
  <c r="BC210" i="15"/>
  <c r="BC463" i="15"/>
  <c r="BA210" i="15"/>
  <c r="BA463" i="15"/>
  <c r="BD472" i="15"/>
  <c r="BD375" i="15"/>
  <c r="AG375" i="15"/>
  <c r="AG472" i="15"/>
  <c r="W471" i="15"/>
  <c r="W376" i="15"/>
  <c r="X151" i="15"/>
  <c r="V376" i="15"/>
  <c r="V471" i="15"/>
  <c r="L1144" i="17"/>
  <c r="L1142" i="17"/>
  <c r="AH376" i="15"/>
  <c r="AH471" i="15"/>
  <c r="BF458" i="15"/>
  <c r="BF361" i="15"/>
  <c r="BF307" i="15"/>
  <c r="BF308" i="15"/>
  <c r="BF469" i="15"/>
  <c r="BF373" i="15"/>
  <c r="L1300" i="17"/>
  <c r="L1302" i="17"/>
  <c r="W152" i="15"/>
  <c r="W444" i="15"/>
  <c r="W443" i="15"/>
  <c r="L172" i="17"/>
  <c r="L174" i="17"/>
  <c r="BF372" i="15"/>
  <c r="BF470" i="15"/>
  <c r="AG376" i="15"/>
  <c r="AG471" i="15"/>
  <c r="V375" i="15"/>
  <c r="V472" i="15"/>
  <c r="AG150" i="15"/>
  <c r="AG345" i="15"/>
  <c r="AG210" i="15"/>
  <c r="AG463" i="15"/>
  <c r="BE429" i="15"/>
  <c r="BF429" i="15"/>
  <c r="U444" i="15"/>
  <c r="U443" i="15"/>
  <c r="BA443" i="15"/>
  <c r="BA444" i="15"/>
  <c r="BA376" i="15"/>
  <c r="BA471" i="15"/>
  <c r="BE440" i="15"/>
  <c r="BE450" i="15"/>
  <c r="BE438" i="15"/>
  <c r="BE441" i="15"/>
  <c r="BE449" i="15"/>
  <c r="BE437" i="15"/>
  <c r="U472" i="15"/>
  <c r="U375" i="15"/>
  <c r="AZ25" i="15"/>
  <c r="AY26" i="15"/>
  <c r="AY73" i="15"/>
  <c r="AY353" i="15"/>
  <c r="AY418" i="15"/>
  <c r="AY194" i="15"/>
  <c r="AY196" i="15"/>
  <c r="AJ444" i="15"/>
  <c r="AJ443" i="15"/>
  <c r="AI471" i="15"/>
  <c r="AI376" i="15"/>
  <c r="AH375" i="15"/>
  <c r="AH472" i="15"/>
  <c r="L1249" i="17"/>
  <c r="L1247" i="17"/>
  <c r="AI375" i="15"/>
  <c r="AI472" i="15"/>
  <c r="BF449" i="15"/>
  <c r="BF450" i="15"/>
  <c r="BF438" i="15"/>
  <c r="BF441" i="15"/>
  <c r="BF437" i="15"/>
  <c r="BF440" i="15"/>
  <c r="AD199" i="15"/>
  <c r="AE197" i="15"/>
  <c r="U471" i="15"/>
  <c r="U376" i="15"/>
  <c r="AU418" i="15"/>
  <c r="AU353" i="15"/>
  <c r="AU194" i="15"/>
  <c r="AU196" i="15"/>
  <c r="BJ197" i="15"/>
  <c r="BI199" i="15"/>
  <c r="V443" i="15"/>
  <c r="V444" i="15"/>
  <c r="BC444" i="15"/>
  <c r="BC443" i="15"/>
  <c r="BL376" i="15"/>
  <c r="BL471" i="15"/>
  <c r="BC375" i="15"/>
  <c r="BC472" i="15"/>
  <c r="BE316" i="15"/>
  <c r="BE315" i="15"/>
  <c r="BE444" i="15"/>
  <c r="BE443" i="15"/>
  <c r="BF376" i="15"/>
  <c r="BF471" i="15"/>
  <c r="BE352" i="15"/>
  <c r="BE417" i="15"/>
  <c r="BF472" i="15"/>
  <c r="BF375" i="15"/>
  <c r="BE376" i="15"/>
  <c r="BE471" i="15"/>
  <c r="AN417" i="15"/>
  <c r="AN352" i="15"/>
  <c r="AN156" i="15"/>
  <c r="AO156" i="15"/>
  <c r="AN152" i="15"/>
  <c r="AO151" i="15"/>
  <c r="BD418" i="15"/>
  <c r="BD353" i="15"/>
  <c r="BD194" i="15"/>
  <c r="BD196" i="15"/>
  <c r="BJ199" i="15"/>
  <c r="BK197" i="15"/>
  <c r="X156" i="15"/>
  <c r="Y156" i="15"/>
  <c r="X352" i="15"/>
  <c r="Y151" i="15"/>
  <c r="X417" i="15"/>
  <c r="X152" i="15"/>
  <c r="BE472" i="15"/>
  <c r="BE375" i="15"/>
  <c r="U152" i="15"/>
  <c r="U351" i="15"/>
  <c r="BR443" i="15"/>
  <c r="BR444" i="15"/>
  <c r="AM353" i="15"/>
  <c r="AM194" i="15"/>
  <c r="AM196" i="15"/>
  <c r="AM418" i="15"/>
  <c r="AV418" i="15"/>
  <c r="AV353" i="15"/>
  <c r="AV194" i="15"/>
  <c r="AV196" i="15"/>
  <c r="W418" i="15"/>
  <c r="BO418" i="15"/>
  <c r="W353" i="15"/>
  <c r="W194" i="15"/>
  <c r="W196" i="15"/>
  <c r="BT417" i="15"/>
  <c r="BS417" i="15"/>
  <c r="AE199" i="15"/>
  <c r="AF197" i="15"/>
  <c r="AG152" i="15"/>
  <c r="AG351" i="15"/>
  <c r="BA152" i="15"/>
  <c r="BA351" i="15"/>
  <c r="BA417" i="15"/>
  <c r="BA352" i="15"/>
  <c r="BE345" i="15"/>
  <c r="BE150" i="15"/>
  <c r="BE210" i="15"/>
  <c r="BE463" i="15"/>
  <c r="BA25" i="15"/>
  <c r="AZ26" i="15"/>
  <c r="AZ73" i="15"/>
  <c r="BF443" i="15"/>
  <c r="BF444" i="15"/>
  <c r="AZ353" i="15"/>
  <c r="AZ418" i="15"/>
  <c r="AZ194" i="15"/>
  <c r="AZ196" i="15"/>
  <c r="K199" i="15"/>
  <c r="L197" i="15"/>
  <c r="BS197" i="15"/>
  <c r="BS199" i="15"/>
  <c r="AW417" i="15"/>
  <c r="AW352" i="15"/>
  <c r="AW152" i="15"/>
  <c r="AF199" i="15"/>
  <c r="Y152" i="15"/>
  <c r="Y352" i="15"/>
  <c r="Y417" i="15"/>
  <c r="BB25" i="15"/>
  <c r="BA26" i="15"/>
  <c r="BA73" i="15"/>
  <c r="U353" i="15"/>
  <c r="U418" i="15"/>
  <c r="U194" i="15"/>
  <c r="U196" i="15"/>
  <c r="U197" i="15"/>
  <c r="BL197" i="15"/>
  <c r="BL199" i="15"/>
  <c r="BK199" i="15"/>
  <c r="BA353" i="15"/>
  <c r="BA418" i="15"/>
  <c r="BA194" i="15"/>
  <c r="BA196" i="15"/>
  <c r="BS418" i="15"/>
  <c r="AO352" i="15"/>
  <c r="AO417" i="15"/>
  <c r="BV417" i="15"/>
  <c r="AO152" i="15"/>
  <c r="X418" i="15"/>
  <c r="X353" i="15"/>
  <c r="X194" i="15"/>
  <c r="X196" i="15"/>
  <c r="BE152" i="15"/>
  <c r="BE351" i="15"/>
  <c r="AN353" i="15"/>
  <c r="AN194" i="15"/>
  <c r="AN196" i="15"/>
  <c r="AN418" i="15"/>
  <c r="BT418" i="15" s="1"/>
  <c r="AW418" i="15"/>
  <c r="AW194" i="15"/>
  <c r="AW196" i="15"/>
  <c r="AW353" i="15"/>
  <c r="BU417" i="15"/>
  <c r="L199" i="15"/>
  <c r="BT197" i="15"/>
  <c r="BT199" i="15"/>
  <c r="M197" i="15"/>
  <c r="AG353" i="15"/>
  <c r="AG418" i="15"/>
  <c r="AG194" i="15"/>
  <c r="AG196" i="15"/>
  <c r="AG197" i="15"/>
  <c r="AG199" i="15"/>
  <c r="BB26" i="15"/>
  <c r="BB73" i="15"/>
  <c r="BC25" i="15"/>
  <c r="N197" i="15"/>
  <c r="M199" i="15"/>
  <c r="BU197" i="15"/>
  <c r="BU199" i="15"/>
  <c r="AO353" i="15"/>
  <c r="AO418" i="15"/>
  <c r="BV418" i="15"/>
  <c r="AO194" i="15"/>
  <c r="AO196" i="15"/>
  <c r="Y418" i="15"/>
  <c r="Y353" i="15"/>
  <c r="Y194" i="15"/>
  <c r="Y196" i="15"/>
  <c r="BE418" i="15"/>
  <c r="BE353" i="15"/>
  <c r="BE194" i="15"/>
  <c r="BE196" i="15"/>
  <c r="V197" i="15"/>
  <c r="U199" i="15"/>
  <c r="O197" i="15"/>
  <c r="N199" i="15"/>
  <c r="BV197" i="15"/>
  <c r="BV199" i="15"/>
  <c r="BD25" i="15"/>
  <c r="BC26" i="15"/>
  <c r="BC73" i="15"/>
  <c r="BU418" i="15"/>
  <c r="W197" i="15"/>
  <c r="V199" i="15"/>
  <c r="W199" i="15"/>
  <c r="X197" i="15"/>
  <c r="BE25" i="15"/>
  <c r="BD26" i="15"/>
  <c r="BD73" i="15"/>
  <c r="P197" i="15"/>
  <c r="P199" i="15"/>
  <c r="BW197" i="15"/>
  <c r="BW199" i="15"/>
  <c r="O199" i="15"/>
  <c r="BF25" i="15"/>
  <c r="BF26" i="15"/>
  <c r="BF73" i="15"/>
  <c r="BE26" i="15"/>
  <c r="BE73" i="15"/>
  <c r="X199" i="15"/>
  <c r="Y197" i="15"/>
  <c r="Y199" i="15"/>
  <c r="Z197" i="15"/>
  <c r="Z199" i="15"/>
  <c r="AA197" i="15"/>
  <c r="AA199" i="15"/>
  <c r="AB197" i="15"/>
  <c r="AB199" i="15"/>
  <c r="AC197" i="15"/>
  <c r="AC199" i="15"/>
  <c r="D51" i="17"/>
  <c r="E17" i="17"/>
  <c r="C26" i="17"/>
  <c r="AD124" i="19"/>
  <c r="K541" i="15"/>
  <c r="K494" i="15"/>
  <c r="AM486" i="15"/>
  <c r="BE134" i="19"/>
  <c r="AE512" i="15"/>
  <c r="AD117" i="19"/>
  <c r="AE117" i="19"/>
  <c r="AS119" i="19"/>
  <c r="AS118" i="19"/>
  <c r="BE121" i="19"/>
  <c r="BI112" i="19"/>
  <c r="R485" i="15"/>
  <c r="Y488" i="15"/>
  <c r="Y511" i="15"/>
  <c r="X511" i="15"/>
  <c r="J511" i="15"/>
  <c r="AM135" i="19"/>
  <c r="AO113" i="19"/>
  <c r="AP508" i="15"/>
  <c r="AP515" i="15"/>
  <c r="AP516" i="15"/>
  <c r="AP492" i="15"/>
  <c r="BE116" i="19"/>
  <c r="AL145" i="19"/>
  <c r="AL146" i="19"/>
  <c r="AO134" i="19"/>
  <c r="AD510" i="15"/>
  <c r="K508" i="15"/>
  <c r="K515" i="15"/>
  <c r="K516" i="15"/>
  <c r="L512" i="15"/>
  <c r="AJ120" i="19"/>
  <c r="Z492" i="15"/>
  <c r="Z508" i="15"/>
  <c r="Z515" i="15"/>
  <c r="Z516" i="15"/>
  <c r="V511" i="15"/>
  <c r="AD121" i="19"/>
  <c r="AE121" i="19"/>
  <c r="AW487" i="15"/>
  <c r="AW510" i="15"/>
  <c r="AU510" i="15"/>
  <c r="BW509" i="15"/>
  <c r="F508" i="15"/>
  <c r="F515" i="15"/>
  <c r="F516" i="15"/>
  <c r="F492" i="15"/>
  <c r="BH118" i="19"/>
  <c r="BD486" i="15"/>
  <c r="BI121" i="19"/>
  <c r="BI118" i="19" s="1"/>
  <c r="BS492" i="15"/>
  <c r="BS509" i="15"/>
  <c r="BS515" i="15"/>
  <c r="BS516" i="15"/>
  <c r="N509" i="15"/>
  <c r="O511" i="15"/>
  <c r="H541" i="15"/>
  <c r="AD492" i="15"/>
  <c r="AD508" i="15"/>
  <c r="AD515" i="15"/>
  <c r="AD516" i="15"/>
  <c r="BU509" i="15"/>
  <c r="BA121" i="19"/>
  <c r="P508" i="15"/>
  <c r="P515" i="15" s="1"/>
  <c r="P516" i="15"/>
  <c r="P492" i="15"/>
  <c r="BC145" i="19"/>
  <c r="BC146" i="19"/>
  <c r="V116" i="19"/>
  <c r="Z113" i="19"/>
  <c r="Z115" i="19"/>
  <c r="AH124" i="19"/>
  <c r="AI124" i="19"/>
  <c r="AJ124" i="19"/>
  <c r="Z121" i="19"/>
  <c r="AN113" i="19"/>
  <c r="BJ145" i="19"/>
  <c r="BJ146" i="19"/>
  <c r="BF485" i="15"/>
  <c r="R508" i="15"/>
  <c r="AP494" i="15"/>
  <c r="AP541" i="15"/>
  <c r="AN135" i="19"/>
  <c r="AN145" i="19"/>
  <c r="AN146" i="19"/>
  <c r="AD494" i="15"/>
  <c r="AD541" i="15"/>
  <c r="F541" i="15"/>
  <c r="F570" i="15"/>
  <c r="F494" i="15"/>
  <c r="F493" i="15"/>
  <c r="P494" i="15"/>
  <c r="P541" i="15"/>
  <c r="P553" i="15"/>
  <c r="BS541" i="15"/>
  <c r="BS570" i="15"/>
  <c r="BS494" i="15"/>
  <c r="AM509" i="15"/>
  <c r="H553" i="15"/>
  <c r="H570" i="15"/>
  <c r="H544" i="15"/>
  <c r="H572" i="15"/>
  <c r="Z541" i="15"/>
  <c r="Z553" i="15"/>
  <c r="Z565" i="15"/>
  <c r="Z494" i="15"/>
  <c r="AO135" i="19"/>
  <c r="K570" i="15"/>
  <c r="K544" i="15"/>
  <c r="K572" i="15"/>
  <c r="K553" i="15"/>
  <c r="K565" i="15"/>
  <c r="BF508" i="15"/>
  <c r="BF515" i="15"/>
  <c r="BF516" i="15"/>
  <c r="BF492" i="15"/>
  <c r="BF494" i="15"/>
  <c r="H565" i="15"/>
  <c r="H556" i="15"/>
  <c r="H567" i="15"/>
  <c r="P544" i="15"/>
  <c r="P572" i="15"/>
  <c r="F553" i="15"/>
  <c r="F556" i="15"/>
  <c r="F544" i="15"/>
  <c r="F572" i="15"/>
  <c r="AF488" i="15"/>
  <c r="K556" i="15"/>
  <c r="K567" i="15"/>
  <c r="AD544" i="15"/>
  <c r="AD572" i="15"/>
  <c r="AD570" i="15"/>
  <c r="AD553" i="15"/>
  <c r="AD556" i="15"/>
  <c r="AD567" i="15"/>
  <c r="Z544" i="15"/>
  <c r="Z572" i="15"/>
  <c r="BS553" i="15"/>
  <c r="BS544" i="15"/>
  <c r="BS572" i="15"/>
  <c r="AP544" i="15"/>
  <c r="AP572" i="15"/>
  <c r="AP553" i="15"/>
  <c r="AP570" i="15"/>
  <c r="BF541" i="15"/>
  <c r="Z556" i="15"/>
  <c r="Z567" i="15"/>
  <c r="F567" i="15"/>
  <c r="F565" i="15"/>
  <c r="AF511" i="15"/>
  <c r="BS565" i="15"/>
  <c r="BS556" i="15"/>
  <c r="BS567" i="15"/>
  <c r="AP565" i="15"/>
  <c r="AP556" i="15"/>
  <c r="AP567" i="15"/>
  <c r="BF544" i="15"/>
  <c r="BF572" i="15"/>
  <c r="D17" i="17"/>
  <c r="D26" i="17"/>
  <c r="K7" i="17"/>
  <c r="C29" i="17"/>
  <c r="BF409" i="15"/>
  <c r="BF415" i="15"/>
  <c r="BF150" i="15"/>
  <c r="BF351" i="15"/>
  <c r="BF210" i="15"/>
  <c r="BF463" i="15"/>
  <c r="AO120" i="19"/>
  <c r="AO118" i="19"/>
  <c r="AM118" i="19"/>
  <c r="AJ486" i="15"/>
  <c r="AT488" i="15"/>
  <c r="AT511" i="15"/>
  <c r="AY124" i="19"/>
  <c r="BU492" i="15"/>
  <c r="BU508" i="15"/>
  <c r="BU515" i="15"/>
  <c r="BU516" i="15"/>
  <c r="BA122" i="19"/>
  <c r="BA118" i="19"/>
  <c r="AZ118" i="19"/>
  <c r="AV486" i="15"/>
  <c r="AD565" i="15"/>
  <c r="BD509" i="15"/>
  <c r="BE486" i="15"/>
  <c r="BE509" i="15"/>
  <c r="AZ511" i="15"/>
  <c r="BA488" i="15"/>
  <c r="BA511" i="15"/>
  <c r="BF570" i="15"/>
  <c r="BF553" i="15"/>
  <c r="P565" i="15"/>
  <c r="P556" i="15"/>
  <c r="P567" i="15"/>
  <c r="AC488" i="15"/>
  <c r="AC511" i="15"/>
  <c r="AB511" i="15"/>
  <c r="P570" i="15"/>
  <c r="AE488" i="15"/>
  <c r="BT515" i="15"/>
  <c r="BT516" i="15"/>
  <c r="O145" i="19"/>
  <c r="O146" i="19"/>
  <c r="BA134" i="19"/>
  <c r="BH113" i="19"/>
  <c r="BG111" i="19"/>
  <c r="S486" i="15"/>
  <c r="S509" i="15"/>
  <c r="AQ489" i="15"/>
  <c r="AQ512" i="15"/>
  <c r="AV125" i="19"/>
  <c r="BT492" i="15"/>
  <c r="N488" i="15"/>
  <c r="O128" i="19"/>
  <c r="O129" i="19"/>
  <c r="O512" i="15"/>
  <c r="AK487" i="15"/>
  <c r="AK510" i="15"/>
  <c r="AI510" i="15"/>
  <c r="AW121" i="19"/>
  <c r="AW118" i="19"/>
  <c r="AV118" i="19"/>
  <c r="AR486" i="15"/>
  <c r="T485" i="15"/>
  <c r="AU128" i="19"/>
  <c r="AU129" i="19"/>
  <c r="AQ485" i="15"/>
  <c r="I508" i="15"/>
  <c r="I515" i="15"/>
  <c r="I516" i="15"/>
  <c r="I492" i="15"/>
  <c r="M128" i="19"/>
  <c r="M129" i="19"/>
  <c r="L487" i="15"/>
  <c r="AY487" i="15"/>
  <c r="BE123" i="19"/>
  <c r="BD510" i="15"/>
  <c r="BE487" i="15"/>
  <c r="BE510" i="15"/>
  <c r="Z570" i="15"/>
  <c r="AB510" i="15"/>
  <c r="AC487" i="15"/>
  <c r="AC510" i="15"/>
  <c r="AV123" i="19"/>
  <c r="AQ487" i="15"/>
  <c r="AQ510" i="15"/>
  <c r="S508" i="15"/>
  <c r="AX508" i="15"/>
  <c r="AW116" i="19"/>
  <c r="AW111" i="19"/>
  <c r="AV111" i="19"/>
  <c r="K128" i="19"/>
  <c r="K129" i="19"/>
  <c r="J486" i="15"/>
  <c r="AE112" i="19"/>
  <c r="AD112" i="19"/>
  <c r="Y112" i="19"/>
  <c r="Y111" i="19"/>
  <c r="W111" i="19"/>
  <c r="AQ161" i="19"/>
  <c r="AS152" i="19"/>
  <c r="AS161" i="19"/>
  <c r="BB485" i="15"/>
  <c r="BF128" i="19"/>
  <c r="BF129" i="19"/>
  <c r="AI123" i="19"/>
  <c r="AE487" i="15"/>
  <c r="AE510" i="15"/>
  <c r="AJ125" i="19"/>
  <c r="AF489" i="15"/>
  <c r="W118" i="19"/>
  <c r="V486" i="15"/>
  <c r="V509" i="15"/>
  <c r="Y120" i="19"/>
  <c r="Z120" i="19"/>
  <c r="Z118" i="19"/>
  <c r="O486" i="15"/>
  <c r="P128" i="19"/>
  <c r="P129" i="19"/>
  <c r="BV494" i="15"/>
  <c r="BV541" i="15"/>
  <c r="BP486" i="15"/>
  <c r="BN128" i="19"/>
  <c r="BN129" i="19"/>
  <c r="G508" i="15"/>
  <c r="G515" i="15"/>
  <c r="G516" i="15"/>
  <c r="G492" i="15"/>
  <c r="BD118" i="19"/>
  <c r="AZ486" i="15"/>
  <c r="AZ509" i="15"/>
  <c r="BE120" i="19"/>
  <c r="BE118" i="19"/>
  <c r="AS488" i="15"/>
  <c r="AS511" i="15"/>
  <c r="AI135" i="19"/>
  <c r="AW151" i="19"/>
  <c r="AW161" i="19"/>
  <c r="AU161" i="19"/>
  <c r="BQ487" i="15"/>
  <c r="BO128" i="19"/>
  <c r="BO129" i="19"/>
  <c r="R488" i="15"/>
  <c r="R511" i="15"/>
  <c r="T124" i="19"/>
  <c r="BS145" i="19"/>
  <c r="BS146" i="19"/>
  <c r="AY136" i="19"/>
  <c r="BA136" i="19"/>
  <c r="AL487" i="15"/>
  <c r="AQ123" i="19"/>
  <c r="O161" i="19"/>
  <c r="BA150" i="19"/>
  <c r="BA161" i="19"/>
  <c r="BG124" i="19"/>
  <c r="BU128" i="19"/>
  <c r="BU129" i="19"/>
  <c r="BW488" i="15"/>
  <c r="W485" i="15"/>
  <c r="AD125" i="19"/>
  <c r="AB489" i="15"/>
  <c r="AB512" i="15"/>
  <c r="AE125" i="19"/>
  <c r="AO114" i="19"/>
  <c r="AM136" i="19"/>
  <c r="AB118" i="19"/>
  <c r="AA486" i="15"/>
  <c r="AA509" i="15"/>
  <c r="AC119" i="19"/>
  <c r="AH111" i="19"/>
  <c r="AI114" i="19"/>
  <c r="AI111" i="19" s="1"/>
  <c r="V117" i="19"/>
  <c r="V111" i="19"/>
  <c r="BZ486" i="15"/>
  <c r="BW128" i="19"/>
  <c r="BW129" i="19"/>
  <c r="AR125" i="19"/>
  <c r="AM489" i="15"/>
  <c r="AM512" i="15"/>
  <c r="AU134" i="19"/>
  <c r="AT145" i="19"/>
  <c r="AT146" i="19"/>
  <c r="BD150" i="19"/>
  <c r="BC161" i="19"/>
  <c r="L128" i="19"/>
  <c r="L129" i="19"/>
  <c r="AZ125" i="19"/>
  <c r="AH118" i="19"/>
  <c r="AE486" i="15"/>
  <c r="AE509" i="15"/>
  <c r="AI122" i="19"/>
  <c r="U121" i="19"/>
  <c r="U118" i="19"/>
  <c r="T486" i="15"/>
  <c r="T509" i="15"/>
  <c r="S118" i="19"/>
  <c r="AW491" i="15"/>
  <c r="AW514" i="15"/>
  <c r="N514" i="15"/>
  <c r="BA123" i="19"/>
  <c r="Z116" i="19"/>
  <c r="AH488" i="15"/>
  <c r="AH511" i="15"/>
  <c r="AL124" i="19"/>
  <c r="BR486" i="15"/>
  <c r="BP128" i="19"/>
  <c r="BP129" i="19"/>
  <c r="AN117" i="19"/>
  <c r="AN111" i="19"/>
  <c r="AM117" i="19"/>
  <c r="AP145" i="19"/>
  <c r="AP146" i="19"/>
  <c r="AQ134" i="19"/>
  <c r="AQ145" i="19"/>
  <c r="AQ146" i="19"/>
  <c r="AJ161" i="19"/>
  <c r="AT485" i="15"/>
  <c r="AX128" i="19"/>
  <c r="AX129" i="19"/>
  <c r="BE135" i="19"/>
  <c r="BE145" i="19"/>
  <c r="BE146" i="19"/>
  <c r="P145" i="19"/>
  <c r="P146" i="19"/>
  <c r="BD489" i="15"/>
  <c r="BI125" i="19"/>
  <c r="Z124" i="19"/>
  <c r="AJ512" i="15"/>
  <c r="AK489" i="15"/>
  <c r="AK512" i="15"/>
  <c r="AH485" i="15"/>
  <c r="AK128" i="19"/>
  <c r="AK129" i="19"/>
  <c r="F128" i="19"/>
  <c r="F129" i="19"/>
  <c r="BC60" i="19"/>
  <c r="BD114" i="19"/>
  <c r="BC111" i="19"/>
  <c r="BE490" i="15"/>
  <c r="BE513" i="15"/>
  <c r="BD513" i="15"/>
  <c r="AC113" i="19"/>
  <c r="AB111" i="19"/>
  <c r="AL60" i="19"/>
  <c r="AU135" i="19"/>
  <c r="AW135" i="19"/>
  <c r="BR145" i="19"/>
  <c r="BR146" i="19"/>
  <c r="AZ113" i="19"/>
  <c r="AY111" i="19"/>
  <c r="BC125" i="19"/>
  <c r="AX489" i="15"/>
  <c r="AX512" i="15"/>
  <c r="X123" i="19"/>
  <c r="V119" i="19"/>
  <c r="U485" i="15"/>
  <c r="I494" i="15"/>
  <c r="I493" i="15"/>
  <c r="I541" i="15"/>
  <c r="AR489" i="15"/>
  <c r="AW125" i="19"/>
  <c r="AD113" i="19"/>
  <c r="AD111" i="19"/>
  <c r="AE113" i="19"/>
  <c r="AC111" i="19"/>
  <c r="BC488" i="15"/>
  <c r="BC511" i="15"/>
  <c r="BH124" i="19"/>
  <c r="BP509" i="15"/>
  <c r="BP515" i="15"/>
  <c r="BP516" i="15"/>
  <c r="BP492" i="15"/>
  <c r="AE111" i="19"/>
  <c r="BU541" i="15"/>
  <c r="BU494" i="15"/>
  <c r="AO117" i="19"/>
  <c r="AO111" i="19"/>
  <c r="AM111" i="19"/>
  <c r="AS125" i="19"/>
  <c r="AN489" i="15"/>
  <c r="AO136" i="19"/>
  <c r="AO145" i="19"/>
  <c r="AO146" i="19"/>
  <c r="AM145" i="19"/>
  <c r="AM146" i="19"/>
  <c r="S488" i="15"/>
  <c r="S511" i="15"/>
  <c r="S515" i="15" s="1"/>
  <c r="S516" i="15" s="1"/>
  <c r="U124" i="19"/>
  <c r="T488" i="15"/>
  <c r="T511" i="15"/>
  <c r="AJ135" i="19"/>
  <c r="S492" i="15"/>
  <c r="BD125" i="19"/>
  <c r="AY489" i="15"/>
  <c r="AY512" i="15"/>
  <c r="AC489" i="15"/>
  <c r="AC512" i="15"/>
  <c r="AH508" i="15"/>
  <c r="AH515" i="15"/>
  <c r="AH516" i="15"/>
  <c r="AH492" i="15"/>
  <c r="R486" i="15"/>
  <c r="S128" i="19"/>
  <c r="S129" i="19"/>
  <c r="BZ509" i="15"/>
  <c r="BZ515" i="15"/>
  <c r="BZ516" i="15"/>
  <c r="BZ492" i="15"/>
  <c r="AF512" i="15"/>
  <c r="AG489" i="15"/>
  <c r="AG512" i="15"/>
  <c r="BB492" i="15"/>
  <c r="BB508" i="15"/>
  <c r="BB515" i="15"/>
  <c r="BB516" i="15"/>
  <c r="J509" i="15"/>
  <c r="J515" i="15"/>
  <c r="J516" i="15"/>
  <c r="J492" i="15"/>
  <c r="AQ492" i="15"/>
  <c r="AQ508" i="15"/>
  <c r="AQ515" i="15"/>
  <c r="AQ516" i="15"/>
  <c r="T128" i="19"/>
  <c r="T129" i="19"/>
  <c r="AY145" i="19"/>
  <c r="AY146" i="19"/>
  <c r="AU488" i="15"/>
  <c r="AU511" i="15"/>
  <c r="AZ124" i="19"/>
  <c r="Y123" i="19"/>
  <c r="X487" i="15"/>
  <c r="W487" i="15"/>
  <c r="W510" i="15"/>
  <c r="BE150" i="19"/>
  <c r="BE161" i="19"/>
  <c r="BD161" i="19"/>
  <c r="BV553" i="15"/>
  <c r="BV544" i="15"/>
  <c r="BV572" i="15"/>
  <c r="BV570" i="15"/>
  <c r="AR487" i="15"/>
  <c r="AW123" i="19"/>
  <c r="AN124" i="19"/>
  <c r="AN128" i="19"/>
  <c r="AN129" i="19"/>
  <c r="AL128" i="19"/>
  <c r="AL129" i="19"/>
  <c r="AI488" i="15"/>
  <c r="AM124" i="19"/>
  <c r="AJ114" i="19"/>
  <c r="AJ111" i="19"/>
  <c r="AI136" i="19"/>
  <c r="AJ136" i="19"/>
  <c r="AQ128" i="19"/>
  <c r="AQ129" i="19"/>
  <c r="AR123" i="19"/>
  <c r="AM487" i="15"/>
  <c r="BQ510" i="15"/>
  <c r="BQ515" i="15"/>
  <c r="BQ516" i="15"/>
  <c r="BQ492" i="15"/>
  <c r="AR485" i="15"/>
  <c r="AV128" i="19"/>
  <c r="AV129" i="19"/>
  <c r="AY510" i="15"/>
  <c r="BA487" i="15"/>
  <c r="BA510" i="15"/>
  <c r="BF565" i="15"/>
  <c r="BF556" i="15"/>
  <c r="BF567" i="15"/>
  <c r="AJ509" i="15"/>
  <c r="AK486" i="15"/>
  <c r="AK509" i="15"/>
  <c r="AA485" i="15"/>
  <c r="AB128" i="19"/>
  <c r="AB129" i="19"/>
  <c r="BD512" i="15"/>
  <c r="BE489" i="15"/>
  <c r="BE512" i="15"/>
  <c r="BR509" i="15"/>
  <c r="BR515" i="15"/>
  <c r="BR516" i="15"/>
  <c r="BR492" i="15"/>
  <c r="V121" i="19"/>
  <c r="V118" i="19"/>
  <c r="AY485" i="15"/>
  <c r="BC128" i="19"/>
  <c r="BC129" i="19"/>
  <c r="Y118" i="19"/>
  <c r="X486" i="15"/>
  <c r="AJ122" i="19"/>
  <c r="AJ118" i="19"/>
  <c r="AI118" i="19"/>
  <c r="AF486" i="15"/>
  <c r="AF509" i="15"/>
  <c r="AU145" i="19"/>
  <c r="AU146" i="19"/>
  <c r="AW134" i="19"/>
  <c r="AW145" i="19"/>
  <c r="AW146" i="19"/>
  <c r="AE485" i="15"/>
  <c r="AH128" i="19"/>
  <c r="AH129" i="19"/>
  <c r="X128" i="19"/>
  <c r="X129" i="19"/>
  <c r="AL510" i="15"/>
  <c r="AL515" i="15"/>
  <c r="AL516" i="15"/>
  <c r="AL492" i="15"/>
  <c r="G494" i="15"/>
  <c r="G541" i="15"/>
  <c r="H493" i="15"/>
  <c r="G493" i="15"/>
  <c r="AJ123" i="19"/>
  <c r="AF487" i="15"/>
  <c r="Z112" i="19"/>
  <c r="Z111" i="19"/>
  <c r="AW128" i="19"/>
  <c r="AW129" i="19"/>
  <c r="T508" i="15"/>
  <c r="BC485" i="15"/>
  <c r="BG128" i="19"/>
  <c r="BG129" i="19"/>
  <c r="AE511" i="15"/>
  <c r="AG488" i="15"/>
  <c r="AG511" i="15"/>
  <c r="AZ135" i="19"/>
  <c r="AZ111" i="19"/>
  <c r="BA113" i="19"/>
  <c r="BA111" i="19"/>
  <c r="AT508" i="15"/>
  <c r="AT515" i="15"/>
  <c r="AT516" i="15"/>
  <c r="AT492" i="15"/>
  <c r="BE114" i="19"/>
  <c r="BE111" i="19"/>
  <c r="BD111" i="19"/>
  <c r="AS134" i="19"/>
  <c r="AS145" i="19"/>
  <c r="AS146" i="19"/>
  <c r="AD119" i="19"/>
  <c r="AD118" i="19"/>
  <c r="AD128" i="19" s="1"/>
  <c r="AD129" i="19" s="1"/>
  <c r="AE119" i="19"/>
  <c r="AE118" i="19"/>
  <c r="AC118" i="19"/>
  <c r="AB486" i="15"/>
  <c r="W508" i="15"/>
  <c r="W515" i="15"/>
  <c r="W516" i="15"/>
  <c r="W492" i="15"/>
  <c r="O509" i="15"/>
  <c r="O515" i="15"/>
  <c r="O516" i="15"/>
  <c r="O492" i="15"/>
  <c r="BA486" i="15"/>
  <c r="BA509" i="15"/>
  <c r="V485" i="15"/>
  <c r="W128" i="19"/>
  <c r="W129" i="19"/>
  <c r="AX515" i="15"/>
  <c r="AX516" i="15"/>
  <c r="L510" i="15"/>
  <c r="L515" i="15"/>
  <c r="L516" i="15"/>
  <c r="L492" i="15"/>
  <c r="AS486" i="15"/>
  <c r="AS509" i="15"/>
  <c r="AR509" i="15"/>
  <c r="N511" i="15"/>
  <c r="N515" i="15"/>
  <c r="N516" i="15"/>
  <c r="N492" i="15"/>
  <c r="BI113" i="19"/>
  <c r="BI111" i="19"/>
  <c r="BH111" i="19"/>
  <c r="AV509" i="15"/>
  <c r="AW486" i="15"/>
  <c r="AW509" i="15"/>
  <c r="AU485" i="15"/>
  <c r="AY128" i="19"/>
  <c r="AY129" i="19"/>
  <c r="AV489" i="15"/>
  <c r="BA125" i="19"/>
  <c r="BW511" i="15"/>
  <c r="BW515" i="15"/>
  <c r="BW516" i="15"/>
  <c r="BW492" i="15"/>
  <c r="AF485" i="15"/>
  <c r="AI128" i="19"/>
  <c r="AI129" i="19"/>
  <c r="X485" i="15"/>
  <c r="AX492" i="15"/>
  <c r="BT541" i="15"/>
  <c r="BT494" i="15"/>
  <c r="U486" i="15"/>
  <c r="U509" i="15"/>
  <c r="BT544" i="15"/>
  <c r="BT572" i="15"/>
  <c r="BT553" i="15"/>
  <c r="BT570" i="15"/>
  <c r="AF508" i="15"/>
  <c r="AG485" i="15"/>
  <c r="AF492" i="15"/>
  <c r="AV488" i="15"/>
  <c r="BA124" i="19"/>
  <c r="AG487" i="15"/>
  <c r="AG510" i="15"/>
  <c r="AF510" i="15"/>
  <c r="AA492" i="15"/>
  <c r="AA508" i="15"/>
  <c r="AA515" i="15"/>
  <c r="AA516" i="15"/>
  <c r="AJ128" i="19"/>
  <c r="AJ129" i="19"/>
  <c r="AH494" i="15"/>
  <c r="AH541" i="15"/>
  <c r="AI145" i="19"/>
  <c r="AI146" i="19"/>
  <c r="V508" i="15"/>
  <c r="V515" i="15"/>
  <c r="V516" i="15"/>
  <c r="V492" i="15"/>
  <c r="BA135" i="19"/>
  <c r="BA145" i="19"/>
  <c r="BA146" i="19"/>
  <c r="AZ145" i="19"/>
  <c r="AZ146" i="19"/>
  <c r="X509" i="15"/>
  <c r="Y486" i="15"/>
  <c r="Y509" i="15"/>
  <c r="R492" i="15"/>
  <c r="R509" i="15"/>
  <c r="R515" i="15"/>
  <c r="R516" i="15"/>
  <c r="AN512" i="15"/>
  <c r="AO489" i="15"/>
  <c r="AO512" i="15"/>
  <c r="BP494" i="15"/>
  <c r="BP541" i="15"/>
  <c r="BW494" i="15"/>
  <c r="BW541" i="15"/>
  <c r="O494" i="15"/>
  <c r="O493" i="15"/>
  <c r="O541" i="15"/>
  <c r="P493" i="15"/>
  <c r="BD128" i="19"/>
  <c r="BD129" i="19"/>
  <c r="AZ485" i="15"/>
  <c r="AY508" i="15"/>
  <c r="AY515" i="15"/>
  <c r="AY516" i="15"/>
  <c r="AY492" i="15"/>
  <c r="AS485" i="15"/>
  <c r="AR508" i="15"/>
  <c r="AR492" i="15"/>
  <c r="AO124" i="19"/>
  <c r="AO128" i="19"/>
  <c r="AO129" i="19"/>
  <c r="AJ488" i="15"/>
  <c r="BV565" i="15"/>
  <c r="BV556" i="15"/>
  <c r="BV567" i="15"/>
  <c r="BB494" i="15"/>
  <c r="BB541" i="15"/>
  <c r="AJ145" i="19"/>
  <c r="AJ146" i="19"/>
  <c r="AJ485" i="15"/>
  <c r="AM128" i="19"/>
  <c r="AM129" i="19"/>
  <c r="BI124" i="19"/>
  <c r="BI128" i="19"/>
  <c r="BI129" i="19"/>
  <c r="BD488" i="15"/>
  <c r="AS489" i="15"/>
  <c r="AS512" i="15"/>
  <c r="AR512" i="15"/>
  <c r="BQ494" i="15"/>
  <c r="BQ541" i="15"/>
  <c r="AX541" i="15"/>
  <c r="AX494" i="15"/>
  <c r="BR494" i="15"/>
  <c r="BR541" i="15"/>
  <c r="V124" i="19"/>
  <c r="U488" i="15"/>
  <c r="U511" i="15"/>
  <c r="AI511" i="15"/>
  <c r="AI515" i="15"/>
  <c r="AI516" i="15"/>
  <c r="AI492" i="15"/>
  <c r="I544" i="15"/>
  <c r="I572" i="15"/>
  <c r="I553" i="15"/>
  <c r="I570" i="15"/>
  <c r="AW489" i="15"/>
  <c r="AW512" i="15"/>
  <c r="AV512" i="15"/>
  <c r="BD485" i="15"/>
  <c r="BH128" i="19"/>
  <c r="BH129" i="19"/>
  <c r="L541" i="15"/>
  <c r="M493" i="15"/>
  <c r="L494" i="15"/>
  <c r="L493" i="15"/>
  <c r="W541" i="15"/>
  <c r="W494" i="15"/>
  <c r="W493" i="15"/>
  <c r="AT541" i="15"/>
  <c r="AT494" i="15"/>
  <c r="BC508" i="15"/>
  <c r="BC515" i="15"/>
  <c r="BC516" i="15"/>
  <c r="BC492" i="15"/>
  <c r="Y128" i="19"/>
  <c r="Y129" i="19"/>
  <c r="T492" i="15"/>
  <c r="G570" i="15"/>
  <c r="G544" i="15"/>
  <c r="G572" i="15"/>
  <c r="G553" i="15"/>
  <c r="AM510" i="15"/>
  <c r="AM515" i="15"/>
  <c r="AM516" i="15"/>
  <c r="AM492" i="15"/>
  <c r="AQ494" i="15"/>
  <c r="AQ541" i="15"/>
  <c r="BZ494" i="15"/>
  <c r="BZ541" i="15"/>
  <c r="AZ489" i="15"/>
  <c r="BE125" i="19"/>
  <c r="BE128" i="19"/>
  <c r="BE129" i="19"/>
  <c r="BU570" i="15"/>
  <c r="BU553" i="15"/>
  <c r="BU544" i="15"/>
  <c r="BU572" i="15"/>
  <c r="AE508" i="15"/>
  <c r="AE515" i="15"/>
  <c r="AE516" i="15"/>
  <c r="AE492" i="15"/>
  <c r="Y485" i="15"/>
  <c r="X508" i="15"/>
  <c r="X492" i="15"/>
  <c r="N494" i="15"/>
  <c r="N541" i="15"/>
  <c r="N493" i="15"/>
  <c r="AB509" i="15"/>
  <c r="AC486" i="15"/>
  <c r="AC509" i="15"/>
  <c r="BA128" i="19"/>
  <c r="BA129" i="19"/>
  <c r="T515" i="15"/>
  <c r="T516" i="15"/>
  <c r="U128" i="19"/>
  <c r="U129" i="19"/>
  <c r="AN487" i="15"/>
  <c r="AS123" i="19"/>
  <c r="AS128" i="19"/>
  <c r="AS129" i="19"/>
  <c r="Z123" i="19"/>
  <c r="Z128" i="19"/>
  <c r="Z129" i="19"/>
  <c r="J493" i="15"/>
  <c r="J541" i="15"/>
  <c r="J494" i="15"/>
  <c r="K493" i="15"/>
  <c r="AB485" i="15"/>
  <c r="AC128" i="19"/>
  <c r="AC129" i="19"/>
  <c r="U492" i="15"/>
  <c r="U508" i="15"/>
  <c r="U515" i="15"/>
  <c r="U516" i="15"/>
  <c r="AU508" i="15"/>
  <c r="AU515" i="15"/>
  <c r="AU516" i="15"/>
  <c r="AU492" i="15"/>
  <c r="AV485" i="15"/>
  <c r="AZ128" i="19"/>
  <c r="AZ129" i="19"/>
  <c r="AL541" i="15"/>
  <c r="AL494" i="15"/>
  <c r="AS487" i="15"/>
  <c r="AS510" i="15"/>
  <c r="AR510" i="15"/>
  <c r="AR515" i="15" s="1"/>
  <c r="AR516" i="15" s="1"/>
  <c r="Y487" i="15"/>
  <c r="Y510" i="15"/>
  <c r="X510" i="15"/>
  <c r="AG486" i="15"/>
  <c r="AG509" i="15"/>
  <c r="S494" i="15"/>
  <c r="S541" i="15"/>
  <c r="AE128" i="19"/>
  <c r="AE129" i="19"/>
  <c r="AJ511" i="15"/>
  <c r="AK488" i="15"/>
  <c r="AK511" i="15"/>
  <c r="AG492" i="15"/>
  <c r="AG508" i="15"/>
  <c r="AG515" i="15"/>
  <c r="AG516" i="15"/>
  <c r="N570" i="15"/>
  <c r="N544" i="15"/>
  <c r="N572" i="15"/>
  <c r="N553" i="15"/>
  <c r="AM541" i="15"/>
  <c r="AM494" i="15"/>
  <c r="BC541" i="15"/>
  <c r="BC494" i="15"/>
  <c r="I556" i="15"/>
  <c r="I567" i="15"/>
  <c r="I565" i="15"/>
  <c r="AA541" i="15"/>
  <c r="AA494" i="15"/>
  <c r="AF515" i="15"/>
  <c r="AF516" i="15"/>
  <c r="U494" i="15"/>
  <c r="U541" i="15"/>
  <c r="BU565" i="15"/>
  <c r="BU556" i="15"/>
  <c r="BU567" i="15"/>
  <c r="S553" i="15"/>
  <c r="S570" i="15"/>
  <c r="S544" i="15"/>
  <c r="S572" i="15"/>
  <c r="AL553" i="15"/>
  <c r="AL570" i="15"/>
  <c r="AL544" i="15"/>
  <c r="AL572" i="15"/>
  <c r="AB508" i="15"/>
  <c r="AB515" i="15"/>
  <c r="AB516" i="15"/>
  <c r="AB492" i="15"/>
  <c r="AC485" i="15"/>
  <c r="AN510" i="15"/>
  <c r="AO487" i="15"/>
  <c r="AX570" i="15"/>
  <c r="AX544" i="15"/>
  <c r="AX572" i="15"/>
  <c r="AX553" i="15"/>
  <c r="AK485" i="15"/>
  <c r="AJ508" i="15"/>
  <c r="AJ515" i="15"/>
  <c r="AJ516" i="15"/>
  <c r="AJ492" i="15"/>
  <c r="AR541" i="15"/>
  <c r="AR494" i="15"/>
  <c r="O553" i="15"/>
  <c r="O544" i="15"/>
  <c r="O572" i="15"/>
  <c r="O570" i="15"/>
  <c r="V493" i="15"/>
  <c r="V494" i="15"/>
  <c r="V541" i="15"/>
  <c r="BT565" i="15"/>
  <c r="BT556" i="15"/>
  <c r="BT567" i="15"/>
  <c r="AV492" i="15"/>
  <c r="AW485" i="15"/>
  <c r="AV508" i="15"/>
  <c r="X515" i="15"/>
  <c r="X516" i="15"/>
  <c r="AZ512" i="15"/>
  <c r="BA489" i="15"/>
  <c r="BA512" i="15"/>
  <c r="AT553" i="15"/>
  <c r="AT570" i="15"/>
  <c r="AT544" i="15"/>
  <c r="AT572" i="15"/>
  <c r="BB544" i="15"/>
  <c r="BB572" i="15"/>
  <c r="BB553" i="15"/>
  <c r="BB570" i="15"/>
  <c r="AS508" i="15"/>
  <c r="AS515" i="15"/>
  <c r="AS516" i="15"/>
  <c r="AS492" i="15"/>
  <c r="R541" i="15"/>
  <c r="R494" i="15"/>
  <c r="AI541" i="15"/>
  <c r="AI494" i="15"/>
  <c r="BQ544" i="15"/>
  <c r="BQ572" i="15"/>
  <c r="BQ570" i="15"/>
  <c r="AU541" i="15"/>
  <c r="AU494" i="15"/>
  <c r="J553" i="15"/>
  <c r="J570" i="15"/>
  <c r="J544" i="15"/>
  <c r="J572" i="15"/>
  <c r="Y508" i="15"/>
  <c r="Y515" i="15"/>
  <c r="Y516" i="15"/>
  <c r="Y492" i="15"/>
  <c r="BZ544" i="15"/>
  <c r="BZ572" i="15"/>
  <c r="BZ570" i="15"/>
  <c r="BZ553" i="15"/>
  <c r="BE485" i="15"/>
  <c r="BD492" i="15"/>
  <c r="BD508" i="15"/>
  <c r="AY494" i="15"/>
  <c r="AY541" i="15"/>
  <c r="BW570" i="15"/>
  <c r="BW553" i="15"/>
  <c r="BW544" i="15"/>
  <c r="BW572" i="15"/>
  <c r="AH544" i="15"/>
  <c r="AH572" i="15"/>
  <c r="AH553" i="15"/>
  <c r="AH570" i="15"/>
  <c r="V128" i="19"/>
  <c r="V129" i="19"/>
  <c r="G556" i="15"/>
  <c r="G567" i="15"/>
  <c r="G565" i="15"/>
  <c r="L570" i="15"/>
  <c r="L544" i="15"/>
  <c r="L572" i="15"/>
  <c r="L553" i="15"/>
  <c r="AE541" i="15"/>
  <c r="AE494" i="15"/>
  <c r="T494" i="15"/>
  <c r="T541" i="15"/>
  <c r="AV511" i="15"/>
  <c r="AW488" i="15"/>
  <c r="AW511" i="15"/>
  <c r="X541" i="15"/>
  <c r="X494" i="15"/>
  <c r="X493" i="15"/>
  <c r="AQ553" i="15"/>
  <c r="AQ544" i="15"/>
  <c r="AQ572" i="15"/>
  <c r="AQ570" i="15"/>
  <c r="W570" i="15"/>
  <c r="W544" i="15"/>
  <c r="W572" i="15"/>
  <c r="W553" i="15"/>
  <c r="BR570" i="15"/>
  <c r="BR553" i="15"/>
  <c r="BR544" i="15"/>
  <c r="BR572" i="15"/>
  <c r="BD511" i="15"/>
  <c r="BE488" i="15"/>
  <c r="BE511" i="15"/>
  <c r="BA485" i="15"/>
  <c r="AZ508" i="15"/>
  <c r="AZ492" i="15"/>
  <c r="BP544" i="15"/>
  <c r="BP572" i="15"/>
  <c r="BP570" i="15"/>
  <c r="BP553" i="15"/>
  <c r="AF494" i="15"/>
  <c r="AF541" i="15"/>
  <c r="S565" i="15"/>
  <c r="S556" i="15"/>
  <c r="S567" i="15"/>
  <c r="L556" i="15"/>
  <c r="L567" i="15"/>
  <c r="L565" i="15"/>
  <c r="J565" i="15"/>
  <c r="J556" i="15"/>
  <c r="J567" i="15"/>
  <c r="AO510" i="15"/>
  <c r="AM544" i="15"/>
  <c r="AM572" i="15"/>
  <c r="AM570" i="15"/>
  <c r="AM553" i="15"/>
  <c r="AZ494" i="15"/>
  <c r="AZ541" i="15"/>
  <c r="W556" i="15"/>
  <c r="W567" i="15"/>
  <c r="W565" i="15"/>
  <c r="X553" i="15"/>
  <c r="X570" i="15"/>
  <c r="X544" i="15"/>
  <c r="X572" i="15"/>
  <c r="BZ565" i="15"/>
  <c r="BZ556" i="15"/>
  <c r="BZ567" i="15"/>
  <c r="R570" i="15"/>
  <c r="R553" i="15"/>
  <c r="R544" i="15"/>
  <c r="R572" i="15"/>
  <c r="AT565" i="15"/>
  <c r="AT556" i="15"/>
  <c r="AT567" i="15"/>
  <c r="AR570" i="15"/>
  <c r="AR553" i="15"/>
  <c r="AR544" i="15"/>
  <c r="AR572" i="15"/>
  <c r="N565" i="15"/>
  <c r="N556" i="15"/>
  <c r="N567" i="15"/>
  <c r="BA508" i="15"/>
  <c r="BA515" i="15"/>
  <c r="BA516" i="15"/>
  <c r="BA492" i="15"/>
  <c r="BE508" i="15"/>
  <c r="BE515" i="15"/>
  <c r="BE516" i="15"/>
  <c r="BE492" i="15"/>
  <c r="AL565" i="15"/>
  <c r="AL556" i="15"/>
  <c r="AL567" i="15"/>
  <c r="AZ515" i="15"/>
  <c r="AZ516" i="15"/>
  <c r="BW565" i="15"/>
  <c r="BW556" i="15"/>
  <c r="BW567" i="15"/>
  <c r="AU570" i="15"/>
  <c r="AU553" i="15"/>
  <c r="AU544" i="15"/>
  <c r="AU572" i="15"/>
  <c r="AS541" i="15"/>
  <c r="AS494" i="15"/>
  <c r="V553" i="15"/>
  <c r="V544" i="15"/>
  <c r="V572" i="15"/>
  <c r="V570" i="15"/>
  <c r="AJ494" i="15"/>
  <c r="AJ541" i="15"/>
  <c r="AA570" i="15"/>
  <c r="AA544" i="15"/>
  <c r="AA572" i="15"/>
  <c r="AA553" i="15"/>
  <c r="AF544" i="15"/>
  <c r="AF572" i="15"/>
  <c r="AF570" i="15"/>
  <c r="AF553" i="15"/>
  <c r="AY544" i="15"/>
  <c r="AY572" i="15"/>
  <c r="AY570" i="15"/>
  <c r="AY553" i="15"/>
  <c r="BB565" i="15"/>
  <c r="BB556" i="15"/>
  <c r="BB567" i="15"/>
  <c r="AV515" i="15"/>
  <c r="AV516" i="15"/>
  <c r="AX556" i="15"/>
  <c r="AX567" i="15"/>
  <c r="AX565" i="15"/>
  <c r="AG494" i="15"/>
  <c r="AG541" i="15"/>
  <c r="Y541" i="15"/>
  <c r="Y494" i="15"/>
  <c r="AK508" i="15"/>
  <c r="AK515" i="15"/>
  <c r="AK516" i="15"/>
  <c r="AK492" i="15"/>
  <c r="AB494" i="15"/>
  <c r="AB541" i="15"/>
  <c r="BP565" i="15"/>
  <c r="BP556" i="15"/>
  <c r="BP567" i="15"/>
  <c r="AQ565" i="15"/>
  <c r="AQ556" i="15"/>
  <c r="AQ567" i="15"/>
  <c r="AW492" i="15"/>
  <c r="AW508" i="15"/>
  <c r="AW515" i="15"/>
  <c r="AW516" i="15"/>
  <c r="U553" i="15"/>
  <c r="U544" i="15"/>
  <c r="U572" i="15"/>
  <c r="U570" i="15"/>
  <c r="BC553" i="15"/>
  <c r="BC570" i="15"/>
  <c r="BC544" i="15"/>
  <c r="BC572" i="15"/>
  <c r="AC508" i="15"/>
  <c r="AC515" i="15"/>
  <c r="AC516" i="15"/>
  <c r="AC492" i="15"/>
  <c r="T544" i="15"/>
  <c r="T572" i="15"/>
  <c r="T553" i="15"/>
  <c r="T570" i="15"/>
  <c r="BD515" i="15"/>
  <c r="BD516" i="15"/>
  <c r="BR565" i="15"/>
  <c r="BR556" i="15"/>
  <c r="BR567" i="15"/>
  <c r="AE553" i="15"/>
  <c r="AE570" i="15"/>
  <c r="AE544" i="15"/>
  <c r="AE572" i="15"/>
  <c r="AH556" i="15"/>
  <c r="AH567" i="15"/>
  <c r="AH565" i="15"/>
  <c r="BD541" i="15"/>
  <c r="BD494" i="15"/>
  <c r="AI544" i="15"/>
  <c r="AI572" i="15"/>
  <c r="AI553" i="15"/>
  <c r="AI570" i="15"/>
  <c r="AV541" i="15"/>
  <c r="AV494" i="15"/>
  <c r="O565" i="15"/>
  <c r="O556" i="15"/>
  <c r="O567" i="15"/>
  <c r="V565" i="15"/>
  <c r="V556" i="15"/>
  <c r="V567" i="15"/>
  <c r="Y544" i="15"/>
  <c r="Y572" i="15"/>
  <c r="Y553" i="15"/>
  <c r="Y570" i="15"/>
  <c r="AA565" i="15"/>
  <c r="AA556" i="15"/>
  <c r="AA567" i="15"/>
  <c r="R556" i="15"/>
  <c r="R567" i="15"/>
  <c r="R565" i="15"/>
  <c r="AW494" i="15"/>
  <c r="AW541" i="15"/>
  <c r="BD544" i="15"/>
  <c r="BD572" i="15"/>
  <c r="BD553" i="15"/>
  <c r="BD570" i="15"/>
  <c r="AY565" i="15"/>
  <c r="AY556" i="15"/>
  <c r="AY567" i="15"/>
  <c r="BE494" i="15"/>
  <c r="BE541" i="15"/>
  <c r="AI556" i="15"/>
  <c r="AI567" i="15"/>
  <c r="AI565" i="15"/>
  <c r="BC565" i="15"/>
  <c r="BC556" i="15"/>
  <c r="BC567" i="15"/>
  <c r="AZ553" i="15"/>
  <c r="AZ570" i="15"/>
  <c r="AZ544" i="15"/>
  <c r="AZ572" i="15"/>
  <c r="T556" i="15"/>
  <c r="T567" i="15"/>
  <c r="T565" i="15"/>
  <c r="AB553" i="15"/>
  <c r="AB544" i="15"/>
  <c r="AB572" i="15"/>
  <c r="AB570" i="15"/>
  <c r="AJ570" i="15"/>
  <c r="AJ553" i="15"/>
  <c r="AJ544" i="15"/>
  <c r="AJ572" i="15"/>
  <c r="AU565" i="15"/>
  <c r="AU556" i="15"/>
  <c r="AU567" i="15"/>
  <c r="AR556" i="15"/>
  <c r="AR567" i="15"/>
  <c r="AR565" i="15"/>
  <c r="AM556" i="15"/>
  <c r="AM567" i="15"/>
  <c r="AM565" i="15"/>
  <c r="AE565" i="15"/>
  <c r="AE556" i="15"/>
  <c r="AE567" i="15"/>
  <c r="AG553" i="15"/>
  <c r="AG570" i="15"/>
  <c r="AG544" i="15"/>
  <c r="AG572" i="15"/>
  <c r="AS570" i="15"/>
  <c r="AS553" i="15"/>
  <c r="AS544" i="15"/>
  <c r="AS572" i="15"/>
  <c r="AV553" i="15"/>
  <c r="AV570" i="15"/>
  <c r="AV544" i="15"/>
  <c r="AV572" i="15"/>
  <c r="U556" i="15"/>
  <c r="U567" i="15"/>
  <c r="U565" i="15"/>
  <c r="BA541" i="15"/>
  <c r="BA494" i="15"/>
  <c r="X565" i="15"/>
  <c r="X556" i="15"/>
  <c r="X567" i="15"/>
  <c r="AC494" i="15"/>
  <c r="AC541" i="15"/>
  <c r="AK494" i="15"/>
  <c r="AK541" i="15"/>
  <c r="AF556" i="15"/>
  <c r="AF567" i="15"/>
  <c r="AF565" i="15"/>
  <c r="BD556" i="15"/>
  <c r="BD567" i="15"/>
  <c r="BD565" i="15"/>
  <c r="AG556" i="15"/>
  <c r="AG567" i="15"/>
  <c r="AG565" i="15"/>
  <c r="AW570" i="15"/>
  <c r="AW553" i="15"/>
  <c r="AW544" i="15"/>
  <c r="AW572" i="15"/>
  <c r="AJ556" i="15"/>
  <c r="AJ567" i="15"/>
  <c r="AJ565" i="15"/>
  <c r="AZ556" i="15"/>
  <c r="AZ567" i="15"/>
  <c r="AZ565" i="15"/>
  <c r="AV565" i="15"/>
  <c r="AV556" i="15"/>
  <c r="AV567" i="15"/>
  <c r="BE544" i="15"/>
  <c r="BE572" i="15"/>
  <c r="BE570" i="15"/>
  <c r="BE553" i="15"/>
  <c r="Y556" i="15"/>
  <c r="Y567" i="15"/>
  <c r="Y565" i="15"/>
  <c r="BA570" i="15"/>
  <c r="BA553" i="15"/>
  <c r="BA544" i="15"/>
  <c r="BA572" i="15"/>
  <c r="AC570" i="15"/>
  <c r="AC544" i="15"/>
  <c r="AC572" i="15"/>
  <c r="AC553" i="15"/>
  <c r="AS565" i="15"/>
  <c r="AS556" i="15"/>
  <c r="AS567" i="15"/>
  <c r="AK544" i="15"/>
  <c r="AK572" i="15"/>
  <c r="AK553" i="15"/>
  <c r="AK570" i="15"/>
  <c r="AB565" i="15"/>
  <c r="AB556" i="15"/>
  <c r="AB567" i="15"/>
  <c r="BE565" i="15"/>
  <c r="BE556" i="15"/>
  <c r="BE567" i="15"/>
  <c r="AK565" i="15"/>
  <c r="AK556" i="15"/>
  <c r="AK567" i="15"/>
  <c r="BA565" i="15"/>
  <c r="BA556" i="15"/>
  <c r="BA567" i="15"/>
  <c r="AW565" i="15"/>
  <c r="AW556" i="15"/>
  <c r="AW567" i="15"/>
  <c r="AC565" i="15"/>
  <c r="AC556" i="15"/>
  <c r="AC567" i="15"/>
  <c r="BF151" i="15" l="1"/>
  <c r="J10" i="17"/>
  <c r="D27" i="17"/>
  <c r="F17" i="17" s="1"/>
  <c r="AW428" i="15"/>
  <c r="AV428" i="15"/>
  <c r="AM217" i="15"/>
  <c r="AM224" i="15" s="1"/>
  <c r="AK217" i="15"/>
  <c r="AK224" i="15" s="1"/>
  <c r="AV216" i="15"/>
  <c r="AV223" i="15" s="1"/>
  <c r="AW216" i="15"/>
  <c r="AW223" i="15" s="1"/>
  <c r="AU216" i="15"/>
  <c r="AU223" i="15" s="1"/>
  <c r="D182" i="17"/>
  <c r="D1418" i="17"/>
  <c r="D52" i="17"/>
  <c r="D878" i="17"/>
  <c r="D879" i="17" s="1"/>
  <c r="D1309" i="17"/>
  <c r="D1310" i="17" s="1"/>
  <c r="D710" i="17"/>
  <c r="D716" i="17" s="1"/>
  <c r="D270" i="17"/>
  <c r="D81" i="17"/>
  <c r="D83" i="17" s="1"/>
  <c r="C807" i="17"/>
  <c r="D769" i="17"/>
  <c r="D764" i="17"/>
  <c r="H515" i="15"/>
  <c r="H516" i="15" s="1"/>
  <c r="C972" i="17"/>
  <c r="D322" i="17"/>
  <c r="AR118" i="19"/>
  <c r="BQ504" i="15"/>
  <c r="AG233" i="15"/>
  <c r="H57" i="15"/>
  <c r="H59" i="15" s="1"/>
  <c r="AG128" i="19"/>
  <c r="AG129" i="19" s="1"/>
  <c r="E128" i="19"/>
  <c r="E129" i="19" s="1"/>
  <c r="D128" i="19"/>
  <c r="D129" i="19" s="1"/>
  <c r="AE60" i="19"/>
  <c r="AB60" i="19"/>
  <c r="V60" i="19"/>
  <c r="AJ60" i="19"/>
  <c r="Z60" i="19"/>
  <c r="X60" i="19"/>
  <c r="D1056" i="17"/>
  <c r="D1054" i="17"/>
  <c r="D1055" i="17" s="1"/>
  <c r="BF201" i="15"/>
  <c r="BF192" i="15"/>
  <c r="J8" i="17"/>
  <c r="C18" i="17"/>
  <c r="C32" i="17"/>
  <c r="C33" i="17" s="1"/>
  <c r="D18" i="17" l="1"/>
  <c r="C40" i="17"/>
  <c r="C41" i="17" s="1"/>
  <c r="C19" i="17"/>
  <c r="E19" i="17" s="1"/>
  <c r="K8" i="17"/>
  <c r="J9" i="17"/>
  <c r="BF456" i="15"/>
  <c r="BF459" i="15" s="1"/>
  <c r="BF234" i="15"/>
  <c r="BF220" i="15"/>
  <c r="D1057" i="17"/>
  <c r="H67" i="15"/>
  <c r="H69" i="15" s="1"/>
  <c r="H71" i="15" s="1"/>
  <c r="H61" i="15"/>
  <c r="AH135" i="15"/>
  <c r="AG234" i="15"/>
  <c r="BQ547" i="15"/>
  <c r="BQ505" i="15"/>
  <c r="BQ506" i="15" s="1"/>
  <c r="AN486" i="15"/>
  <c r="AR128" i="19"/>
  <c r="AR129" i="19" s="1"/>
  <c r="D770" i="17"/>
  <c r="D725" i="17"/>
  <c r="D718" i="17"/>
  <c r="D1312" i="17"/>
  <c r="D1319" i="17"/>
  <c r="D1322" i="17"/>
  <c r="D888" i="17"/>
  <c r="D881" i="17"/>
  <c r="D1420" i="17"/>
  <c r="D1427" i="17"/>
  <c r="D1430" i="17"/>
  <c r="D184" i="17"/>
  <c r="D191" i="17"/>
  <c r="AU316" i="15"/>
  <c r="C571" i="17"/>
  <c r="C569" i="17" s="1"/>
  <c r="AU315" i="15"/>
  <c r="AW315" i="15"/>
  <c r="C463" i="17"/>
  <c r="C461" i="17" s="1"/>
  <c r="AW316" i="15"/>
  <c r="AV315" i="15"/>
  <c r="AV316" i="15"/>
  <c r="C516" i="17"/>
  <c r="C514" i="17" s="1"/>
  <c r="AV437" i="15"/>
  <c r="AV450" i="15"/>
  <c r="AV438" i="15"/>
  <c r="AV441" i="15"/>
  <c r="AV440" i="15"/>
  <c r="AV449" i="15"/>
  <c r="AW449" i="15"/>
  <c r="AW440" i="15"/>
  <c r="AW450" i="15"/>
  <c r="AW438" i="15"/>
  <c r="AW441" i="15"/>
  <c r="AW437" i="15"/>
  <c r="K10" i="17"/>
  <c r="M7" i="17" s="1"/>
  <c r="L7" i="17"/>
  <c r="BF352" i="15"/>
  <c r="BF156" i="15"/>
  <c r="BF417" i="15"/>
  <c r="BF152" i="15"/>
  <c r="BF353" i="15" l="1"/>
  <c r="BF418" i="15"/>
  <c r="BF194" i="15"/>
  <c r="BF196" i="15" s="1"/>
  <c r="D772" i="17"/>
  <c r="D779" i="17"/>
  <c r="AN509" i="15"/>
  <c r="AN515" i="15" s="1"/>
  <c r="AN516" i="15" s="1"/>
  <c r="AO486" i="15"/>
  <c r="AN492" i="15"/>
  <c r="BQ550" i="15"/>
  <c r="BQ553" i="15"/>
  <c r="AH400" i="15"/>
  <c r="AH336" i="15"/>
  <c r="AK135" i="15"/>
  <c r="AH138" i="15"/>
  <c r="L9" i="17"/>
  <c r="K9" i="17"/>
  <c r="M9" i="17" s="1"/>
  <c r="D40" i="17"/>
  <c r="D41" i="17" s="1"/>
  <c r="D19" i="17"/>
  <c r="F19" i="17" s="1"/>
  <c r="AH144" i="15" l="1"/>
  <c r="AH339" i="15"/>
  <c r="AK336" i="15"/>
  <c r="AK400" i="15"/>
  <c r="AK403" i="15" s="1"/>
  <c r="AK409" i="15" s="1"/>
  <c r="AK415" i="15" s="1"/>
  <c r="AK138" i="15"/>
  <c r="BR400" i="15"/>
  <c r="AH403" i="15"/>
  <c r="BQ556" i="15"/>
  <c r="BQ567" i="15" s="1"/>
  <c r="BQ565" i="15"/>
  <c r="AN494" i="15"/>
  <c r="AN541" i="15"/>
  <c r="AO509" i="15"/>
  <c r="AO515" i="15" s="1"/>
  <c r="AO516" i="15" s="1"/>
  <c r="AO492" i="15"/>
  <c r="AO494" i="15" l="1"/>
  <c r="AO541" i="15"/>
  <c r="AN570" i="15"/>
  <c r="AN544" i="15"/>
  <c r="AN572" i="15" s="1"/>
  <c r="AN553" i="15"/>
  <c r="AH409" i="15"/>
  <c r="BR403" i="15"/>
  <c r="AK339" i="15"/>
  <c r="AK144" i="15"/>
  <c r="AH150" i="15"/>
  <c r="AH345" i="15"/>
  <c r="AK210" i="15"/>
  <c r="AK463" i="15" s="1"/>
  <c r="AJ210" i="15"/>
  <c r="AJ463" i="15" s="1"/>
  <c r="AI210" i="15"/>
  <c r="AI463" i="15" s="1"/>
  <c r="AH210" i="15"/>
  <c r="AH463" i="15" s="1"/>
  <c r="AH151" i="15" l="1"/>
  <c r="AH351" i="15"/>
  <c r="AH152" i="15"/>
  <c r="AK150" i="15"/>
  <c r="AN210" i="15"/>
  <c r="AN463" i="15" s="1"/>
  <c r="AK345" i="15"/>
  <c r="AM210" i="15"/>
  <c r="AM463" i="15" s="1"/>
  <c r="AL210" i="15"/>
  <c r="AL463" i="15" s="1"/>
  <c r="AH415" i="15"/>
  <c r="BR415" i="15" s="1"/>
  <c r="BR409" i="15"/>
  <c r="AN556" i="15"/>
  <c r="AN567" i="15" s="1"/>
  <c r="AN565" i="15"/>
  <c r="AO553" i="15"/>
  <c r="AO544" i="15"/>
  <c r="AO572" i="15" s="1"/>
  <c r="AO570" i="15"/>
  <c r="AO556" i="15" l="1"/>
  <c r="AO567" i="15" s="1"/>
  <c r="AO565" i="15"/>
  <c r="AK351" i="15"/>
  <c r="AH353" i="15"/>
  <c r="AH418" i="15"/>
  <c r="AH194" i="15"/>
  <c r="AH196" i="15" s="1"/>
  <c r="AH197" i="15" s="1"/>
  <c r="AI151" i="15"/>
  <c r="AH417" i="15"/>
  <c r="AH352" i="15"/>
  <c r="AH156" i="15"/>
  <c r="AI156" i="15" s="1"/>
  <c r="AI417" i="15" l="1"/>
  <c r="BR417" i="15" s="1"/>
  <c r="AI352" i="15"/>
  <c r="AI152" i="15"/>
  <c r="AJ151" i="15"/>
  <c r="AH199" i="15"/>
  <c r="AJ152" i="15" l="1"/>
  <c r="AK151" i="15"/>
  <c r="AJ417" i="15"/>
  <c r="AJ352" i="15"/>
  <c r="AJ156" i="15"/>
  <c r="AK156" i="15" s="1"/>
  <c r="AI194" i="15"/>
  <c r="AI196" i="15" s="1"/>
  <c r="AI197" i="15" s="1"/>
  <c r="AI353" i="15"/>
  <c r="AI418" i="15"/>
  <c r="BR418" i="15" s="1"/>
  <c r="AI199" i="15" l="1"/>
  <c r="AK417" i="15"/>
  <c r="AK352" i="15"/>
  <c r="AK152" i="15"/>
  <c r="AJ353" i="15"/>
  <c r="AJ418" i="15"/>
  <c r="AJ194" i="15"/>
  <c r="AJ196" i="15" s="1"/>
  <c r="AJ197" i="15" s="1"/>
  <c r="AJ199" i="15" l="1"/>
  <c r="AK418" i="15"/>
  <c r="AK353" i="15"/>
  <c r="AK194" i="15"/>
  <c r="AK196" i="15" s="1"/>
  <c r="AK197" i="15" s="1"/>
  <c r="AK199" i="15" l="1"/>
  <c r="AL197" i="15"/>
  <c r="AM197" i="15" l="1"/>
  <c r="AL199" i="15"/>
  <c r="AN197" i="15" l="1"/>
  <c r="AM199" i="15"/>
  <c r="AN199" i="15" l="1"/>
  <c r="AO197" i="15"/>
  <c r="AO199" i="15" l="1"/>
  <c r="AP197" i="15"/>
  <c r="AP199" i="15" l="1"/>
  <c r="AQ197" i="15"/>
  <c r="AR197" i="15" l="1"/>
  <c r="AQ199" i="15"/>
  <c r="AR199" i="15" l="1"/>
  <c r="AS197" i="15"/>
  <c r="AS199" i="15" l="1"/>
  <c r="AT197" i="15"/>
  <c r="AT199" i="15" l="1"/>
  <c r="AU197" i="15"/>
  <c r="AU199" i="15" l="1"/>
  <c r="AV197" i="15"/>
  <c r="AW197" i="15" l="1"/>
  <c r="AV199" i="15"/>
  <c r="AX197" i="15" l="1"/>
  <c r="AW199" i="15"/>
  <c r="AY197" i="15" l="1"/>
  <c r="AX199" i="15"/>
  <c r="AY199" i="15" l="1"/>
  <c r="AZ197" i="15"/>
  <c r="AZ199" i="15" l="1"/>
  <c r="BA197" i="15"/>
  <c r="BA199" i="15" l="1"/>
  <c r="BB197" i="15"/>
  <c r="BC197" i="15" l="1"/>
  <c r="BB199" i="15"/>
  <c r="BD197" i="15" l="1"/>
  <c r="BC199" i="15"/>
  <c r="BE197" i="15" l="1"/>
  <c r="BD199" i="15"/>
  <c r="BE199" i="15" l="1"/>
  <c r="BF197" i="15"/>
  <c r="BF199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Vivek Panchal</author>
    <author>Yogesh Sheth</author>
    <author>Nikhil Amrutiya</author>
    <author>Crisil GR&amp;A</author>
    <author>Meghana Ramesh Gollapudi</author>
  </authors>
  <commentList>
    <comment ref="I10" authorId="0" shapeId="0" xr:uid="{5B0E78BD-CA0C-41F4-BE4C-C1D7DE8AAF53}">
      <text>
        <r>
          <rPr>
            <b/>
            <sz val="9"/>
            <color indexed="81"/>
            <rFont val="Tahoma"/>
            <family val="2"/>
          </rPr>
          <t>Excluding IFRS 16 impact</t>
        </r>
      </text>
    </comment>
    <comment ref="B17" authorId="1" shapeId="0" xr:uid="{F0379EAD-CD6A-4A7E-9390-B96ACDF655D8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Our retail debt differs from the company reported because the company also deducts hedging assets
</t>
        </r>
      </text>
    </comment>
    <comment ref="B45" authorId="2" shapeId="0" xr:uid="{50C3FB04-0DDF-4C33-9BE1-9BF15A262024}">
      <text>
        <r>
          <rPr>
            <sz val="9"/>
            <color indexed="81"/>
            <rFont val="Tahoma"/>
            <family val="2"/>
          </rPr>
          <t xml:space="preserve">Source - Bloomberg
</t>
        </r>
      </text>
    </comment>
    <comment ref="C66" authorId="3" shapeId="0" xr:uid="{E07C2657-E7D0-4BEE-9241-4C1F329F7D2B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current </t>
        </r>
      </text>
    </comment>
    <comment ref="I67" authorId="0" shapeId="0" xr:uid="{C27756F5-B2D1-4CA3-B178-BAAFE508E5FA}">
      <text>
        <r>
          <rPr>
            <b/>
            <sz val="9"/>
            <color indexed="81"/>
            <rFont val="Tahoma"/>
            <family val="2"/>
          </rPr>
          <t>Excluding IFRS 16 impact</t>
        </r>
      </text>
    </comment>
    <comment ref="C71" authorId="3" shapeId="0" xr:uid="{CF6E8CE8-CA55-4699-B1ED-2D677C1B56CF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non current </t>
        </r>
      </text>
    </comment>
    <comment ref="B74" authorId="1" shapeId="0" xr:uid="{F3E5905D-572E-42DC-89F9-25E4E13F67FE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Our retail debt differs from the company reported because the company also deducts hedging assets
</t>
        </r>
      </text>
    </comment>
    <comment ref="C75" authorId="1" shapeId="0" xr:uid="{63EC16B9-48A5-4ECE-A46B-1378E339AA79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Retail Business Cash &amp; cash equivalents
</t>
        </r>
      </text>
    </comment>
    <comment ref="B102" authorId="2" shapeId="0" xr:uid="{4D59042B-0278-447D-92FB-A127ACFF95D7}">
      <text>
        <r>
          <rPr>
            <sz val="9"/>
            <color indexed="81"/>
            <rFont val="Tahoma"/>
            <family val="2"/>
          </rPr>
          <t xml:space="preserve">Source - Bloomberg
</t>
        </r>
      </text>
    </comment>
    <comment ref="C120" authorId="3" shapeId="0" xr:uid="{0065A1B5-F13D-4B98-858C-81B3DACB960F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current </t>
        </r>
      </text>
    </comment>
    <comment ref="I122" authorId="0" shapeId="0" xr:uid="{0B1A8FCB-C798-48C5-88CD-7E5978F08CBB}">
      <text>
        <r>
          <rPr>
            <b/>
            <sz val="9"/>
            <color indexed="81"/>
            <rFont val="Tahoma"/>
            <family val="2"/>
          </rPr>
          <t>Excluding IFRS 16 impact</t>
        </r>
      </text>
    </comment>
    <comment ref="C125" authorId="3" shapeId="0" xr:uid="{CDD0D123-FA12-4900-9BE2-E8A4656B044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non current </t>
        </r>
      </text>
    </comment>
    <comment ref="B128" authorId="1" shapeId="0" xr:uid="{44CE37C3-E00A-4842-8EAC-36CE550E0A75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Our retail debt differs from the company reported because the company also deducts hedging assets
</t>
        </r>
      </text>
    </comment>
    <comment ref="C129" authorId="1" shapeId="0" xr:uid="{D9E2AA35-1EEA-46E8-958E-FC6A8EA5E97F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Retail Business Cash &amp; cash equivalents
</t>
        </r>
      </text>
    </comment>
    <comment ref="B157" authorId="2" shapeId="0" xr:uid="{390EFEAB-90A6-4194-BDCC-A746954ECB80}">
      <text>
        <r>
          <rPr>
            <sz val="9"/>
            <color indexed="81"/>
            <rFont val="Tahoma"/>
            <family val="2"/>
          </rPr>
          <t xml:space="preserve">Source - Bloomberg
</t>
        </r>
      </text>
    </comment>
    <comment ref="C174" authorId="3" shapeId="0" xr:uid="{6CB4EEE0-EC87-400C-9208-C2741BB08BA9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current </t>
        </r>
      </text>
    </comment>
    <comment ref="I176" authorId="0" shapeId="0" xr:uid="{06994369-4D48-476D-8EF1-0A22D333F0FA}">
      <text>
        <r>
          <rPr>
            <b/>
            <sz val="9"/>
            <color indexed="81"/>
            <rFont val="Tahoma"/>
            <family val="2"/>
          </rPr>
          <t>Excluding IFRS 16 impact</t>
        </r>
      </text>
    </comment>
    <comment ref="C179" authorId="3" shapeId="0" xr:uid="{598F8FD8-FB84-44B0-8C67-51D18ED286C4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non current </t>
        </r>
      </text>
    </comment>
    <comment ref="B182" authorId="1" shapeId="0" xr:uid="{060018F9-6298-4F0C-93FE-872631710DEB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Our retail debt differs from the company reported because the company also deducts hedging assets
</t>
        </r>
      </text>
    </comment>
    <comment ref="C183" authorId="1" shapeId="0" xr:uid="{4E2957D0-AC7C-40D8-8D35-27EDAD33EC5F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Retail Business Cash &amp; cash equivalents
</t>
        </r>
      </text>
    </comment>
    <comment ref="B211" authorId="2" shapeId="0" xr:uid="{5F06FA8F-CADD-4541-9EE3-212A8FD00229}">
      <text>
        <r>
          <rPr>
            <sz val="9"/>
            <color indexed="81"/>
            <rFont val="Tahoma"/>
            <family val="2"/>
          </rPr>
          <t xml:space="preserve">Source - Bloomberg
</t>
        </r>
      </text>
    </comment>
    <comment ref="C226" authorId="3" shapeId="0" xr:uid="{843A3D92-3587-4F10-905A-65644BD2917F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current </t>
        </r>
      </text>
    </comment>
    <comment ref="I228" authorId="0" shapeId="0" xr:uid="{AB2ACFD7-464A-4663-8D1F-45A1FCA0D107}">
      <text>
        <r>
          <rPr>
            <b/>
            <sz val="9"/>
            <color indexed="81"/>
            <rFont val="Tahoma"/>
            <family val="2"/>
          </rPr>
          <t>Excluding IFRS 16 impact</t>
        </r>
      </text>
    </comment>
    <comment ref="C231" authorId="3" shapeId="0" xr:uid="{232FD896-AFCE-4E8B-802F-5349A25E455F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non current </t>
        </r>
      </text>
    </comment>
    <comment ref="B234" authorId="1" shapeId="0" xr:uid="{A74DD4FB-6F3C-4618-A6A9-53A7E843F37D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Our retail debt differs from the company reported because the company also deducts hedging assets
</t>
        </r>
      </text>
    </comment>
    <comment ref="C235" authorId="1" shapeId="0" xr:uid="{88D650A8-D5F6-4637-B9D3-A76DCB43FD16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Retail Business Cash &amp; cash equivalents
</t>
        </r>
      </text>
    </comment>
    <comment ref="B263" authorId="2" shapeId="0" xr:uid="{A8776856-B9EB-4CC2-AA63-E74AF9A4072D}">
      <text>
        <r>
          <rPr>
            <sz val="9"/>
            <color indexed="81"/>
            <rFont val="Tahoma"/>
            <family val="2"/>
          </rPr>
          <t xml:space="preserve">Source - Bloomberg
</t>
        </r>
      </text>
    </comment>
    <comment ref="C278" authorId="3" shapeId="0" xr:uid="{14F11C88-10D6-40E0-84DC-19B1D6497A94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current </t>
        </r>
      </text>
    </comment>
    <comment ref="I280" authorId="0" shapeId="0" xr:uid="{4F8C4188-B096-4E70-BA42-7DDD14DDAD96}">
      <text>
        <r>
          <rPr>
            <b/>
            <sz val="9"/>
            <color indexed="81"/>
            <rFont val="Tahoma"/>
            <family val="2"/>
          </rPr>
          <t>Excluding IFRS 16 impact</t>
        </r>
      </text>
    </comment>
    <comment ref="C283" authorId="3" shapeId="0" xr:uid="{7BDA75A3-363B-47A9-A2C2-70C31D704057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non current </t>
        </r>
      </text>
    </comment>
    <comment ref="B286" authorId="1" shapeId="0" xr:uid="{2E633B27-0C20-46B6-AAF3-AE056AD41E8A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Our retail debt differs from the company reported because the company also deducts hedging assets
</t>
        </r>
      </text>
    </comment>
    <comment ref="C287" authorId="1" shapeId="0" xr:uid="{C6309E44-D649-46B2-AA37-3DA4E4C91D29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Retail Business Cash &amp; cash equivalents
</t>
        </r>
      </text>
    </comment>
    <comment ref="B315" authorId="2" shapeId="0" xr:uid="{0117816E-11C5-4525-8676-472EF51B571D}">
      <text>
        <r>
          <rPr>
            <sz val="9"/>
            <color indexed="81"/>
            <rFont val="Tahoma"/>
            <family val="2"/>
          </rPr>
          <t xml:space="preserve">Source - Bloomberg
</t>
        </r>
      </text>
    </comment>
    <comment ref="C331" authorId="3" shapeId="0" xr:uid="{AFCB7DC1-D63A-4267-8B75-9EB073E5B207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current </t>
        </r>
      </text>
    </comment>
    <comment ref="I333" authorId="0" shapeId="0" xr:uid="{742F6900-E425-4F22-9B4B-9D0A482F380F}">
      <text>
        <r>
          <rPr>
            <b/>
            <sz val="9"/>
            <color indexed="81"/>
            <rFont val="Tahoma"/>
            <family val="2"/>
          </rPr>
          <t>Excluding IFRS 16 impact</t>
        </r>
      </text>
    </comment>
    <comment ref="C336" authorId="3" shapeId="0" xr:uid="{1759ECE7-5B45-4010-A7BF-D7FEB1EEC49D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non current </t>
        </r>
      </text>
    </comment>
    <comment ref="B339" authorId="1" shapeId="0" xr:uid="{AD32D9BD-2094-4DA0-B99B-757697379FF7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Our retail debt differs from the company reported because the company also deducts hedging assets
</t>
        </r>
      </text>
    </comment>
    <comment ref="C340" authorId="1" shapeId="0" xr:uid="{9B2059C2-BD63-4CA1-AEE7-AD9E8F88FF6D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Retail Business Cash &amp; cash equivalents
</t>
        </r>
      </text>
    </comment>
    <comment ref="B368" authorId="2" shapeId="0" xr:uid="{C8B81271-A6F3-408E-92AD-1EA2CD71DF34}">
      <text>
        <r>
          <rPr>
            <sz val="9"/>
            <color indexed="81"/>
            <rFont val="Tahoma"/>
            <family val="2"/>
          </rPr>
          <t xml:space="preserve">Source - Bloomberg
</t>
        </r>
      </text>
    </comment>
    <comment ref="C384" authorId="3" shapeId="0" xr:uid="{1A0DCEE5-0B29-4933-B349-B0944777D63A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current </t>
        </r>
      </text>
    </comment>
    <comment ref="I386" authorId="0" shapeId="0" xr:uid="{16EE692E-CD0C-42A9-B995-9F8C8BAD36AE}">
      <text>
        <r>
          <rPr>
            <b/>
            <sz val="9"/>
            <color indexed="81"/>
            <rFont val="Tahoma"/>
            <family val="2"/>
          </rPr>
          <t>Excluding IFRS 16 impact</t>
        </r>
      </text>
    </comment>
    <comment ref="C389" authorId="3" shapeId="0" xr:uid="{79E3155C-948E-4EE8-9BD5-2F10478C7D3A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non current </t>
        </r>
      </text>
    </comment>
    <comment ref="B392" authorId="1" shapeId="0" xr:uid="{FBF9BB91-207E-42FD-85C2-0022B65CF426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Our retail debt differs from the company reported because the company also deducts hedging assets
</t>
        </r>
      </text>
    </comment>
    <comment ref="C393" authorId="1" shapeId="0" xr:uid="{17716277-E6C6-41D9-969A-AFD6CBA2F9BD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Retail Business Cash &amp; cash equivalents
</t>
        </r>
      </text>
    </comment>
    <comment ref="B421" authorId="2" shapeId="0" xr:uid="{A66B0018-9769-46F9-AF01-EB0D4505794D}">
      <text>
        <r>
          <rPr>
            <sz val="9"/>
            <color indexed="81"/>
            <rFont val="Tahoma"/>
            <family val="2"/>
          </rPr>
          <t xml:space="preserve">Source - Bloomberg
</t>
        </r>
      </text>
    </comment>
    <comment ref="C437" authorId="3" shapeId="0" xr:uid="{C8D3C4BE-B27A-492E-8C49-33A7E71E621A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current </t>
        </r>
      </text>
    </comment>
    <comment ref="I439" authorId="0" shapeId="0" xr:uid="{EF8D2CFB-694E-40D7-A6F0-8CF793495F06}">
      <text>
        <r>
          <rPr>
            <b/>
            <sz val="9"/>
            <color indexed="81"/>
            <rFont val="Tahoma"/>
            <family val="2"/>
          </rPr>
          <t>Excluding IFRS 16 impact</t>
        </r>
      </text>
    </comment>
    <comment ref="C442" authorId="3" shapeId="0" xr:uid="{B49D1C48-7246-4E91-9CA4-523480FD1CE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non current </t>
        </r>
      </text>
    </comment>
    <comment ref="B445" authorId="1" shapeId="0" xr:uid="{6EA20946-CCE2-419A-96D2-C2D28DBAC6A4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Our retail debt differs from the company reported because the company also deducts hedging assets
</t>
        </r>
      </text>
    </comment>
    <comment ref="C446" authorId="1" shapeId="0" xr:uid="{56282D49-B596-4ED5-8EBC-E3CC710D9AD1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Retail Business Cash &amp; cash equivalents
</t>
        </r>
      </text>
    </comment>
    <comment ref="B474" authorId="2" shapeId="0" xr:uid="{2CFF830D-3C6C-44ED-9546-7FD5F039D2DF}">
      <text>
        <r>
          <rPr>
            <sz val="9"/>
            <color indexed="81"/>
            <rFont val="Tahoma"/>
            <family val="2"/>
          </rPr>
          <t xml:space="preserve">Source - Bloomberg
</t>
        </r>
      </text>
    </comment>
    <comment ref="C490" authorId="3" shapeId="0" xr:uid="{E43DD6C2-27A2-4592-823E-7F1C44120628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current </t>
        </r>
      </text>
    </comment>
    <comment ref="I492" authorId="0" shapeId="0" xr:uid="{B5D1801A-841C-4452-8325-BFA7C1ACCB3D}">
      <text>
        <r>
          <rPr>
            <b/>
            <sz val="9"/>
            <color indexed="81"/>
            <rFont val="Tahoma"/>
            <family val="2"/>
          </rPr>
          <t>Excluding IFRS 16 impact</t>
        </r>
      </text>
    </comment>
    <comment ref="C495" authorId="3" shapeId="0" xr:uid="{EB8C12E7-1642-40F2-B5F6-FA78EF02B471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non current </t>
        </r>
      </text>
    </comment>
    <comment ref="B498" authorId="1" shapeId="0" xr:uid="{24E467E5-0878-419C-843F-C48801F46B94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Our retail debt differs from the company reported because the company also deducts hedging assets
</t>
        </r>
      </text>
    </comment>
    <comment ref="C499" authorId="1" shapeId="0" xr:uid="{205FC8DB-BD95-4D31-827C-A4A1DCB4BF24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Retail Business Cash &amp; cash equivalents
</t>
        </r>
      </text>
    </comment>
    <comment ref="B527" authorId="2" shapeId="0" xr:uid="{E62DE384-1D19-4AA8-8FE3-5624E9C47A80}">
      <text>
        <r>
          <rPr>
            <sz val="9"/>
            <color indexed="81"/>
            <rFont val="Tahoma"/>
            <family val="2"/>
          </rPr>
          <t xml:space="preserve">Source - Bloomberg
</t>
        </r>
      </text>
    </comment>
    <comment ref="C545" authorId="3" shapeId="0" xr:uid="{CA948C92-8FFD-4B1C-B45C-6050E9FEED9C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current </t>
        </r>
      </text>
    </comment>
    <comment ref="C550" authorId="3" shapeId="0" xr:uid="{792A9E5B-DF9F-4035-8BDA-3026CBCA1EBD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non current </t>
        </r>
      </text>
    </comment>
    <comment ref="B553" authorId="1" shapeId="0" xr:uid="{AD384D81-D69F-4C60-BE22-1F0252FC76D3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Our retail debt differs from the company reported because the company also deducts hedging assets
</t>
        </r>
      </text>
    </comment>
    <comment ref="C554" authorId="1" shapeId="0" xr:uid="{775C98F2-4235-46C5-8B3B-1773FEE89C1B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Retail Business Cash &amp; cash equivalents
</t>
        </r>
      </text>
    </comment>
    <comment ref="B582" authorId="2" shapeId="0" xr:uid="{1B7FFB38-2E0C-47A8-A4CA-0781154527C8}">
      <text>
        <r>
          <rPr>
            <sz val="9"/>
            <color indexed="81"/>
            <rFont val="Tahoma"/>
            <family val="2"/>
          </rPr>
          <t xml:space="preserve">Source - Bloomberg
</t>
        </r>
      </text>
    </comment>
    <comment ref="C600" authorId="3" shapeId="0" xr:uid="{AC73D5CB-2EAB-4E2B-9F93-300588629932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current </t>
        </r>
      </text>
    </comment>
    <comment ref="C605" authorId="3" shapeId="0" xr:uid="{177D8504-DCA2-41D2-B855-2E5435E0D58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non current </t>
        </r>
      </text>
    </comment>
    <comment ref="B608" authorId="1" shapeId="0" xr:uid="{5C23B9AD-44AE-45A3-BA8A-AF7165BA32C8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Our retail debt differs from the company reported because the company also deducts hedging assets
</t>
        </r>
      </text>
    </comment>
    <comment ref="C609" authorId="1" shapeId="0" xr:uid="{E6524C39-1192-4BDD-9D47-3054CCCDCDE9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Retail Business Cash &amp; cash equivalents
</t>
        </r>
      </text>
    </comment>
    <comment ref="B637" authorId="2" shapeId="0" xr:uid="{62396DF1-D3C2-4C1B-98EE-6EA7FE88456C}">
      <text>
        <r>
          <rPr>
            <sz val="9"/>
            <color indexed="81"/>
            <rFont val="Tahoma"/>
            <family val="2"/>
          </rPr>
          <t xml:space="preserve">To be updated from PPT
</t>
        </r>
      </text>
    </comment>
    <comment ref="C654" authorId="3" shapeId="0" xr:uid="{3E505FCE-8518-4DEF-8825-BD799C7E8CD6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current </t>
        </r>
      </text>
    </comment>
    <comment ref="C659" authorId="3" shapeId="0" xr:uid="{6A11300C-70E3-45E7-A241-AAC944F61CBD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non current </t>
        </r>
      </text>
    </comment>
    <comment ref="B662" authorId="1" shapeId="0" xr:uid="{CCA6CF4F-9687-4E73-B7FA-16F7325BBFF8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Our retail debt differs from the company reported because the company also deducts hedging assets
</t>
        </r>
      </text>
    </comment>
    <comment ref="C663" authorId="1" shapeId="0" xr:uid="{F27E3641-BF29-487A-AD18-8807492EB678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Retail Business Cash &amp; cash equivalents
</t>
        </r>
      </text>
    </comment>
    <comment ref="C708" authorId="3" shapeId="0" xr:uid="{2692C4B9-DED8-4AC6-B444-9A81F77F04C8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current </t>
        </r>
      </text>
    </comment>
    <comment ref="C713" authorId="3" shapeId="0" xr:uid="{B4EF7E19-7B8A-451A-B42A-4BB8803F15D3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non current </t>
        </r>
      </text>
    </comment>
    <comment ref="B716" authorId="1" shapeId="0" xr:uid="{21A37277-0A32-4FAE-A51F-51AEA6F8AC97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Our retail debt differs from the company reported because the company also deducts hedging assets
</t>
        </r>
      </text>
    </comment>
    <comment ref="C717" authorId="1" shapeId="0" xr:uid="{2DA9CB6F-1C06-4471-8D25-6CC8EC99EFB1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Retail Business Cash &amp; cash equivalents
</t>
        </r>
      </text>
    </comment>
    <comment ref="C762" authorId="3" shapeId="0" xr:uid="{EDDEE66F-F2A4-4210-89AB-B6DF16198B7F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current </t>
        </r>
      </text>
    </comment>
    <comment ref="C767" authorId="3" shapeId="0" xr:uid="{1C5F6775-0376-4592-9BC6-C186393DC405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non current </t>
        </r>
      </text>
    </comment>
    <comment ref="B770" authorId="1" shapeId="0" xr:uid="{28598E68-DC31-4322-9CE0-26F3FA1E7513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Our retail debt differs from the company reported because the company also deducts hedging assets
</t>
        </r>
      </text>
    </comment>
    <comment ref="C771" authorId="1" shapeId="0" xr:uid="{22B98838-E4DD-4D94-A7F1-F26B5832CFA7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Retail Business Cash &amp; cash equivalents
</t>
        </r>
      </text>
    </comment>
    <comment ref="C817" authorId="3" shapeId="0" xr:uid="{FF85E86B-719F-4CCF-A977-9965723EFC1A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current </t>
        </r>
      </text>
    </comment>
    <comment ref="C822" authorId="3" shapeId="0" xr:uid="{05CDB795-3366-4D24-A6BA-07482A4A83C2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non current </t>
        </r>
      </text>
    </comment>
    <comment ref="B825" authorId="1" shapeId="0" xr:uid="{725630F0-872E-4030-9637-77D56DA4FDDD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Our retail debt differs from the company reported because the company also deducts hedging assets
</t>
        </r>
      </text>
    </comment>
    <comment ref="C826" authorId="1" shapeId="0" xr:uid="{15814C60-A572-4800-9F5F-7045B61F023A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Retail Business Cash &amp; cash equivalents
</t>
        </r>
      </text>
    </comment>
    <comment ref="C871" authorId="3" shapeId="0" xr:uid="{F0BF1A4D-37AC-4143-90D4-29D48223F6FF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current </t>
        </r>
      </text>
    </comment>
    <comment ref="C876" authorId="3" shapeId="0" xr:uid="{463DD85F-2E15-4B6C-9F75-A3CAB3157F5F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non current </t>
        </r>
      </text>
    </comment>
    <comment ref="B879" authorId="1" shapeId="0" xr:uid="{EB8771B2-F60B-4E18-8FDA-2F6436CE52BA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Our retail debt differs from the company reported because the company also deducts hedging assets
</t>
        </r>
      </text>
    </comment>
    <comment ref="C880" authorId="1" shapeId="0" xr:uid="{DBAF20BB-0A2B-4336-BCF7-1A8450063F1C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Retail Business Cash &amp; cash equivalents
</t>
        </r>
      </text>
    </comment>
    <comment ref="C927" authorId="3" shapeId="0" xr:uid="{E4F4D592-E7EE-497A-93D9-64701FB80552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current </t>
        </r>
      </text>
    </comment>
    <comment ref="C932" authorId="3" shapeId="0" xr:uid="{F4ECE3E2-38A6-4053-AD79-4E814073D785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non current </t>
        </r>
      </text>
    </comment>
    <comment ref="B935" authorId="1" shapeId="0" xr:uid="{ED0B3B12-7E34-4016-8747-9ABD5621DEE9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Our retail debt differs from the company reported because the company also deducts hedging assets
</t>
        </r>
      </text>
    </comment>
    <comment ref="C936" authorId="1" shapeId="0" xr:uid="{4BC7AD62-40F2-4BE9-A392-90687002E98E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Retail Business Cash &amp; cash equivalents
</t>
        </r>
      </text>
    </comment>
    <comment ref="C983" authorId="3" shapeId="0" xr:uid="{A377AFEC-3F5C-475F-BFD1-606D16EA1059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current </t>
        </r>
      </text>
    </comment>
    <comment ref="C988" authorId="3" shapeId="0" xr:uid="{26A6CF11-ED9B-45A6-8796-D869A155EFA1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non current </t>
        </r>
      </text>
    </comment>
    <comment ref="B991" authorId="1" shapeId="0" xr:uid="{271997F5-37AB-4B1A-8140-5AA3BE4305DB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Our retail debt differs from the company reported because the company also deducts hedging assets
</t>
        </r>
      </text>
    </comment>
    <comment ref="C992" authorId="1" shapeId="0" xr:uid="{A785CDD7-9E1F-4919-8D61-FBE44C638261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Retail Business Cash &amp; cash equivalents
</t>
        </r>
      </text>
    </comment>
    <comment ref="C1040" authorId="3" shapeId="0" xr:uid="{3BFFB544-ABA1-4F4C-8AEA-E203E4812AFB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current </t>
        </r>
      </text>
    </comment>
    <comment ref="J1040" authorId="3" shapeId="0" xr:uid="{E3928735-371A-4055-B3CD-13564408B554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We are deducting hedge assets from this to calculate net debt (As per the company's definition: Net financial debt = Current financial liabilities - Financial Assets (Hedges)- Cash and Cash Equivalents). However, the company in the press release  reported Total Consolidated Financial Debt (excluding banking operations): $4,279,867 Mn
 </t>
        </r>
      </text>
    </comment>
    <comment ref="C1045" authorId="3" shapeId="0" xr:uid="{6EF729ED-4FC4-46A6-B46B-E5A638FC5FB1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non current </t>
        </r>
      </text>
    </comment>
    <comment ref="B1048" authorId="1" shapeId="0" xr:uid="{1F521510-39ED-443A-8DA8-3A1B10173610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Our retail debt differs from the company reported because the company also deducts hedging assets
</t>
        </r>
      </text>
    </comment>
    <comment ref="C1049" authorId="1" shapeId="0" xr:uid="{7D3D8683-B048-40CF-A8CB-ACA7E89A896C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Retail Business Cash &amp; cash equivalents
</t>
        </r>
      </text>
    </comment>
    <comment ref="C1092" authorId="3" shapeId="0" xr:uid="{51C37766-AC0C-4972-84FF-7E79E639B09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current </t>
        </r>
      </text>
    </comment>
    <comment ref="J1092" authorId="3" shapeId="0" xr:uid="{06D8F53D-DBB8-4A68-8813-4A94AA9090E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We are deducting hedge assets from this to calculate net debt (As per the company's definition: Net financial debt = Current financial liabilities - Financial Assets (Hedges)- Cash and Cash Equivalents). However, the company in the press release  reported Total Consolidated Financial Debt (excluding banking operations): $4,279,867 Mn
 </t>
        </r>
      </text>
    </comment>
    <comment ref="C1097" authorId="3" shapeId="0" xr:uid="{3990C076-C934-4DF4-B9EE-5F0E55416DC2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non current </t>
        </r>
      </text>
    </comment>
    <comment ref="B1100" authorId="1" shapeId="0" xr:uid="{A4140B4F-CC90-49AC-8B60-295ADE73479F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Our retail debt differs from the company reported because the company also deducts hedging assets
</t>
        </r>
      </text>
    </comment>
    <comment ref="C1101" authorId="1" shapeId="0" xr:uid="{2355ECF2-AD9C-4BFF-93D1-376F9D1AFA7B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Retail Business Cash &amp; cash equivalents
</t>
        </r>
      </text>
    </comment>
    <comment ref="C1144" authorId="3" shapeId="0" xr:uid="{CAE01B40-A80A-45DA-8407-19D07B3DA6B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current </t>
        </r>
      </text>
    </comment>
    <comment ref="J1144" authorId="3" shapeId="0" xr:uid="{D24A026B-4B48-4A3B-A83E-8D8560E8883F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We are deducting hedge assets from this to calculate net debt (As per the company's definition: Net financial debt = Current financial liabilities - Financial Assets (Hedges)- Cash and Cash Equivalents). However, the company in the press release  reported Total Consolidated Financial Debt (excluding banking operations): $4,279,867 Mn
 </t>
        </r>
      </text>
    </comment>
    <comment ref="C1149" authorId="3" shapeId="0" xr:uid="{7F4EA0FE-C0D8-47CC-A680-D91430B8C6DB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non current </t>
        </r>
      </text>
    </comment>
    <comment ref="B1152" authorId="1" shapeId="0" xr:uid="{5E666F9A-197A-4340-9B3C-23E8FBCB54DB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Our retail debt differs from the company reported because the company also deducts hedging assets
</t>
        </r>
      </text>
    </comment>
    <comment ref="C1153" authorId="1" shapeId="0" xr:uid="{3506065F-15BD-4056-A6EB-BDBE754001A8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Retail Business Cash &amp; cash equivalents
</t>
        </r>
      </text>
    </comment>
    <comment ref="C1182" authorId="4" shapeId="0" xr:uid="{40B43F34-F14A-4D68-9432-2C7C93EE1F40}">
      <text>
        <r>
          <rPr>
            <sz val="9"/>
            <color indexed="81"/>
            <rFont val="Tahoma"/>
            <family val="2"/>
          </rPr>
          <t xml:space="preserve">Covid-19 Debt is available in ER. Pg 14/32
</t>
        </r>
      </text>
    </comment>
    <comment ref="C1196" authorId="3" shapeId="0" xr:uid="{E56EDE7F-26AA-4D10-8CA1-9920611F0DA7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current </t>
        </r>
      </text>
    </comment>
    <comment ref="J1196" authorId="3" shapeId="0" xr:uid="{EB1E4BCE-891C-4295-A8F0-029D8DB04E97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We are deducting hedge assets from this to calculate net debt (As per the company's definition: Net financial debt = Current financial liabilities - Financial Assets (Hedges)- Cash and Cash Equivalents). However, the company in the press release  reported Total Consolidated Financial Debt (excluding banking operations): $4,643,821 Mn
 </t>
        </r>
      </text>
    </comment>
    <comment ref="C1201" authorId="3" shapeId="0" xr:uid="{405DF436-5CA6-4A4B-B20F-38D94C244C0F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non current </t>
        </r>
      </text>
    </comment>
    <comment ref="B1204" authorId="1" shapeId="0" xr:uid="{9E88ECAE-4298-4EB6-B979-3D0D2C93216B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Our retail debt differs from the company reported because the company also deducts hedging assets
</t>
        </r>
      </text>
    </comment>
    <comment ref="C1205" authorId="1" shapeId="0" xr:uid="{F92A9613-E4AF-40AF-8C38-05628285CE3F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Retail Business Cash &amp; cash equivalents
</t>
        </r>
      </text>
    </comment>
    <comment ref="C1234" authorId="4" shapeId="0" xr:uid="{BDB771ED-0E87-41BD-A44A-F6D638186199}">
      <text>
        <r>
          <rPr>
            <sz val="9"/>
            <color indexed="81"/>
            <rFont val="Tahoma"/>
            <family val="2"/>
          </rPr>
          <t xml:space="preserve">Covid-19 Debt is available in ER. Pg 14/32
</t>
        </r>
      </text>
    </comment>
    <comment ref="C1249" authorId="3" shapeId="0" xr:uid="{7E9F67D6-B65D-4975-AA7A-E1346638862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current </t>
        </r>
      </text>
    </comment>
    <comment ref="J1249" authorId="3" shapeId="0" xr:uid="{8C7F683F-C74C-4785-989A-7D492DAC273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We are deducting hedge assets from this to calculate net debt (As per the company's definition: Net financial debt = Current financial liabilities - Financial Assets (Hedges)- Cash and Cash Equivalents). However, the company in the press release  reported Total Consolidated Financial Debt (excluding banking operations): $3,128,475 Mn
 </t>
        </r>
      </text>
    </comment>
    <comment ref="C1254" authorId="3" shapeId="0" xr:uid="{61EA498E-17E2-47B5-8AE0-9E6719C87FFD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non current </t>
        </r>
      </text>
    </comment>
    <comment ref="B1257" authorId="1" shapeId="0" xr:uid="{B0E5A101-1106-44A2-B7EE-38250C476462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Our retail debt differs from the company reported because the company also deducts hedging assets
</t>
        </r>
      </text>
    </comment>
    <comment ref="C1258" authorId="1" shapeId="0" xr:uid="{88272EF9-236D-4C9B-B274-1CF603354482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Retail Business Cash &amp; cash equivalents
</t>
        </r>
      </text>
    </comment>
    <comment ref="C1302" authorId="3" shapeId="0" xr:uid="{B2ED285C-FFBC-4877-AC58-5C0A34A5D44D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current </t>
        </r>
      </text>
    </comment>
    <comment ref="J1302" authorId="3" shapeId="0" xr:uid="{CE6940EB-A6B1-4924-9DB7-B8C4A4BAC13C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We are deducting hedge assets from this to calculate net debt (As per the company's definition: Net financial debt = Current financial liabilities - Financial Assets (Hedges)- Cash and Cash Equivalents). However, the company in the press release  reported Total Consolidated Financial Debt (excluding banking operations): $3,128,475 Mn
 </t>
        </r>
      </text>
    </comment>
    <comment ref="C1307" authorId="3" shapeId="0" xr:uid="{385C6E26-ED2F-4280-90F8-1DF59365F16F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non current </t>
        </r>
      </text>
    </comment>
    <comment ref="B1310" authorId="1" shapeId="0" xr:uid="{7001F624-1861-4ADD-9519-C5189AD2E5D4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Our retail debt differs from the company reported because the company also deducts hedging assets
</t>
        </r>
      </text>
    </comment>
    <comment ref="C1311" authorId="1" shapeId="0" xr:uid="{9C66D6C8-B5FC-4DA5-B8BA-8CFB34B3E46A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Retail Business Cash &amp; cash equivalents
</t>
        </r>
      </text>
    </comment>
    <comment ref="C1356" authorId="3" shapeId="0" xr:uid="{962DE789-B970-4C1B-A475-EB84ACFCA91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current </t>
        </r>
      </text>
    </comment>
    <comment ref="J1356" authorId="3" shapeId="0" xr:uid="{F3102AD5-DC31-4F13-A949-D453874974FB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We are deducting hedge assets from this to calculate net debt (As per the company's definition: Net financial debt = Current financial liabilities - Financial Assets (Hedges)- Cash and Cash Equivalents). However, the company in the press release  reported Total Consolidated Financial Debt (excluding banking operations): $3,297,170
 </t>
        </r>
      </text>
    </comment>
    <comment ref="C1361" authorId="3" shapeId="0" xr:uid="{358D2899-DF24-4192-A3B7-639607AF0FC5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non current </t>
        </r>
      </text>
    </comment>
    <comment ref="B1364" authorId="1" shapeId="0" xr:uid="{9EB16B32-F9A1-449E-BB60-73788AC0F73A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Our retail debt differs from the company reported because the company also deducts hedging assets
</t>
        </r>
      </text>
    </comment>
    <comment ref="C1365" authorId="1" shapeId="0" xr:uid="{9B4CFEEF-CCAC-468D-8E44-4B129DD01A62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Retail Business Cash &amp; cash equivalents
</t>
        </r>
      </text>
    </comment>
    <comment ref="C1410" authorId="3" shapeId="0" xr:uid="{55C32708-C0C3-41A3-B150-2274EEC008FC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current </t>
        </r>
      </text>
    </comment>
    <comment ref="J1410" authorId="3" shapeId="0" xr:uid="{6A6B91F3-0C02-493A-8328-21A184FE426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We are deducting hedge assets from this to calculate net debt (As per the company's definition: Net financial debt = Current financial liabilities - Financial Assets (Hedges)- Cash and Cash Equivalents). However, the company in the press release  reported Total Consolidated Financial Debt (excluding banking operations): $3,155,737
 </t>
        </r>
      </text>
    </comment>
    <comment ref="C1415" authorId="3" shapeId="0" xr:uid="{F355F4B5-D6DE-43DB-9EC8-E82D08B866F4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non current </t>
        </r>
      </text>
    </comment>
    <comment ref="B1418" authorId="1" shapeId="0" xr:uid="{DA7A4E6D-F8E8-44C1-B985-241F742EA07D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Our retail debt differs from the company reported because the company also deducts hedging assets
</t>
        </r>
      </text>
    </comment>
    <comment ref="C1419" authorId="1" shapeId="0" xr:uid="{BB934EBF-35DC-4A12-BCDB-E2A1BC2787A3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Retail Business Cash &amp; cash equivalents
</t>
        </r>
      </text>
    </comment>
    <comment ref="C1464" authorId="3" shapeId="0" xr:uid="{0FCB8DD4-65D0-493A-B38E-F9C8DC2C5BB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current </t>
        </r>
      </text>
    </comment>
    <comment ref="J1464" authorId="3" shapeId="0" xr:uid="{D657D6DF-40F5-4E74-965F-017A8AEEBAB4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We are deducting hedge assets from this to calculate net debt (As per the company's definition: Net financial debt = Current financial liabilities- Financial Assets (Hedges)- Cash and Cash Equivalents). However, the company in the press release  reported Total Consolidated Financial Debt (excluding banking operations): $3,167,474.
</t>
        </r>
      </text>
    </comment>
    <comment ref="C1469" authorId="3" shapeId="0" xr:uid="{7068DC7D-D684-4A3B-9006-C6D1DFB1F702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Balance sheet lease liabilities, non current </t>
        </r>
      </text>
    </comment>
    <comment ref="B1472" authorId="1" shapeId="0" xr:uid="{579A9463-4ADE-45C0-BA68-1314A333FF27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Our retail debt differs from the company reported because the company also deducts hedging assets
</t>
        </r>
      </text>
    </comment>
    <comment ref="C1473" authorId="1" shapeId="0" xr:uid="{D0554B4D-F5E7-449E-8F49-2F1ECB112681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Retail Business Cash &amp; cash equivalents
</t>
        </r>
      </text>
    </comment>
    <comment ref="J1518" authorId="3" shapeId="0" xr:uid="{3DF1F640-177B-4D5C-927E-4FB4CEE14E8D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As we are deducting hedge assets from this to calculate net debt (As per the company's definition: Net financial debt = Current liabilities - Financial Assets (Hedges)- Cash and Cash Equivalents). However, the company in the press release  reported Total Consolidated Financial Debt (excluding banking operations): $3,657,049 million.</t>
        </r>
      </text>
    </comment>
    <comment ref="B1526" authorId="1" shapeId="0" xr:uid="{9C225B3B-5CE8-4DC9-81FB-C0B3AAC6FBF3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Our retail debt differs from the company reported because the company also deducts hedging assets
</t>
        </r>
      </text>
    </comment>
    <comment ref="C1527" authorId="1" shapeId="0" xr:uid="{661F03C7-A1F5-46C6-AA5B-BEFBB160411C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Retail Business Cash &amp; cash equivalents
</t>
        </r>
      </text>
    </comment>
    <comment ref="B1581" authorId="1" shapeId="0" xr:uid="{4A7EFDFC-15DC-4C3E-A70E-E099E6871553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Our retail debt differs from the company reported because the company also deducts hedging assets
</t>
        </r>
      </text>
    </comment>
    <comment ref="C1582" authorId="1" shapeId="0" xr:uid="{8B41FAD0-A799-475A-B4AB-77D8A51C360E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Retail Business Cash &amp; cash equivalents
</t>
        </r>
      </text>
    </comment>
    <comment ref="B1632" authorId="1" shapeId="0" xr:uid="{5994BAEC-C344-4A22-B287-23C8AAC463CD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Our retail debt differs from the company reported because the company also deducts hedging assets
</t>
        </r>
      </text>
    </comment>
    <comment ref="C1633" authorId="1" shapeId="0" xr:uid="{1F8A40D9-FCF9-4B61-9739-06004798FE4F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Retail Business Cash &amp; cash equivalents
</t>
        </r>
      </text>
    </comment>
    <comment ref="B1684" authorId="1" shapeId="0" xr:uid="{045B344D-B4D6-4BC1-9709-1E726874594E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Our retail debt differs from the company reported because the company also deducts hedging assets
</t>
        </r>
      </text>
    </comment>
    <comment ref="C1685" authorId="1" shapeId="0" xr:uid="{5019DEC9-25C9-42F0-8B7E-9D49FA938709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Retail Business Cash &amp; cash equivalents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Onabule, Yejide</author>
    <author>Yogesh Sheth</author>
    <author>CRISIL</author>
    <author>Vivek Panchal</author>
    <author>Vandana Shivani</author>
    <author>Stuti Menon</author>
    <author>Ameya Dattatraya Gangal</author>
    <author>Prarthana Roy</author>
    <author>Harshit Bharat Tanna</author>
    <author>Crisil Integral IQ</author>
    <author>Crisil GR&amp;RS</author>
    <author>Crisil GR&amp;A</author>
    <author>Roshni Arunkumar</author>
    <author>JayT</author>
    <author>Sayali Patil</author>
    <author>CRISIL GR&amp;A</author>
  </authors>
  <commentList>
    <comment ref="B8" authorId="0" shapeId="0" xr:uid="{EBD5F9F2-E252-44A5-A9A6-C68FE2D4F711}">
      <text>
        <r>
          <rPr>
            <b/>
            <sz val="9"/>
            <color indexed="81"/>
            <rFont val="Tahoma"/>
            <family val="2"/>
          </rPr>
          <t>Onabule, Yejide:</t>
        </r>
        <r>
          <rPr>
            <sz val="9"/>
            <color indexed="81"/>
            <rFont val="Tahoma"/>
            <family val="2"/>
          </rPr>
          <t xml:space="preserve">
please fill this out how the income statement is laid by the company</t>
        </r>
      </text>
    </comment>
    <comment ref="B21" authorId="1" shapeId="0" xr:uid="{7E96E17E-5691-4A70-A733-4B5C81F228C6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Includes Share of income (losses) of associates and joint ventures accounted for using the equity method, exchange differences and income from indexation units.
</t>
        </r>
      </text>
    </comment>
    <comment ref="P63" authorId="2" shapeId="0" xr:uid="{BB4F8C99-E42A-4F39-9872-51C991B3BB7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ER</t>
        </r>
      </text>
    </comment>
    <comment ref="BD63" authorId="2" shapeId="0" xr:uid="{532C977B-7C2D-4498-82D3-D443273758A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ER</t>
        </r>
      </text>
    </comment>
    <comment ref="P64" authorId="2" shapeId="0" xr:uid="{33065EFC-3639-44D8-BE70-6482CB9F228C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ER</t>
        </r>
      </text>
    </comment>
    <comment ref="BD64" authorId="2" shapeId="0" xr:uid="{E72CFC8A-C93B-46D6-B2A8-8973A6BD3AA0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ER</t>
        </r>
      </text>
    </comment>
    <comment ref="P65" authorId="2" shapeId="0" xr:uid="{BDABCD3E-B476-4EA8-AEB1-5767EAF9086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ER</t>
        </r>
      </text>
    </comment>
    <comment ref="BD65" authorId="2" shapeId="0" xr:uid="{21B51099-E318-4947-9308-75DEBC1994DE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ER</t>
        </r>
      </text>
    </comment>
    <comment ref="AV67" authorId="3" shapeId="0" xr:uid="{661B6802-7B52-4326-A465-45C77A1B8182}">
      <text>
        <r>
          <rPr>
            <b/>
            <sz val="9"/>
            <color indexed="81"/>
            <rFont val="Tahoma"/>
            <family val="2"/>
          </rPr>
          <t>Round off</t>
        </r>
      </text>
    </comment>
    <comment ref="N70" authorId="4" shapeId="0" xr:uid="{EB8E398B-15D0-419D-848E-63758B4CB713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Adjusted for Net Profit to match the reported number
</t>
        </r>
      </text>
    </comment>
    <comment ref="O70" authorId="4" shapeId="0" xr:uid="{5D629FB3-9DB5-45C2-B0DC-2C229A6048BE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Adjusted for Net Profit to match the reported number
</t>
        </r>
      </text>
    </comment>
    <comment ref="P70" authorId="2" shapeId="0" xr:uid="{B93A9D82-7CDA-4D38-986E-2F83EC2D8CC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ER</t>
        </r>
      </text>
    </comment>
    <comment ref="BD70" authorId="2" shapeId="0" xr:uid="{78415172-F362-471E-832D-6B78B6AC6B40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ER</t>
        </r>
      </text>
    </comment>
    <comment ref="B83" authorId="0" shapeId="0" xr:uid="{1DAA865B-00A9-43D7-8965-DCEFB3101DF5}">
      <text>
        <r>
          <rPr>
            <b/>
            <sz val="9"/>
            <color indexed="81"/>
            <rFont val="Tahoma"/>
            <family val="2"/>
          </rPr>
          <t>Onabule, Yejide:</t>
        </r>
        <r>
          <rPr>
            <sz val="9"/>
            <color indexed="81"/>
            <rFont val="Tahoma"/>
            <family val="2"/>
          </rPr>
          <t xml:space="preserve">
as % of total debt</t>
        </r>
      </text>
    </comment>
    <comment ref="B91" authorId="1" shapeId="0" xr:uid="{8FE233B0-4C50-4280-8078-9E697744405A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The denominator consists of Interest &amp; indexation income, Commission income &amp; other operating income/(expense)
</t>
        </r>
      </text>
    </comment>
    <comment ref="B104" authorId="5" shapeId="0" xr:uid="{FD8FFDAE-8976-4286-A3B7-40E5E2B1FDCB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Sourced from company reported split of 'Administrative expenses'. Differs from depreciation used by company to arrive at 'Retail EBITDA
</t>
        </r>
      </text>
    </comment>
    <comment ref="F104" authorId="5" shapeId="0" xr:uid="{34EE3644-4EC1-49AB-AFA3-D913C6AA18B9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 Taken as difference between consolidated D&amp;A and Banking D&amp;A
</t>
        </r>
      </text>
    </comment>
    <comment ref="P104" authorId="2" shapeId="0" xr:uid="{CCB1836C-4CD7-48D1-8137-4B6DA19100F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ER</t>
        </r>
      </text>
    </comment>
    <comment ref="BD104" authorId="2" shapeId="0" xr:uid="{8AEC326C-AE2D-48A7-B30F-532867E1CA8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ER</t>
        </r>
      </text>
    </comment>
    <comment ref="E108" authorId="5" shapeId="0" xr:uid="{AC898A4C-CB84-4D5D-A6CF-2929CA6314E9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Mainly effect of separating Adventure Plaza</t>
        </r>
      </text>
    </comment>
    <comment ref="S108" authorId="0" shapeId="0" xr:uid="{C992CA31-D5BF-41FD-B282-D8D5A24F23AB}">
      <text>
        <r>
          <rPr>
            <b/>
            <sz val="9"/>
            <color indexed="81"/>
            <rFont val="Tahoma"/>
            <family val="2"/>
          </rPr>
          <t>Onabule, Yejide:</t>
        </r>
        <r>
          <rPr>
            <sz val="9"/>
            <color indexed="81"/>
            <rFont val="Tahoma"/>
            <family val="2"/>
          </rPr>
          <t xml:space="preserve">
6.7m of restructuring costs
0.2m site relocation costs
1.2m asset impairment and other</t>
        </r>
      </text>
    </comment>
    <comment ref="BN108" authorId="5" shapeId="0" xr:uid="{12CEACC2-53A5-45F7-926E-1B6FA7B86FFD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Mainly due to differnce in depreciation considered by the company
</t>
        </r>
      </text>
    </comment>
    <comment ref="BO108" authorId="5" shapeId="0" xr:uid="{B9B8786E-B0C2-4264-A216-E6A8ACCC7B5F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Mainly due to differnce in depreciation considered by the company
</t>
        </r>
      </text>
    </comment>
    <comment ref="BP108" authorId="5" shapeId="0" xr:uid="{4D535BB6-17B6-4909-8BA7-CF63EC44B2D1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Mainly due to differnce in depreciation considered by the company
</t>
        </r>
      </text>
    </comment>
    <comment ref="BQ108" authorId="5" shapeId="0" xr:uid="{F02ACA74-063E-44FA-A5C8-1B052244A8A1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Mainly due to differnce in depreciation considered by the company
</t>
        </r>
      </text>
    </comment>
    <comment ref="BR108" authorId="5" shapeId="0" xr:uid="{1F425ED4-DA4F-4DF7-A757-D06FDC1AA2E7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Mainly due to differnce in depreciation considered by the company
</t>
        </r>
      </text>
    </comment>
    <comment ref="BS108" authorId="5" shapeId="0" xr:uid="{2C937FA0-DD61-4A66-917B-DE5967CDBB60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Mainly due to differnce in depreciation considered by the company
</t>
        </r>
      </text>
    </comment>
    <comment ref="BT108" authorId="5" shapeId="0" xr:uid="{E5027780-FFF6-4499-A41B-7B82CFC44492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Mainly due to differnce in depreciation considered by the company
</t>
        </r>
      </text>
    </comment>
    <comment ref="BU108" authorId="5" shapeId="0" xr:uid="{4F3DDB53-12D9-47E2-AC96-27E358005F4B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Mainly due to differnce in depreciation considered by the company
</t>
        </r>
      </text>
    </comment>
    <comment ref="BV108" authorId="5" shapeId="0" xr:uid="{0A4CD4D5-52E1-4720-9EB1-E9BFA7CDCEAC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Mainly due to differnce in depreciation considered by the company
</t>
        </r>
      </text>
    </comment>
    <comment ref="BW108" authorId="5" shapeId="0" xr:uid="{4D8D7393-91D7-47CB-90CF-3FD137024A09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>Mainly due to differnce in depreciation considered by the company
And other gains of ~440mn</t>
        </r>
      </text>
    </comment>
    <comment ref="BY108" authorId="5" shapeId="0" xr:uid="{0FECC82D-3936-43E4-AC73-12A9C18AA2B7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Mainly due to differnce in depreciation considered by the company
</t>
        </r>
      </text>
    </comment>
    <comment ref="BZ108" authorId="5" shapeId="0" xr:uid="{7C0E660E-C587-492D-A1DA-FAC5EBA6E1F8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Mainly due to differnce in depreciation considered by the company
</t>
        </r>
      </text>
    </comment>
    <comment ref="P112" authorId="2" shapeId="0" xr:uid="{4EBDC645-7097-4013-B906-D4FE1A213209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</t>
        </r>
      </text>
    </comment>
    <comment ref="BD112" authorId="2" shapeId="0" xr:uid="{E6A85175-4754-491D-BEC9-F9DF85DC280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</t>
        </r>
      </text>
    </comment>
    <comment ref="P129" authorId="2" shapeId="0" xr:uid="{CD6BE6C2-1CA6-4D1B-B34A-FC4219F2386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ER</t>
        </r>
      </text>
    </comment>
    <comment ref="BD129" authorId="2" shapeId="0" xr:uid="{414CC035-8A18-4D16-8A47-3B8351687BDE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ER</t>
        </r>
      </text>
    </comment>
    <comment ref="B139" authorId="2" shapeId="0" xr:uid="{B7E408F2-EBFE-4463-847E-DB38580343D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Includes:
* PPE
* other long-term assets</t>
        </r>
      </text>
    </comment>
    <comment ref="B141" authorId="5" shapeId="0" xr:uid="{C3B2C63A-9C92-4048-8818-EA2D190C4612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Includes sale of PP&amp;E
</t>
        </r>
      </text>
    </comment>
    <comment ref="J141" authorId="6" shapeId="0" xr:uid="{D8552DE0-0FCD-466F-8603-85BCB4B25898}">
      <text>
        <r>
          <rPr>
            <sz val="9"/>
            <color indexed="81"/>
            <rFont val="Tahoma"/>
            <family val="2"/>
          </rPr>
          <t>Includes:
Cash flows from loss of control of subsidiaries or other businesses: 1,898.806
Proceeds from disposal of property, plant and equipment 7,641.469</t>
        </r>
      </text>
    </comment>
    <comment ref="K141" authorId="6" shapeId="0" xr:uid="{054B1347-8342-40FB-8D6E-38BDCF20A41A}">
      <text>
        <r>
          <rPr>
            <sz val="9"/>
            <color indexed="81"/>
            <rFont val="Tahoma"/>
            <family val="2"/>
          </rPr>
          <t>Includes:
Cash flows from loss of control of subsidiaries or other businesses: 4,209.950
Proceeds from disposal of property, plant and equipment 1,538.896
Cash flows used to obtain control of subsidiaries or other businesses 18,421.834</t>
        </r>
      </text>
    </comment>
    <comment ref="M141" authorId="6" shapeId="0" xr:uid="{23B90DF6-7EEC-4054-B1A0-BD81C7EF88BD}">
      <text>
        <r>
          <rPr>
            <sz val="9"/>
            <color indexed="81"/>
            <rFont val="Tahoma"/>
            <family val="2"/>
          </rPr>
          <t>Includes:
Cash flows from loss of control of subsidiaries or other businesses: 4,209.950
Proceeds from disposal of property, plant and equipment 1,538.896
Cash flows used to obtain control of subsidiaries or other businesses 18,421.834</t>
        </r>
      </text>
    </comment>
    <comment ref="AJ141" authorId="7" shapeId="0" xr:uid="{7AA9E810-9CCF-4F58-A498-558ACB5F21AD}">
      <text>
        <r>
          <rPr>
            <sz val="9"/>
            <color indexed="81"/>
            <rFont val="Tahoma"/>
            <family val="2"/>
          </rPr>
          <t>Included Contributions made in associates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142" authorId="7" shapeId="0" xr:uid="{E8171E33-D37D-4E7D-BB9A-EA72DF500E67}">
      <text>
        <r>
          <rPr>
            <sz val="9"/>
            <color indexed="81"/>
            <rFont val="Tahoma"/>
            <family val="2"/>
          </rPr>
          <t xml:space="preserve">Included amounts from other long term assets
</t>
        </r>
      </text>
    </comment>
    <comment ref="B148" authorId="5" shapeId="0" xr:uid="{E672B0FA-2BAA-42FE-8698-626E84651082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Includes changes in loans to related parties
</t>
        </r>
      </text>
    </comment>
    <comment ref="K149" authorId="8" shapeId="0" xr:uid="{12ADAC1B-34AD-4412-83A6-E41B9334827A}">
      <text>
        <r>
          <rPr>
            <sz val="9"/>
            <color indexed="81"/>
            <rFont val="Tahoma"/>
            <family val="2"/>
          </rPr>
          <t>Includes Amounts from other long-term assets 13,366.043</t>
        </r>
      </text>
    </comment>
    <comment ref="L149" authorId="8" shapeId="0" xr:uid="{E630AF15-7BB0-4EFF-BA91-0ABDF2E199D5}">
      <text>
        <r>
          <rPr>
            <sz val="9"/>
            <color indexed="81"/>
            <rFont val="Tahoma"/>
            <family val="2"/>
          </rPr>
          <t>Includes Amounts from other long-term assets 6,405,494</t>
        </r>
      </text>
    </comment>
    <comment ref="M149" authorId="8" shapeId="0" xr:uid="{6288B0FC-2656-42FF-B2E2-EC2A120BC552}">
      <text>
        <r>
          <rPr>
            <sz val="9"/>
            <color indexed="81"/>
            <rFont val="Tahoma"/>
            <family val="2"/>
          </rPr>
          <t>Includes Amounts from other long-term assets 6,405,494</t>
        </r>
      </text>
    </comment>
    <comment ref="N149" authorId="4" shapeId="0" xr:uid="{5EC241DC-AEA7-43AF-A9FC-D5DF1AAFD1A1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Includes purchase of non-controlling interests</t>
        </r>
      </text>
    </comment>
    <comment ref="P149" authorId="2" shapeId="0" xr:uid="{7580FF61-8328-45E2-84BE-96EAE96A5D9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FY investing activities inlcudes:
* Contributions made to associates: (10,782.930)
* Loans to related parties: (216.523) 
* Other cash inflows: 353.107
* Amounts from other long-term assets: 187,285.635  
* Other cash inflows (outflows): 1,185.870
* Amounts from the sale of property, plant, and equipment: 37,077.291
FY financing activities inlcudes:
* Other cash outflows: (22,574.072)</t>
        </r>
      </text>
    </comment>
    <comment ref="BD149" authorId="2" shapeId="0" xr:uid="{1F29E506-2D7C-483D-A54A-5825F98F5CB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9M investing activities inlcudes:
* Contributions made to associates: (9,612.000)
* Loans to related parties: (149.522)
* Other cash inflows: 353.107
* Amounts from other long-term assets: 180,757.996 
* Amounts from the sale of property, plant and equipment: 36,457.220 
9M financing activities inlcudes:
* Other cash outflows: (14,723.975)</t>
        </r>
      </text>
    </comment>
    <comment ref="BF149" authorId="9" shapeId="0" xr:uid="{3F989D40-73C4-44B4-AFEE-B0407822778E}">
      <text>
        <r>
          <rPr>
            <b/>
            <sz val="9"/>
            <color indexed="81"/>
            <rFont val="Tahoma"/>
            <family val="2"/>
          </rPr>
          <t>Crisil Integral IQ:</t>
        </r>
        <r>
          <rPr>
            <sz val="9"/>
            <color indexed="81"/>
            <rFont val="Tahoma"/>
            <family val="2"/>
          </rPr>
          <t xml:space="preserve">
3M investing activities inlcudes:
* Contributions made to associates: (3.980.000)
* Loans to related parties: (27.515.285) 
* Other cash inflows: 29.265 
3M financing activities inlcudes:
* Other cash outflows: (6.096.190)
* Purchase of Non-controlling interests: (142,125.505)</t>
        </r>
      </text>
    </comment>
    <comment ref="P151" authorId="2" shapeId="0" xr:uid="{AABFF11D-F6A0-4B76-8BDA-A9977376DC0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It is due to use of EBITDA to calculate CFO while company uses direct cash flow method</t>
        </r>
      </text>
    </comment>
    <comment ref="BF151" authorId="2" shapeId="0" xr:uid="{D23A2AC9-C53B-4166-A73E-6BD1346F854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Balancing figure difference is due to
Company using Direct method to arrive at CFO while we use EBITDA to arrive at CFO
</t>
        </r>
      </text>
    </comment>
    <comment ref="BV151" authorId="10" shapeId="0" xr:uid="{5D49955B-7B3A-4B4C-862B-323B0C894088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Major Difference is due to calcualtion starting from EBITDA instead of net profit</t>
        </r>
      </text>
    </comment>
    <comment ref="BW151" authorId="10" shapeId="0" xr:uid="{C0648010-BD7B-4E30-BA7C-4C1BC93853C5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Major Difference is due to calcualtion starting from EBITDA instead of net profit</t>
        </r>
      </text>
    </comment>
    <comment ref="B154" authorId="1" shapeId="0" xr:uid="{F93947D2-4C23-4B1B-8C48-9EC43DF1800F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Retail business cash and cash equivalents
</t>
        </r>
      </text>
    </comment>
    <comment ref="L187" authorId="11" shapeId="0" xr:uid="{8D6D4DE9-D259-4537-8A44-599D1CF66B36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Bifurcation not available hence total amount hard coded in Cell L184.</t>
        </r>
      </text>
    </comment>
    <comment ref="M187" authorId="11" shapeId="0" xr:uid="{7A02C960-8711-4E07-923E-B6DB5491EEB1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Bifurcation not available hence total amount hard coded in Cell L184.</t>
        </r>
      </text>
    </comment>
    <comment ref="BR187" authorId="12" shapeId="0" xr:uid="{15549D79-0911-40F8-9FF3-EE5CFE0998E8}">
      <text>
        <r>
          <rPr>
            <sz val="9"/>
            <color indexed="81"/>
            <rFont val="Tahoma"/>
            <family val="2"/>
          </rPr>
          <t>Not discllosed</t>
        </r>
      </text>
    </comment>
    <comment ref="BZ187" authorId="12" shapeId="0" xr:uid="{1B8B759C-C7AB-48A4-971F-376BCE663A75}">
      <text>
        <r>
          <rPr>
            <sz val="9"/>
            <color indexed="81"/>
            <rFont val="Tahoma"/>
            <family val="2"/>
          </rPr>
          <t>Not discllosed</t>
        </r>
      </text>
    </comment>
    <comment ref="J248" authorId="11" shapeId="0" xr:uid="{AD29C5E5-0F81-446E-94AA-D85D6D29BDDB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Including balance sheet lease liabilities. Due to the application of IFRS 16, financial lease obligations are presented as lease liabilities as of January 1, 2019</t>
        </r>
      </text>
    </comment>
    <comment ref="K248" authorId="11" shapeId="0" xr:uid="{6C40CC6D-E8F4-4061-9208-E83A0C8E643F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Including balance sheet lease liabilities. Due to the application of IFRS 16, financial lease obligations are presented as lease liabilities as of January 1, 2019</t>
        </r>
      </text>
    </comment>
    <comment ref="L248" authorId="11" shapeId="0" xr:uid="{DCDDD201-3786-4E08-AD8F-3AF7FC99D7C8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Including balance sheet lease liabilities. Due to the application of IFRS 16, financial lease obligations are presented as lease liabilities as of January 1, 2019</t>
        </r>
      </text>
    </comment>
    <comment ref="M248" authorId="11" shapeId="0" xr:uid="{E10BA1EA-5BC0-43FF-8E1C-9E83EA1EA806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Including balance sheet lease liabilities. Due to the application of IFRS 16, financial lease obligations are presented as lease liabilities as of January 1, 2019</t>
        </r>
      </text>
    </comment>
    <comment ref="N248" authorId="11" shapeId="0" xr:uid="{C6EA2A28-C92E-43AE-AC24-67C7EB1626D8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Including balance sheet lease liabilities. Due to the application of IFRS 16, financial lease obligations are presented as lease liabilities as of January 1, 2019</t>
        </r>
      </text>
    </comment>
    <comment ref="AD248" authorId="11" shapeId="0" xr:uid="{7AA4C77A-F7CC-47C2-B822-C4E10B96B73D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Including balance sheet lease liabilities. Due to the application of IFRS 16, financial lease obligations are presented as lease liabilities as of January 1, 2019</t>
        </r>
      </text>
    </comment>
    <comment ref="AF248" authorId="11" shapeId="0" xr:uid="{3DC7771D-571E-43AF-A261-4849BEC06FF1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Including balance sheet lease liabilities. Due to the application of IFRS 16, financial lease obligations are presented as lease liabilities as of January 1, 2019</t>
        </r>
      </text>
    </comment>
    <comment ref="AH248" authorId="11" shapeId="0" xr:uid="{9F211EB2-2E29-4EFA-87BC-D1C2583FCDD4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Including balance sheet lease liabilities. Due to the application of IFRS 16, financial lease obligations are presented as lease liabilities as of January 1, 2019</t>
        </r>
      </text>
    </comment>
    <comment ref="AT248" authorId="11" shapeId="0" xr:uid="{628A0163-34C3-448F-9C97-83321745AEBF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Including balance sheet lease liabilities. Due to the application of IFRS 16, financial lease obligations are presented as lease liabilities as of January 1, 2019</t>
        </r>
      </text>
    </comment>
    <comment ref="AX248" authorId="11" shapeId="0" xr:uid="{40A0912F-41D6-4BAA-94C3-D751AC8DABB6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Including balance sheet lease liabilities. Due to the application of IFRS 16, financial lease obligations are presented as lease liabilities as of January 1, 2019</t>
        </r>
      </text>
    </comment>
    <comment ref="BL248" authorId="11" shapeId="0" xr:uid="{EB9082F6-B8CA-4E62-90C5-1C3F33745A7F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Including balance sheet lease liabilities. Due to the application of IFRS 16, financial lease obligations are presented as lease liabilities as of January 1, 2019</t>
        </r>
      </text>
    </comment>
    <comment ref="BN248" authorId="1" shapeId="0" xr:uid="{D5DAFB76-8139-4B3E-86A4-2698DA062F0B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 Assumed same as on 31-Dec-2015
</t>
        </r>
      </text>
    </comment>
    <comment ref="BU248" authorId="11" shapeId="0" xr:uid="{B608920B-CEED-4FC7-AF41-9FE51119BB6F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Including balance sheet lease liabilities. Due to the application of IFRS 16, financial lease obligations are presented as lease liabilities as of January 1, 2019</t>
        </r>
      </text>
    </comment>
    <comment ref="BV248" authorId="11" shapeId="0" xr:uid="{3B1E363C-CBFD-4BEB-8378-D8C410DB3238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Including balance sheet lease liabilities. Due to the application of IFRS 16, financial lease obligations are presented as lease liabilities as of January 1, 2019</t>
        </r>
      </text>
    </comment>
    <comment ref="BN249" authorId="1" shapeId="0" xr:uid="{96F90EDA-3DA0-49A2-A9EC-50DD3E45168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 Assumed same as on 31-Dec-2015
</t>
        </r>
      </text>
    </comment>
    <comment ref="F268" authorId="11" shapeId="0" xr:uid="{0FF22FF2-3173-439B-97D9-D7D29B9E8C52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Assumed to be the same as we couldn’t locate letter of credit debt in the FY17 filing.</t>
        </r>
      </text>
    </comment>
    <comment ref="R268" authorId="1" shapeId="0" xr:uid="{2FCF37FB-DCD3-4EE3-944F-B5F2F7488EF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 Assumed same as in Dec-2015 due to lack of data
</t>
        </r>
      </text>
    </comment>
    <comment ref="AH268" authorId="13" shapeId="0" xr:uid="{202A52F0-3023-47E4-86AD-3D6AD17F5DDE}">
      <text>
        <r>
          <rPr>
            <b/>
            <sz val="9"/>
            <color indexed="81"/>
            <rFont val="Tahoma"/>
            <family val="2"/>
          </rPr>
          <t xml:space="preserve">Crisil GRA:
</t>
        </r>
        <r>
          <rPr>
            <sz val="9"/>
            <color indexed="81"/>
            <rFont val="Tahoma"/>
            <family val="2"/>
          </rPr>
          <t>Data not available</t>
        </r>
      </text>
    </comment>
    <comment ref="BN268" authorId="1" shapeId="0" xr:uid="{AF665D75-9F75-4FFE-B0E3-63930DDB5CA1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 Assumed same as on 31-Dec-2015
</t>
        </r>
      </text>
    </comment>
    <comment ref="O289" authorId="2" shapeId="0" xr:uid="{A091D40E-D611-4872-ABEC-251E237CCA4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CapIQ</t>
        </r>
      </text>
    </comment>
    <comment ref="P289" authorId="2" shapeId="0" xr:uid="{845F34C9-0022-454D-AABB-F5641F1B2B0C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CapIQ</t>
        </r>
      </text>
    </comment>
    <comment ref="AH289" authorId="14" shapeId="0" xr:uid="{437610E7-E54F-47D7-AB77-0B47A88BC38E}">
      <text>
        <r>
          <rPr>
            <b/>
            <sz val="9"/>
            <color indexed="81"/>
            <rFont val="Tahoma"/>
            <family val="2"/>
          </rPr>
          <t>Sayali Patil:
As of 31st March 2020</t>
        </r>
        <r>
          <rPr>
            <sz val="9"/>
            <color indexed="81"/>
            <rFont val="Tahoma"/>
            <family val="2"/>
          </rPr>
          <t xml:space="preserve">
Sourced from Yahoo finance</t>
        </r>
      </text>
    </comment>
    <comment ref="BB289" authorId="2" shapeId="0" xr:uid="{C8946072-B217-444A-BEB5-D1542BF4C4F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CapIQ</t>
        </r>
      </text>
    </comment>
    <comment ref="BR289" authorId="12" shapeId="0" xr:uid="{CAF402BC-2FFB-41F3-8481-FB2546867747}">
      <text>
        <r>
          <rPr>
            <sz val="9"/>
            <color indexed="81"/>
            <rFont val="Tahoma"/>
            <family val="2"/>
          </rPr>
          <t>From Bloomberg</t>
        </r>
      </text>
    </comment>
    <comment ref="AN382" authorId="15" shapeId="0" xr:uid="{2BF92922-2A06-4895-A63E-11C492022615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https://www.exchangerates.org.uk/USD-CLP-spot-exchange-rates-history-2021.html</t>
        </r>
      </text>
    </comment>
    <comment ref="AR382" authorId="15" shapeId="0" xr:uid="{55A7AE15-01C5-44E9-BEC7-0AA4BEB19C4B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https://www.exchangerates.org.uk/USD-CLP-spot-exchange-rates-history-2021.html</t>
        </r>
      </text>
    </comment>
    <comment ref="AV382" authorId="15" shapeId="0" xr:uid="{176DDF60-BC5B-4458-B6AA-9D22B9042568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https://www.exchangerates.org.uk/USD-CLP-spot-exchange-rates-history-2021.html</t>
        </r>
      </text>
    </comment>
    <comment ref="AW382" authorId="4" shapeId="0" xr:uid="{F0FE8253-285A-49FF-A4F8-67A871942CEC}">
      <text>
        <r>
          <rPr>
            <b/>
            <sz val="9"/>
            <color indexed="81"/>
            <rFont val="Tahoma"/>
            <family val="2"/>
          </rPr>
          <t>Vandana Shivani:</t>
        </r>
        <r>
          <rPr>
            <sz val="9"/>
            <color indexed="81"/>
            <rFont val="Tahoma"/>
            <family val="2"/>
          </rPr>
          <t xml:space="preserve">
https://www.exchangerates.org.uk/USD-CLP-spot-exchange-rates-history-2023.html</t>
        </r>
      </text>
    </comment>
    <comment ref="P477" authorId="2" shapeId="0" xr:uid="{24BFDE02-D554-4F63-B4F3-CB17201E061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ER</t>
        </r>
      </text>
    </comment>
    <comment ref="BD477" authorId="2" shapeId="0" xr:uid="{BB0E3DC7-79F6-484F-BD53-00C740331FD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ER</t>
        </r>
      </text>
    </comment>
    <comment ref="P478" authorId="2" shapeId="0" xr:uid="{5B397EC0-976F-4BB3-96CB-974EFCE079B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ER</t>
        </r>
      </text>
    </comment>
    <comment ref="BD478" authorId="2" shapeId="0" xr:uid="{8E3BA58F-4406-4890-A043-BD0C94AA492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ER</t>
        </r>
      </text>
    </comment>
    <comment ref="P497" authorId="2" shapeId="0" xr:uid="{679894FA-073E-4C05-BD39-3A3E1A54077C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</t>
        </r>
      </text>
    </comment>
    <comment ref="BD497" authorId="2" shapeId="0" xr:uid="{4A49751C-57D8-4AB3-924C-947B606AE69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</author>
    <author>Sayali Patil</author>
    <author>Crisil Integral IQ</author>
    <author>Meghana Ramesh Gollapudi</author>
    <author>Vandana Shivani</author>
    <author>Crisil GR&amp;A</author>
    <author>Ruchi Panchal</author>
  </authors>
  <commentList>
    <comment ref="Q10" authorId="0" shapeId="0" xr:uid="{37FF6F8B-EEF3-418B-8083-7B3CDF06E5D9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ER</t>
        </r>
      </text>
    </comment>
    <comment ref="AK10" authorId="1" shapeId="0" xr:uid="{EA12DD37-9690-461A-A529-14F5AEF01F23}">
      <text>
        <r>
          <rPr>
            <b/>
            <sz val="9"/>
            <color indexed="81"/>
            <rFont val="Tahoma"/>
            <family val="2"/>
          </rPr>
          <t>Sayali Patil:</t>
        </r>
        <r>
          <rPr>
            <sz val="9"/>
            <color indexed="81"/>
            <rFont val="Tahoma"/>
            <family val="2"/>
          </rPr>
          <t xml:space="preserve">
Stores operational status due to Covid-19 is  available in earnings release Pg 3/27</t>
        </r>
      </text>
    </comment>
    <comment ref="BH10" authorId="0" shapeId="0" xr:uid="{ED956261-6C07-49C2-8D41-251C9BBA737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ER</t>
        </r>
      </text>
    </comment>
    <comment ref="BJ10" authorId="2" shapeId="0" xr:uid="{D07E14DA-A5F5-4D0B-83C4-A70DF4E00246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ER, page no 23/34</t>
        </r>
      </text>
    </comment>
    <comment ref="Q54" authorId="0" shapeId="0" xr:uid="{4118E967-CC16-4B8C-AB74-9188B8C0C41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ER</t>
        </r>
      </text>
    </comment>
    <comment ref="BH54" authorId="0" shapeId="0" xr:uid="{51BBDB52-CFD1-4902-834E-0DCD0647094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ER</t>
        </r>
      </text>
    </comment>
    <comment ref="AK66" authorId="1" shapeId="0" xr:uid="{04EFC12B-E2A3-4D8D-91A5-E9A60524CF58}">
      <text>
        <r>
          <rPr>
            <b/>
            <sz val="9"/>
            <color indexed="81"/>
            <rFont val="Tahoma"/>
            <family val="2"/>
          </rPr>
          <t>Crisil GRA:</t>
        </r>
        <r>
          <rPr>
            <sz val="9"/>
            <color indexed="81"/>
            <rFont val="Tahoma"/>
            <family val="2"/>
          </rPr>
          <t xml:space="preserve">
Information not available</t>
        </r>
      </text>
    </comment>
    <comment ref="AM66" authorId="3" shapeId="0" xr:uid="{5A6A61D7-44DE-4DC6-880F-64C8E0A952AF}">
      <text>
        <r>
          <rPr>
            <b/>
            <sz val="9"/>
            <color indexed="81"/>
            <rFont val="Tahoma"/>
            <family val="2"/>
          </rPr>
          <t>data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66" authorId="3" shapeId="0" xr:uid="{4BD2C03C-6A67-4E1B-B2DE-C14A5F62EDE8}">
      <text>
        <r>
          <rPr>
            <b/>
            <sz val="9"/>
            <color indexed="81"/>
            <rFont val="Tahoma"/>
            <family val="2"/>
          </rPr>
          <t>data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P66" authorId="1" shapeId="0" xr:uid="{C781C039-D26C-44E9-804E-32AA4C6051FA}">
      <text>
        <r>
          <rPr>
            <b/>
            <sz val="9"/>
            <color indexed="81"/>
            <rFont val="Tahoma"/>
            <family val="2"/>
          </rPr>
          <t>Crisil GRA:</t>
        </r>
        <r>
          <rPr>
            <sz val="9"/>
            <color indexed="81"/>
            <rFont val="Tahoma"/>
            <family val="2"/>
          </rPr>
          <t xml:space="preserve">
Information not available</t>
        </r>
      </text>
    </comment>
    <comment ref="AR66" authorId="3" shapeId="0" xr:uid="{0D409F04-709F-4BC2-8804-0FE2293501AF}">
      <text>
        <r>
          <rPr>
            <b/>
            <sz val="9"/>
            <color indexed="81"/>
            <rFont val="Tahoma"/>
            <family val="2"/>
          </rPr>
          <t>data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66" authorId="3" shapeId="0" xr:uid="{AED5D477-497C-42E1-BB0B-ECF84B5F831B}">
      <text>
        <r>
          <rPr>
            <b/>
            <sz val="9"/>
            <color indexed="81"/>
            <rFont val="Tahoma"/>
            <family val="2"/>
          </rPr>
          <t>data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66" authorId="1" shapeId="0" xr:uid="{779BDD86-6144-4168-8098-37C1E977BEAC}">
      <text>
        <r>
          <rPr>
            <b/>
            <sz val="9"/>
            <color indexed="81"/>
            <rFont val="Tahoma"/>
            <family val="2"/>
          </rPr>
          <t>Crisil GRA:</t>
        </r>
        <r>
          <rPr>
            <sz val="9"/>
            <color indexed="81"/>
            <rFont val="Tahoma"/>
            <family val="2"/>
          </rPr>
          <t xml:space="preserve">
Information not available</t>
        </r>
      </text>
    </comment>
    <comment ref="AV66" authorId="3" shapeId="0" xr:uid="{667F9318-1607-4203-BB85-CD3E7B663B76}">
      <text>
        <r>
          <rPr>
            <b/>
            <sz val="9"/>
            <color indexed="81"/>
            <rFont val="Tahoma"/>
            <family val="2"/>
          </rPr>
          <t>data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66" authorId="3" shapeId="0" xr:uid="{1B43199A-6715-45E8-BFE3-B7E64CCB3E2F}">
      <text>
        <r>
          <rPr>
            <b/>
            <sz val="9"/>
            <color indexed="81"/>
            <rFont val="Tahoma"/>
            <family val="2"/>
          </rPr>
          <t>data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X66" authorId="1" shapeId="0" xr:uid="{52A37B3D-F85D-492A-B0E0-D658AEC6377D}">
      <text>
        <r>
          <rPr>
            <b/>
            <sz val="9"/>
            <color indexed="81"/>
            <rFont val="Tahoma"/>
            <family val="2"/>
          </rPr>
          <t>Crisil GRA:</t>
        </r>
        <r>
          <rPr>
            <sz val="9"/>
            <color indexed="81"/>
            <rFont val="Tahoma"/>
            <family val="2"/>
          </rPr>
          <t xml:space="preserve">
Information not available</t>
        </r>
      </text>
    </comment>
    <comment ref="AZ66" authorId="3" shapeId="0" xr:uid="{33BF6C00-68E3-4F63-B6FB-19C42AE20B14}">
      <text>
        <r>
          <rPr>
            <b/>
            <sz val="9"/>
            <color indexed="81"/>
            <rFont val="Tahoma"/>
            <family val="2"/>
          </rPr>
          <t>data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66" authorId="3" shapeId="0" xr:uid="{4BABA3DA-8C5A-40AC-BD56-B6CCF8FFB09D}">
      <text>
        <r>
          <rPr>
            <b/>
            <sz val="9"/>
            <color indexed="81"/>
            <rFont val="Tahoma"/>
            <family val="2"/>
          </rPr>
          <t>data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66" authorId="1" shapeId="0" xr:uid="{44DB6BFD-4AB7-470D-9142-F54529AACC73}">
      <text>
        <r>
          <rPr>
            <b/>
            <sz val="9"/>
            <color indexed="81"/>
            <rFont val="Tahoma"/>
            <family val="2"/>
          </rPr>
          <t>Crisil GRA:</t>
        </r>
        <r>
          <rPr>
            <sz val="9"/>
            <color indexed="81"/>
            <rFont val="Tahoma"/>
            <family val="2"/>
          </rPr>
          <t xml:space="preserve">
Information not available</t>
        </r>
      </text>
    </comment>
    <comment ref="BD66" authorId="3" shapeId="0" xr:uid="{99328BE8-253C-4A81-BDA9-362CBFE63EC8}">
      <text>
        <r>
          <rPr>
            <b/>
            <sz val="9"/>
            <color indexed="81"/>
            <rFont val="Tahoma"/>
            <family val="2"/>
          </rPr>
          <t>data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66" authorId="3" shapeId="0" xr:uid="{3D222EAE-779D-4CDB-9F54-A92C7E605EEE}">
      <text>
        <r>
          <rPr>
            <b/>
            <sz val="9"/>
            <color indexed="81"/>
            <rFont val="Tahoma"/>
            <family val="2"/>
          </rPr>
          <t>data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66" authorId="1" shapeId="0" xr:uid="{3CB1E308-24DB-4ED1-AEFA-CE72100ABA3A}">
      <text>
        <r>
          <rPr>
            <b/>
            <sz val="9"/>
            <color indexed="81"/>
            <rFont val="Tahoma"/>
            <family val="2"/>
          </rPr>
          <t>Crisil GRA:</t>
        </r>
        <r>
          <rPr>
            <sz val="9"/>
            <color indexed="81"/>
            <rFont val="Tahoma"/>
            <family val="2"/>
          </rPr>
          <t xml:space="preserve">
Information not available</t>
        </r>
      </text>
    </comment>
    <comment ref="BH66" authorId="3" shapeId="0" xr:uid="{75385B55-2CF8-4351-A651-C11E1BA62E56}">
      <text>
        <r>
          <rPr>
            <b/>
            <sz val="9"/>
            <color indexed="81"/>
            <rFont val="Tahoma"/>
            <family val="2"/>
          </rPr>
          <t>data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I66" authorId="3" shapeId="0" xr:uid="{20857009-A93E-4A23-8F80-16F3CB240E18}">
      <text>
        <r>
          <rPr>
            <b/>
            <sz val="9"/>
            <color indexed="81"/>
            <rFont val="Tahoma"/>
            <family val="2"/>
          </rPr>
          <t>data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J66" authorId="1" shapeId="0" xr:uid="{548639C8-041D-44F2-94FD-4A1EA1FC9B32}">
      <text>
        <r>
          <rPr>
            <b/>
            <sz val="9"/>
            <color indexed="81"/>
            <rFont val="Tahoma"/>
            <family val="2"/>
          </rPr>
          <t>Crisil GRA:</t>
        </r>
        <r>
          <rPr>
            <sz val="9"/>
            <color indexed="81"/>
            <rFont val="Tahoma"/>
            <family val="2"/>
          </rPr>
          <t xml:space="preserve">
Information not available</t>
        </r>
      </text>
    </comment>
    <comment ref="BP66" authorId="3" shapeId="0" xr:uid="{4AB9E22C-5777-4A51-ABFE-5966A24BB7F3}">
      <text>
        <r>
          <rPr>
            <b/>
            <sz val="9"/>
            <color indexed="81"/>
            <rFont val="Tahoma"/>
            <family val="2"/>
          </rPr>
          <t>data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73" authorId="0" shapeId="0" xr:uid="{61071F98-ECD3-4749-B675-778CD07D86F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ER</t>
        </r>
      </text>
    </comment>
    <comment ref="BH73" authorId="0" shapeId="0" xr:uid="{3A4E145B-C024-4C16-8976-C1C261B5DBB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ER</t>
        </r>
      </text>
    </comment>
    <comment ref="BJ73" authorId="2" shapeId="0" xr:uid="{AFB0024C-78FF-4C4A-BB32-ADFE64C9142B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ER</t>
        </r>
      </text>
    </comment>
    <comment ref="N76" authorId="4" shapeId="0" xr:uid="{9911FCE8-794A-4CEA-971D-0695329267D5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Updated based on recent fillings</t>
        </r>
      </text>
    </comment>
    <comment ref="AT80" authorId="1" shapeId="0" xr:uid="{B24FEC65-BF03-4C36-B09B-1000C899A97C}">
      <text>
        <r>
          <rPr>
            <b/>
            <sz val="9"/>
            <color indexed="81"/>
            <rFont val="Tahoma"/>
            <family val="2"/>
          </rPr>
          <t>Crisil GRA:</t>
        </r>
        <r>
          <rPr>
            <sz val="9"/>
            <color indexed="81"/>
            <rFont val="Tahoma"/>
            <family val="2"/>
          </rPr>
          <t xml:space="preserve">
Information not available</t>
        </r>
      </text>
    </comment>
    <comment ref="AX80" authorId="1" shapeId="0" xr:uid="{96335343-9B16-4673-9059-7901943EABE3}">
      <text>
        <r>
          <rPr>
            <b/>
            <sz val="9"/>
            <color indexed="81"/>
            <rFont val="Tahoma"/>
            <family val="2"/>
          </rPr>
          <t>Crisil GRA:</t>
        </r>
        <r>
          <rPr>
            <sz val="9"/>
            <color indexed="81"/>
            <rFont val="Tahoma"/>
            <family val="2"/>
          </rPr>
          <t xml:space="preserve">
Information not available</t>
        </r>
      </text>
    </comment>
    <comment ref="BB80" authorId="1" shapeId="0" xr:uid="{C1D2EB3E-4D71-4933-A38E-78554C7F2821}">
      <text>
        <r>
          <rPr>
            <b/>
            <sz val="9"/>
            <color indexed="81"/>
            <rFont val="Tahoma"/>
            <family val="2"/>
          </rPr>
          <t>Crisil GRA:</t>
        </r>
        <r>
          <rPr>
            <sz val="9"/>
            <color indexed="81"/>
            <rFont val="Tahoma"/>
            <family val="2"/>
          </rPr>
          <t xml:space="preserve">
Information not available</t>
        </r>
      </text>
    </comment>
    <comment ref="BF80" authorId="1" shapeId="0" xr:uid="{60A3AFDC-8D93-4F15-A8A8-6110F1F52EAE}">
      <text>
        <r>
          <rPr>
            <b/>
            <sz val="9"/>
            <color indexed="81"/>
            <rFont val="Tahoma"/>
            <family val="2"/>
          </rPr>
          <t>Crisil GRA:</t>
        </r>
        <r>
          <rPr>
            <sz val="9"/>
            <color indexed="81"/>
            <rFont val="Tahoma"/>
            <family val="2"/>
          </rPr>
          <t xml:space="preserve">
Information not available</t>
        </r>
      </text>
    </comment>
    <comment ref="BJ80" authorId="1" shapeId="0" xr:uid="{60D91474-0F36-4CC6-9192-27FFC23B9E30}">
      <text>
        <r>
          <rPr>
            <b/>
            <sz val="9"/>
            <color indexed="81"/>
            <rFont val="Tahoma"/>
            <family val="2"/>
          </rPr>
          <t>Crisil GRA:</t>
        </r>
        <r>
          <rPr>
            <sz val="9"/>
            <color indexed="81"/>
            <rFont val="Tahoma"/>
            <family val="2"/>
          </rPr>
          <t xml:space="preserve">
Information not available</t>
        </r>
      </text>
    </comment>
    <comment ref="BH87" authorId="0" shapeId="0" xr:uid="{73CDB653-F955-4C69-94EC-F02A9C018BE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ER</t>
        </r>
      </text>
    </comment>
    <comment ref="N90" authorId="4" shapeId="0" xr:uid="{900E9664-061D-47E1-887D-7F64E1FCE7D0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Updated based on recent fillings</t>
        </r>
      </text>
    </comment>
    <comment ref="BH94" authorId="0" shapeId="0" xr:uid="{01945F3F-42DA-45C5-8091-F630F46F00E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ER</t>
        </r>
      </text>
    </comment>
    <comment ref="Q100" authorId="0" shapeId="0" xr:uid="{E61444B6-86FA-4ECF-9AA0-732F911B5260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ER
</t>
        </r>
      </text>
    </comment>
    <comment ref="AH100" authorId="5" shapeId="0" xr:uid="{C6B47C16-12DE-4FFF-8B3C-30939C9DE8D8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These are for 1H19</t>
        </r>
      </text>
    </comment>
    <comment ref="AI100" authorId="5" shapeId="0" xr:uid="{369E173E-A2B7-4125-91AB-D75FE85E762F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These are for 9M19</t>
        </r>
      </text>
    </comment>
    <comment ref="AL100" authorId="5" shapeId="0" xr:uid="{FB690823-CBE6-4DE5-8B3C-E356FFBDA622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These are for 1H19</t>
        </r>
      </text>
    </comment>
    <comment ref="AM100" authorId="5" shapeId="0" xr:uid="{6473B43F-AB85-431F-98C7-E429F59E135D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3Q20</t>
        </r>
      </text>
    </comment>
    <comment ref="AN100" authorId="5" shapeId="0" xr:uid="{3781B7FC-33DF-4299-B513-CBD6F68D0FF3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3Q20</t>
        </r>
      </text>
    </comment>
    <comment ref="BH100" authorId="0" shapeId="0" xr:uid="{C1A85A11-E307-469F-B341-AB43E85A060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ER
</t>
        </r>
      </text>
    </comment>
    <comment ref="Q112" authorId="0" shapeId="0" xr:uid="{2D95E09E-D556-4677-8046-68B449445523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</t>
        </r>
      </text>
    </comment>
    <comment ref="BH112" authorId="0" shapeId="0" xr:uid="{76FBB511-D049-4DD5-9E3B-5E8F6041733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</t>
        </r>
      </text>
    </comment>
    <comment ref="BH134" authorId="6" shapeId="0" xr:uid="{8EA3C406-DAFE-4BBF-80EC-6FFF31BB256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proper breakdown N/A</t>
        </r>
      </text>
    </comment>
    <comment ref="Q137" authorId="0" shapeId="0" xr:uid="{DEC29749-3DEC-4179-8ED4-FDA4A803AF5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Chile total revenues  is   7,068,577 </t>
        </r>
      </text>
    </comment>
    <comment ref="BG137" authorId="0" shapeId="0" xr:uid="{D6529999-CD70-433E-97E4-FAA83FCDB1C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Data NA</t>
        </r>
      </text>
    </comment>
    <comment ref="BJ137" authorId="2" shapeId="0" xr:uid="{5655520F-3768-4D52-B901-984325C6BEC7}">
      <text>
        <r>
          <rPr>
            <b/>
            <sz val="9"/>
            <color indexed="81"/>
            <rFont val="Tahoma"/>
            <family val="2"/>
          </rPr>
          <t>Crisil Integral IQ:</t>
        </r>
        <r>
          <rPr>
            <sz val="9"/>
            <color indexed="81"/>
            <rFont val="Tahoma"/>
            <family val="2"/>
          </rPr>
          <t xml:space="preserve">
Chile total revenues  is   1,836,486
ER, page no 12/34</t>
        </r>
      </text>
    </comment>
    <comment ref="BU137" authorId="0" shapeId="0" xr:uid="{7E3FE9A8-80BB-49B4-9DD8-11574BBBDF2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Data NA</t>
        </r>
      </text>
    </comment>
    <comment ref="BU145" authorId="0" shapeId="0" xr:uid="{1A1FE53D-758E-41F0-B210-D4FA9C86017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Difference in total as company has not given breakup by segment</t>
        </r>
      </text>
    </comment>
    <comment ref="P146" authorId="0" shapeId="0" xr:uid="{1E41C85A-D560-4E1C-8FE8-A066BF2077F0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Rounding off</t>
        </r>
      </text>
    </comment>
    <comment ref="Q146" authorId="0" shapeId="0" xr:uid="{65CEF1F2-B1B5-4F27-B465-6B6A142CF5D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not matching as banco revenue not avail</t>
        </r>
      </text>
    </comment>
    <comment ref="AQ146" authorId="0" shapeId="0" xr:uid="{8B2C29EE-7CF2-4ACE-962C-9C9350A756D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Difference due to error in company reported numbers</t>
        </r>
      </text>
    </comment>
    <comment ref="AU146" authorId="0" shapeId="0" xr:uid="{165BF41E-3CFC-48EE-97B4-35F88F0CC12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Difference due to error in company reported numbers</t>
        </r>
      </text>
    </comment>
    <comment ref="AY146" authorId="0" shapeId="0" xr:uid="{E0D6B011-262F-4099-8D61-8D513FB801B3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Difference due to error in company reported numbers</t>
        </r>
      </text>
    </comment>
    <comment ref="BC146" authorId="0" shapeId="0" xr:uid="{DD1676C9-647E-42FF-8480-951A9571F27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Difference due to error in company reported numbers</t>
        </r>
      </text>
    </comment>
    <comment ref="BD146" authorId="0" shapeId="0" xr:uid="{C9B20017-75D4-492E-A982-4D09ABA6E940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Difference due to error in company reported numbers</t>
        </r>
      </text>
    </comment>
    <comment ref="BF146" authorId="0" shapeId="0" xr:uid="{D73D0736-35A1-4458-8E73-1279E410EAD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Rounding error</t>
        </r>
      </text>
    </comment>
    <comment ref="BG146" authorId="0" shapeId="0" xr:uid="{803B3E4C-3930-4F84-98CB-6E194DFF27F3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Difference due to error in company reported numbers</t>
        </r>
      </text>
    </comment>
    <comment ref="BH146" authorId="0" shapeId="0" xr:uid="{ABBF5CF1-6135-4DF3-8915-6D0F46B2887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Difference due to roundoff r in company reported numbers</t>
        </r>
      </text>
    </comment>
    <comment ref="BJ146" authorId="0" shapeId="0" xr:uid="{FE7CDBDA-DEC0-4FB6-9745-43D97A1307A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Rounding error</t>
        </r>
      </text>
    </comment>
    <comment ref="BQ146" authorId="0" shapeId="0" xr:uid="{8DD98699-5E94-4452-9F1B-46A89334095C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Difference due to error in company reported numbers</t>
        </r>
      </text>
    </comment>
    <comment ref="BR146" authorId="0" shapeId="0" xr:uid="{D3C8CE64-D369-4A9D-95C6-3B65F5B71D79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Difference due to error in company reported numbers</t>
        </r>
      </text>
    </comment>
    <comment ref="BS146" authorId="0" shapeId="0" xr:uid="{04A184E6-FBC1-4A33-8E05-CD20087832A3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Difference due to error in company reported numbers</t>
        </r>
      </text>
    </comment>
    <comment ref="BT146" authorId="0" shapeId="0" xr:uid="{8D7CC842-BC6B-4E9E-92CC-F3DE883B38AC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Difference due to error in company reported numbers</t>
        </r>
      </text>
    </comment>
    <comment ref="BG150" authorId="0" shapeId="0" xr:uid="{69C36E8A-9ACA-43B1-A4B0-C90B172FEBD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Data NA in 2Q25</t>
        </r>
      </text>
    </comment>
    <comment ref="BU150" authorId="0" shapeId="0" xr:uid="{0951E36C-8689-4614-AFB0-CBFBC355FA9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Data NA in 2Q25</t>
        </r>
      </text>
    </comment>
  </commentList>
</comments>
</file>

<file path=xl/sharedStrings.xml><?xml version="1.0" encoding="utf-8"?>
<sst xmlns="http://schemas.openxmlformats.org/spreadsheetml/2006/main" count="2870" uniqueCount="626">
  <si>
    <t>1Q26</t>
  </si>
  <si>
    <t>Exchange rate at the end</t>
  </si>
  <si>
    <t>LTM Average exchange rate</t>
  </si>
  <si>
    <t>As on 31-Mar-2026</t>
  </si>
  <si>
    <t>CLP (m)</t>
  </si>
  <si>
    <t>USD (m)</t>
  </si>
  <si>
    <t>Leverage (CLP)</t>
  </si>
  <si>
    <t>Leverage (USD)</t>
  </si>
  <si>
    <t>Company Reported</t>
  </si>
  <si>
    <t>Bank Loans</t>
  </si>
  <si>
    <t>Consolidated Financial debt (excluding banking operations)</t>
  </si>
  <si>
    <t xml:space="preserve">Bonds payable </t>
  </si>
  <si>
    <t>Cash &amp; Equivalents (including other financial assets)</t>
  </si>
  <si>
    <t xml:space="preserve">Financial lease obligations </t>
  </si>
  <si>
    <t xml:space="preserve">Net debt </t>
  </si>
  <si>
    <t xml:space="preserve">Other financial debt  </t>
  </si>
  <si>
    <t xml:space="preserve">LTM Non-Banking Adjusted EBITDA </t>
  </si>
  <si>
    <t>Total short-term retail business debt</t>
  </si>
  <si>
    <t xml:space="preserve">Bank loans  </t>
  </si>
  <si>
    <t>Bonds payable</t>
  </si>
  <si>
    <t xml:space="preserve">Financial lease obligations  </t>
  </si>
  <si>
    <t>Exlcudes financial leases</t>
  </si>
  <si>
    <t xml:space="preserve">Total long-term retail business debt </t>
  </si>
  <si>
    <t>Total Retail business Debt</t>
  </si>
  <si>
    <t>Cash &amp; Equivalents</t>
  </si>
  <si>
    <t xml:space="preserve">Obligations with other banks </t>
  </si>
  <si>
    <t xml:space="preserve">Debt instruments issued  </t>
  </si>
  <si>
    <t>Lease liabilities</t>
  </si>
  <si>
    <t>Banking business debt, total</t>
  </si>
  <si>
    <t>Equity</t>
  </si>
  <si>
    <t xml:space="preserve">Total Capitalisation </t>
  </si>
  <si>
    <t>LTM Non-Banking Adjusted EBITDA</t>
  </si>
  <si>
    <t>Debt check</t>
  </si>
  <si>
    <t>Market cap</t>
  </si>
  <si>
    <t>EV</t>
  </si>
  <si>
    <t>EV/EBITDA</t>
  </si>
  <si>
    <t>LTM Total Adjusted EBITDA (Banking + Retail)</t>
  </si>
  <si>
    <t xml:space="preserve">Liquidity Table </t>
  </si>
  <si>
    <t>CLP(m)</t>
  </si>
  <si>
    <t xml:space="preserve"> RCF </t>
  </si>
  <si>
    <t>Cash</t>
  </si>
  <si>
    <t>Total Liquidity</t>
  </si>
  <si>
    <t>Debt Maturity Profile  - BBG</t>
  </si>
  <si>
    <t>2031 &amp; therafter</t>
  </si>
  <si>
    <t>Total debt</t>
  </si>
  <si>
    <t>3Q25</t>
  </si>
  <si>
    <t>3Q25 Exchange rate at end</t>
  </si>
  <si>
    <t>As on 30-Sep-2025</t>
  </si>
  <si>
    <t xml:space="preserve">Leverage </t>
  </si>
  <si>
    <t>LTM Non-Banking Adjusted EBITDA (Sep 2025)</t>
  </si>
  <si>
    <t>Market cap as on 30-Sep-2025</t>
  </si>
  <si>
    <t>Debt Maturity Profile (30 Sep 2025) - BBG</t>
  </si>
  <si>
    <t>2Q25</t>
  </si>
  <si>
    <t>2Q25 Exchange rate at end</t>
  </si>
  <si>
    <t>As on 30-Jun-2025</t>
  </si>
  <si>
    <t>LTM Non-Banking Adjusted EBITDA (Jun 2025)</t>
  </si>
  <si>
    <t>Market cap as on 30-Jun-2025</t>
  </si>
  <si>
    <t>Debt Maturity Profile (30 Jun 2025)</t>
  </si>
  <si>
    <t>In CLP mn</t>
  </si>
  <si>
    <t>In USD mn</t>
  </si>
  <si>
    <t>2030 &amp; therafter</t>
  </si>
  <si>
    <t>1Q25</t>
  </si>
  <si>
    <t>1Q25 Exchange rate at end</t>
  </si>
  <si>
    <t>As on 31-Mar-2025</t>
  </si>
  <si>
    <t>LTM Non-Banking Adjusted EBITDA (Mar 2025)</t>
  </si>
  <si>
    <t>LTM Non-Banking Adjusted EBITDA Mar 2025)</t>
  </si>
  <si>
    <t>Market cap as on 31-Mar-2025</t>
  </si>
  <si>
    <t>Debt Maturity Profile (31 Mar 2025)</t>
  </si>
  <si>
    <t>FY24</t>
  </si>
  <si>
    <t>FY24 Exchange rate at end</t>
  </si>
  <si>
    <t>As on 31-Dec-2024</t>
  </si>
  <si>
    <t>LTM Non-Banking Adjusted EBITDA (Dec 2024)</t>
  </si>
  <si>
    <t>LTM Non-Banking Adjusted EBITDA Dec 2024)</t>
  </si>
  <si>
    <t>Market cap as on 31-Dec-2024</t>
  </si>
  <si>
    <t>Debt Maturity Profile (31 Dec 2024)</t>
  </si>
  <si>
    <t>3Q24</t>
  </si>
  <si>
    <t>3Q24 Exchange rate at end</t>
  </si>
  <si>
    <t>As on 30-Sep-2024</t>
  </si>
  <si>
    <t>LTM Non-Banking Adjusted EBITDA (Jun 2024)</t>
  </si>
  <si>
    <t>LTM Non-Banking Adjusted EBITDA Dec 2023)</t>
  </si>
  <si>
    <t>Market cap as on 30-Sep-2024</t>
  </si>
  <si>
    <t>Debt Maturity Profile (30th Sep 2024)</t>
  </si>
  <si>
    <t xml:space="preserve"> 2029 &amp; therafter</t>
  </si>
  <si>
    <t>2Q24</t>
  </si>
  <si>
    <t>2Q24 Exchange rate at end</t>
  </si>
  <si>
    <t>As on 30-Jun-2024</t>
  </si>
  <si>
    <t>Market cap as on 30-Jun-2024</t>
  </si>
  <si>
    <t>Debt Maturity Profile (30th Jun 2024)</t>
  </si>
  <si>
    <t>1Q24</t>
  </si>
  <si>
    <t>1Q24 Exchange rate at end</t>
  </si>
  <si>
    <t>As on 31-Mar-2024</t>
  </si>
  <si>
    <t>LTM Non-Banking Adjusted EBITDA (Mar 2024)</t>
  </si>
  <si>
    <t>Market cap as on 31-Mar-2024</t>
  </si>
  <si>
    <t>Debt Maturity Profile (31st Mar 2024)</t>
  </si>
  <si>
    <t>FY23</t>
  </si>
  <si>
    <t>4Q23 Exchange rate at end</t>
  </si>
  <si>
    <t>As on 31-Dec-2023</t>
  </si>
  <si>
    <t>LTM Non-Banking Adjusted EBITDA (Dec 2023)</t>
  </si>
  <si>
    <t>Market cap as on 31-Dec-2023</t>
  </si>
  <si>
    <t>Debt Maturity Profile (31st Dec 2023)</t>
  </si>
  <si>
    <t>3Q23</t>
  </si>
  <si>
    <t>3Q23 Exchange rate at end</t>
  </si>
  <si>
    <t>As on 30-Sept-2023</t>
  </si>
  <si>
    <t>LTM Non-Banking Adjusted EBITDA (Sep 2023)</t>
  </si>
  <si>
    <t>LTM Non-Banking Adjusted EBITDA Jun 2023)</t>
  </si>
  <si>
    <t>Market cap as on 30-Jun-2023</t>
  </si>
  <si>
    <t>Debt Maturity Profile (30th Sept 2023)</t>
  </si>
  <si>
    <t>2Q23</t>
  </si>
  <si>
    <t>2Q23 Exchange rate at end</t>
  </si>
  <si>
    <t>As on 30-Jun-2023</t>
  </si>
  <si>
    <t>LTM Non-Banking Adjusted EBITDA (Jun 2023)</t>
  </si>
  <si>
    <t>Debt Maturity Profile (30th Jun 2023)</t>
  </si>
  <si>
    <t>1Q23</t>
  </si>
  <si>
    <t>1Q23 Exchange rate at end</t>
  </si>
  <si>
    <t>As on 31-Mar-2023</t>
  </si>
  <si>
    <t>LTM Non-Banking Adjusted EBITDA (Mar 2023)</t>
  </si>
  <si>
    <t>LTM Non-Banking Adjusted EBITDA Mar 2023)</t>
  </si>
  <si>
    <t>Market cap as on 31-Mar-2023</t>
  </si>
  <si>
    <t>Debt Maturity Profile (31st Mar 2023)</t>
  </si>
  <si>
    <t>2028 &amp; therafter</t>
  </si>
  <si>
    <t>4Q22</t>
  </si>
  <si>
    <t>4Q22 Exchange rate at end</t>
  </si>
  <si>
    <t>As on 31-Dec-2022</t>
  </si>
  <si>
    <t>LTM Non-Banking Adjusted EBITDA (Dec 2022)</t>
  </si>
  <si>
    <t>LTM Non-Banking Adjusted EBITDA Dec 2022)</t>
  </si>
  <si>
    <t>Market cap as on 31-Dec-2022</t>
  </si>
  <si>
    <t>Debt Maturity Profile (31th Dec 2022)</t>
  </si>
  <si>
    <t>3Q22</t>
  </si>
  <si>
    <t>3Q22 Exchange rate at end</t>
  </si>
  <si>
    <t>As on 30-Sep-2022</t>
  </si>
  <si>
    <t>LTM Non-Banking Adjusted EBITDA (Sep 2022)</t>
  </si>
  <si>
    <t>LTM Non-Banking Adjusted EBITDA Sep 2022)</t>
  </si>
  <si>
    <t>Market cap as on 30-Sep-2022</t>
  </si>
  <si>
    <t>Debt Maturity Profile (30th Sep 2022)</t>
  </si>
  <si>
    <t>2027 &amp; therafter</t>
  </si>
  <si>
    <t>2Q22</t>
  </si>
  <si>
    <t>2Q22 Exchange rate at end</t>
  </si>
  <si>
    <t>As on 30-Jun-2022</t>
  </si>
  <si>
    <t>LTM Non-Banking Adjusted EBITDA (Jun 2022)</t>
  </si>
  <si>
    <t>LTM Non-Banking Adjusted EBITDA Jun 2022)</t>
  </si>
  <si>
    <t>Market cap as on 30-Jun-2022</t>
  </si>
  <si>
    <t>Debt Maturity Profile (30th Jun 2022)</t>
  </si>
  <si>
    <t>1Q22</t>
  </si>
  <si>
    <t>1Q22 Exchange rate at end</t>
  </si>
  <si>
    <t>As on 31-Mar-2022</t>
  </si>
  <si>
    <t>LTM Non-Banking Adjusted EBITDA (Mar 2022)</t>
  </si>
  <si>
    <t>LTM Non-Banking Adjusted EBITDA Mar 2022)</t>
  </si>
  <si>
    <t>Market cap as on 31-Mar-2022</t>
  </si>
  <si>
    <t>Debt Maturity Profile (31st Mar 2022)</t>
  </si>
  <si>
    <t>FY21</t>
  </si>
  <si>
    <t>FY21 Exchange rate at end</t>
  </si>
  <si>
    <t>As on 31-Dec-2021</t>
  </si>
  <si>
    <t>LTM Non-Banking Adjusted EBITDA (Dec 2021)</t>
  </si>
  <si>
    <t>LTM Non-Banking Adjusted EBITDA Dec 2021)</t>
  </si>
  <si>
    <t>Market cap as on 31-Dec-2021</t>
  </si>
  <si>
    <t>Debt Maturity Profile (31th Dec 2021)</t>
  </si>
  <si>
    <t>3Q21</t>
  </si>
  <si>
    <t>3Q21 Exchange rate at end</t>
  </si>
  <si>
    <t>As on 30-Sep-2021</t>
  </si>
  <si>
    <t>LTM Non-Banking Adjusted EBITDA (Sep 2021)</t>
  </si>
  <si>
    <t>LTM Non-Banking Adjusted EBITDA Sep 2021)</t>
  </si>
  <si>
    <t>Market cap as on 30-Sep-2021</t>
  </si>
  <si>
    <t>Debt Maturity Profile (30th Sep 2021)</t>
  </si>
  <si>
    <t>2026 &amp; therafter</t>
  </si>
  <si>
    <t>2Q21</t>
  </si>
  <si>
    <t>2Q21 Exchange rate at end</t>
  </si>
  <si>
    <t>As on 30-Jun-2021</t>
  </si>
  <si>
    <t>LTM Non-Banking Adjusted EBITDA (Jun 2021)</t>
  </si>
  <si>
    <t>LTM Non-Banking Adjusted EBITDA June 2021)</t>
  </si>
  <si>
    <t>Market cap as on 30-Jun-2021</t>
  </si>
  <si>
    <t>Debt Maturity Profile (30th June 2021)</t>
  </si>
  <si>
    <t>1Q21</t>
  </si>
  <si>
    <t>1Q21 Exchange rate at end</t>
  </si>
  <si>
    <t>As on 31-Mar-2021</t>
  </si>
  <si>
    <t>LTM Non-Banking Adjusted EBITDA (Jun 2020)</t>
  </si>
  <si>
    <t>LTM Non-Banking Adjusted EBITDA Mar 2021)</t>
  </si>
  <si>
    <t>Market cap as on 31-Mar-2021</t>
  </si>
  <si>
    <t>Debt Maturity Profile (31st Mar 2021)</t>
  </si>
  <si>
    <t>4Q20</t>
  </si>
  <si>
    <t>4Q20 Exchange rate at end</t>
  </si>
  <si>
    <t>As on 31-Dec-2020</t>
  </si>
  <si>
    <t>LTM Non-Banking Adjusted EBITDA Dec 2020)</t>
  </si>
  <si>
    <t>Market cap as on 31-Dec-2020</t>
  </si>
  <si>
    <t>Debt Maturity Profile (31st Dec 2020)</t>
  </si>
  <si>
    <t>3Q20</t>
  </si>
  <si>
    <t>3Q20 Exchange rate at end</t>
  </si>
  <si>
    <t>As on 30-Sep-2020</t>
  </si>
  <si>
    <t>LTM Non-Banking Adjusted EBITDA Sep 2020)</t>
  </si>
  <si>
    <t>Market cap as on 30-Sep-2020</t>
  </si>
  <si>
    <t>Debt Maturity Profile (30th Sep 2020)</t>
  </si>
  <si>
    <t>2025 &amp; therafter</t>
  </si>
  <si>
    <t>2Q20</t>
  </si>
  <si>
    <t>2Q20 Exchange rate at end</t>
  </si>
  <si>
    <t>As on 30-Jun-2020</t>
  </si>
  <si>
    <t>Market cap as on 30-Jun-2020</t>
  </si>
  <si>
    <t>Debt Maturity Profile (30th Jun 2020)</t>
  </si>
  <si>
    <t>1Q20</t>
  </si>
  <si>
    <t>1Q20 Exchange rate at end</t>
  </si>
  <si>
    <t>As on 31-Mar-2020</t>
  </si>
  <si>
    <t>As on 31- Mar-2020</t>
  </si>
  <si>
    <t>LTM Non-Banking Adjusted EBITDA (Dec 2019)</t>
  </si>
  <si>
    <t>Market cap as on 31-Mar-2020</t>
  </si>
  <si>
    <t>Debt Maturity Profile (31st Mar 2020)</t>
  </si>
  <si>
    <t>4Q19</t>
  </si>
  <si>
    <t>4Q19 Exchange rate at end</t>
  </si>
  <si>
    <t>As on 31-Dec 2019</t>
  </si>
  <si>
    <t>As on 30-Dec 2019</t>
  </si>
  <si>
    <t>Market cap as on 30-Dec-2019</t>
  </si>
  <si>
    <t>Debt Maturity Profile (31th Dec 2019)</t>
  </si>
  <si>
    <t>3Q19</t>
  </si>
  <si>
    <t>3Q19 Exchange rate at end</t>
  </si>
  <si>
    <t>As on 30-Sep 2019</t>
  </si>
  <si>
    <t>LTM Non-Banking Adjusted EBITDA (Sep 2019)</t>
  </si>
  <si>
    <t>Market cap as on 30-Sep-2019</t>
  </si>
  <si>
    <t>Debt Maturity Profile (30th Sep 2019)</t>
  </si>
  <si>
    <t>2024 &amp; therafter</t>
  </si>
  <si>
    <t>2Q19</t>
  </si>
  <si>
    <t>2Q19 Exchange rate at end</t>
  </si>
  <si>
    <t>As on 30-Jun 2019</t>
  </si>
  <si>
    <t>LTM Non-Banking Adjusted EBITDA (Jun 2019)</t>
  </si>
  <si>
    <t>Market cap as on 30-Jun-2019</t>
  </si>
  <si>
    <t>Debt Maturity Profile (30th Jun 2019)</t>
  </si>
  <si>
    <t>1Q19</t>
  </si>
  <si>
    <t>1Q19 Exchange rate at end</t>
  </si>
  <si>
    <t>As on 31-Mar-2019</t>
  </si>
  <si>
    <t>As on 31-Mar 2019</t>
  </si>
  <si>
    <t>LTM Non-Banking Adjusted EBITDA (Mar 2019)</t>
  </si>
  <si>
    <t>Market cap as on 31-Mar-2019</t>
  </si>
  <si>
    <t>PF Liquidity Table USD</t>
  </si>
  <si>
    <t>Debt Maturity Profile (31st Mar 2019)</t>
  </si>
  <si>
    <t>4Q18</t>
  </si>
  <si>
    <t>Implied exchange rate</t>
  </si>
  <si>
    <t>As on 31-Dec-2018</t>
  </si>
  <si>
    <t>LTM Adjusted EBITDA (Dec 2018)</t>
  </si>
  <si>
    <t>Market cap as on 31-Dec-2018</t>
  </si>
  <si>
    <t>Debt Maturity Profile (31st Dec 2018)</t>
  </si>
  <si>
    <t>3Q18</t>
  </si>
  <si>
    <t>As on 30-Sep-2018</t>
  </si>
  <si>
    <t>LTM Adjusted EBITDA (Sep 2018)</t>
  </si>
  <si>
    <t>Market cap as on 30-Sep-2018</t>
  </si>
  <si>
    <t>Debt Maturity Profile (30th Sep 2018)</t>
  </si>
  <si>
    <t>2023 &amp; therafter</t>
  </si>
  <si>
    <t>2Q18</t>
  </si>
  <si>
    <t>As on 30-Jun-2018</t>
  </si>
  <si>
    <t>LTM Adjusted EBITDA (June 2018)</t>
  </si>
  <si>
    <t>Market cap as on 30-Jun-2018</t>
  </si>
  <si>
    <t>Debt Maturity Profile (In CLP mn)</t>
  </si>
  <si>
    <t>30th Jun 2018</t>
  </si>
  <si>
    <t>3Q17</t>
  </si>
  <si>
    <t>As on 30-Sep-2017</t>
  </si>
  <si>
    <t>LTM Adjusted EBITDA (June 2017)</t>
  </si>
  <si>
    <t>Market cap as on 30-Jun-2017</t>
  </si>
  <si>
    <t>Debt Maturity Profile (In Ch$ mn)</t>
  </si>
  <si>
    <t>30th Sep 2017</t>
  </si>
  <si>
    <t>2022 &amp; therafter</t>
  </si>
  <si>
    <t>Falabella</t>
  </si>
  <si>
    <t>Annual</t>
  </si>
  <si>
    <t>Quarterly</t>
  </si>
  <si>
    <t>Half year</t>
  </si>
  <si>
    <t>Nine Months</t>
  </si>
  <si>
    <t>(CLP $)</t>
  </si>
  <si>
    <t>Act</t>
  </si>
  <si>
    <t>Restated</t>
  </si>
  <si>
    <t>FY</t>
  </si>
  <si>
    <t>Q1</t>
  </si>
  <si>
    <t>Q2</t>
  </si>
  <si>
    <t>Q3</t>
  </si>
  <si>
    <t>Q4</t>
  </si>
  <si>
    <t>H1 2016</t>
  </si>
  <si>
    <t>H1 2017</t>
  </si>
  <si>
    <t>H1 2018</t>
  </si>
  <si>
    <t>H1 2019</t>
  </si>
  <si>
    <t>H1 2020</t>
  </si>
  <si>
    <t>H1 2021</t>
  </si>
  <si>
    <t>H1 2022</t>
  </si>
  <si>
    <t>H1 2023</t>
  </si>
  <si>
    <t>H1 2024</t>
  </si>
  <si>
    <t>H1 2025</t>
  </si>
  <si>
    <t>H12015</t>
  </si>
  <si>
    <t>9M2015</t>
  </si>
  <si>
    <t>INCOME STATEMENT</t>
  </si>
  <si>
    <t>Non-Banking Business</t>
  </si>
  <si>
    <t>Revenues</t>
  </si>
  <si>
    <t xml:space="preserve">% growth </t>
  </si>
  <si>
    <t>LFL Sales growth</t>
  </si>
  <si>
    <t>COGS</t>
  </si>
  <si>
    <t>Gross Profit</t>
  </si>
  <si>
    <t>Gross Profit margin</t>
  </si>
  <si>
    <t>Distribution costs</t>
  </si>
  <si>
    <t>Administrative expenses</t>
  </si>
  <si>
    <t>Other gains (losses)</t>
  </si>
  <si>
    <t>Other expenses</t>
  </si>
  <si>
    <t>Operating Profit</t>
  </si>
  <si>
    <t>Finance Income</t>
  </si>
  <si>
    <t>Finance costs</t>
  </si>
  <si>
    <t xml:space="preserve">Gain on net non-monetary position </t>
  </si>
  <si>
    <t>Profit before tax</t>
  </si>
  <si>
    <t>Income tax benefit/(expense)</t>
  </si>
  <si>
    <t>Profit/(loss) from continuing operations</t>
  </si>
  <si>
    <t>Loss  from discontinued  Operations</t>
  </si>
  <si>
    <t>Profit for the year (Non-banking businesses)</t>
  </si>
  <si>
    <t xml:space="preserve">Banking Business Income statement </t>
  </si>
  <si>
    <t>Interest and indexation income.</t>
  </si>
  <si>
    <t>Interest and indexation expense.</t>
  </si>
  <si>
    <t>Net interest and indexation income</t>
  </si>
  <si>
    <t>Commission income</t>
  </si>
  <si>
    <t>Commission expense</t>
  </si>
  <si>
    <t>Net commission income</t>
  </si>
  <si>
    <t>Net income (loss) on financial transactions</t>
  </si>
  <si>
    <t>Net income (loss) on currency exchange</t>
  </si>
  <si>
    <t>Other operating income (expenses)</t>
  </si>
  <si>
    <t>Credit risk provisions</t>
  </si>
  <si>
    <t>Total net operating revenue</t>
  </si>
  <si>
    <t>Remuneration and personnel costs</t>
  </si>
  <si>
    <t>Depreciation and amortization</t>
  </si>
  <si>
    <t>Other operating expenses</t>
  </si>
  <si>
    <t>Total Operating expenses</t>
  </si>
  <si>
    <t>Net operating income</t>
  </si>
  <si>
    <t>Income from investments in companies</t>
  </si>
  <si>
    <t>Net income before tax</t>
  </si>
  <si>
    <t>Income tax expense</t>
  </si>
  <si>
    <t>Net income from banking businesses</t>
  </si>
  <si>
    <t xml:space="preserve">Consolidated Income statement </t>
  </si>
  <si>
    <t>Revenues of Non-Banking Operations</t>
  </si>
  <si>
    <t>Revenues of Banking Operations</t>
  </si>
  <si>
    <t>Total Revenues</t>
  </si>
  <si>
    <t>COGS of Non-Banking Operations</t>
  </si>
  <si>
    <t>COGS of Banking Operations</t>
  </si>
  <si>
    <t>SG&amp;A Expenses</t>
  </si>
  <si>
    <t>Operational Income</t>
  </si>
  <si>
    <t>Depreciation + Amortization</t>
  </si>
  <si>
    <t>EBITDA</t>
  </si>
  <si>
    <t>Other Income / (Expenses)</t>
  </si>
  <si>
    <t>Net Financial Income / (Cost)</t>
  </si>
  <si>
    <t>Profit / (Loss) in Associates</t>
  </si>
  <si>
    <t>Exchange Rate Differences</t>
  </si>
  <si>
    <t>Non-Operating Profit</t>
  </si>
  <si>
    <t>Profit Before Tax Expenses</t>
  </si>
  <si>
    <t>Income Tax</t>
  </si>
  <si>
    <t>Net Profit / (Loss) before minority interest</t>
  </si>
  <si>
    <t>Minority interest</t>
  </si>
  <si>
    <t>Net profit/(Loss)</t>
  </si>
  <si>
    <t>Total net income (Consolidated) before minority interest</t>
  </si>
  <si>
    <t>% of sales or stated otherwise (Retail Business)</t>
  </si>
  <si>
    <t>Finance Income as % of cash and cash equivalents</t>
  </si>
  <si>
    <t>Finance costs as % of total debt</t>
  </si>
  <si>
    <t>Income tax benefit/(expense) as a % of Profit before tax</t>
  </si>
  <si>
    <t>capex/sales</t>
  </si>
  <si>
    <t>D/A/sales</t>
  </si>
  <si>
    <t>% of income or stated otherwise (Banking Business)</t>
  </si>
  <si>
    <t>Credit risk provisions as a % of customer loans and receivables</t>
  </si>
  <si>
    <t>EBITDA (Non-Banking Business)</t>
  </si>
  <si>
    <t xml:space="preserve">Operating profit </t>
  </si>
  <si>
    <t>Depreciation &amp; amortisation</t>
  </si>
  <si>
    <t xml:space="preserve">EBITDA </t>
  </si>
  <si>
    <t>% margin</t>
  </si>
  <si>
    <t xml:space="preserve">Adjustment </t>
  </si>
  <si>
    <t xml:space="preserve">Adj. EBITDA </t>
  </si>
  <si>
    <t xml:space="preserve">Rent </t>
  </si>
  <si>
    <t>Adj. EBITDAR</t>
  </si>
  <si>
    <t>rent % of sales</t>
  </si>
  <si>
    <t>Retail  EBITDA</t>
  </si>
  <si>
    <t>EBITDA (Banking Business)</t>
  </si>
  <si>
    <t>EBITDA (Consolidated)</t>
  </si>
  <si>
    <t>Total Adj. EBITDA</t>
  </si>
  <si>
    <t>CASH FLOW - (Non-Banking Business)</t>
  </si>
  <si>
    <t xml:space="preserve">Adjusted EBITDA </t>
  </si>
  <si>
    <t>Working Capital</t>
  </si>
  <si>
    <t>Taxes</t>
  </si>
  <si>
    <t>Cash interest paid</t>
  </si>
  <si>
    <t xml:space="preserve">Net cash from operations </t>
  </si>
  <si>
    <t>Gross Capex</t>
  </si>
  <si>
    <t>Net Payment for acquisition  of intangible assets</t>
  </si>
  <si>
    <t>Disposals/ Acquisition, of subsidiaries</t>
  </si>
  <si>
    <t>Deposits interest received</t>
  </si>
  <si>
    <t>Disposed Cash from discontinued operations</t>
  </si>
  <si>
    <t xml:space="preserve">Free cash flow </t>
  </si>
  <si>
    <t>Equity Issuance/Buyback</t>
  </si>
  <si>
    <t xml:space="preserve">Dividends received  / Dividends Paid </t>
  </si>
  <si>
    <t>Acquisition of bonds</t>
  </si>
  <si>
    <t>Change in debt /Finance Costs</t>
  </si>
  <si>
    <t>Other items</t>
  </si>
  <si>
    <t>Cash flow after financing activities</t>
  </si>
  <si>
    <t>Balancing figure</t>
  </si>
  <si>
    <t>Net increase in Cash and cash equivalents - Non Banking Business</t>
  </si>
  <si>
    <t>Cash and cash equivalents - Non Banking Business</t>
  </si>
  <si>
    <t>check</t>
  </si>
  <si>
    <t>CASH FLOW - (Banking Business)</t>
  </si>
  <si>
    <t>Consolidated net income (loss) for the period</t>
  </si>
  <si>
    <t>Charges (credits) to income that do not involve cash movements:</t>
  </si>
  <si>
    <t>Credit risk provision</t>
  </si>
  <si>
    <t>Profit losses from equity method investments</t>
  </si>
  <si>
    <t>Other charges (credits) that do not involve significant cash flow movements</t>
  </si>
  <si>
    <t>Net change in interest, indexations and fees accrued on assets and liabilities</t>
  </si>
  <si>
    <t>Changes in assets and liabilities affecting cash flow:</t>
  </si>
  <si>
    <t>Increase in investments under resale agreements and obligations under repurchase agreements</t>
  </si>
  <si>
    <t>Increase in contracts for repurchase and securities loans</t>
  </si>
  <si>
    <t>Net (Increase) decrease due from banks</t>
  </si>
  <si>
    <t>(Increase) net decrease in debt from banks</t>
  </si>
  <si>
    <t>Net increase in loans and accounts receivable from clients</t>
  </si>
  <si>
    <t>Net decrease in instruments held for trading</t>
  </si>
  <si>
    <t>Increase in deposits and other demand obligations</t>
  </si>
  <si>
    <t>Increase in deposits and other time deposits</t>
  </si>
  <si>
    <t>Increase in obligations with banks</t>
  </si>
  <si>
    <t>Other use of cash</t>
  </si>
  <si>
    <t>Subtotal net cash flows provided by (used in) Banking Services operating activities</t>
  </si>
  <si>
    <t>Net (Increase) decrease in investment securities available for sale</t>
  </si>
  <si>
    <t>Additions to property, plant and equipment</t>
  </si>
  <si>
    <t>Cash flows to affiliated companies</t>
  </si>
  <si>
    <t>Dividends received from investments in societies/companies</t>
  </si>
  <si>
    <t>Other sources of cash</t>
  </si>
  <si>
    <t>Subtotal net cash flows provided by (used in) Banking Services investing activities</t>
  </si>
  <si>
    <t>(Redemption) Letters of credit issuance</t>
  </si>
  <si>
    <t>Bond issuance</t>
  </si>
  <si>
    <t>Bond payments and other long term loans</t>
  </si>
  <si>
    <t>Other</t>
  </si>
  <si>
    <t>Subtotal net cash flows provided by (used in) Banking Services financing activities</t>
  </si>
  <si>
    <t>Net increase in cash and cash equivalents (Banking Services)</t>
  </si>
  <si>
    <t>Net increase in cash and cash equivalents (Consolidated)</t>
  </si>
  <si>
    <t xml:space="preserve">FX </t>
  </si>
  <si>
    <t xml:space="preserve">Net change in cash </t>
  </si>
  <si>
    <t>Cash and cash equivalents - (Consolidated) at end of period</t>
  </si>
  <si>
    <t>LTM (Non Banking Business)</t>
  </si>
  <si>
    <t>Adjusted EBITDA</t>
  </si>
  <si>
    <t>Adjusted EBITDAR</t>
  </si>
  <si>
    <t xml:space="preserve">LTM RENT </t>
  </si>
  <si>
    <t>Net Income</t>
  </si>
  <si>
    <t>Capex</t>
  </si>
  <si>
    <t>LTM (Banking Business)</t>
  </si>
  <si>
    <t>Net income</t>
  </si>
  <si>
    <t>LTM (Consolidated)</t>
  </si>
  <si>
    <t>BALANCE SHEET  - Non banking Business</t>
  </si>
  <si>
    <t>Tangible fixed assets</t>
  </si>
  <si>
    <t xml:space="preserve">Net pension liability </t>
  </si>
  <si>
    <t>Inventory</t>
  </si>
  <si>
    <t>Trade debtors/receivables</t>
  </si>
  <si>
    <t>Trade creditors /payables</t>
  </si>
  <si>
    <t>Net working capital</t>
  </si>
  <si>
    <t>% of revenues</t>
  </si>
  <si>
    <t>Inventory Days</t>
  </si>
  <si>
    <t>Receivable Days</t>
  </si>
  <si>
    <t>Payable Days</t>
  </si>
  <si>
    <t>BALANCE SHEET  -  Banking Business</t>
  </si>
  <si>
    <t>Customer loans and receivables</t>
  </si>
  <si>
    <t>Total assets - banking business</t>
  </si>
  <si>
    <t>Deposits and other demand obligations</t>
  </si>
  <si>
    <t>Deposits and other time deposits.</t>
  </si>
  <si>
    <t>Debt  Breakdown  (Non Banking Business)</t>
  </si>
  <si>
    <t>Debt Obligations</t>
  </si>
  <si>
    <t>Finance Lease  Obligations</t>
  </si>
  <si>
    <t>Operating Lease obligations</t>
  </si>
  <si>
    <t>Purchase Obligations</t>
  </si>
  <si>
    <t>Cash and equivalents</t>
  </si>
  <si>
    <t xml:space="preserve">Gross total debt </t>
  </si>
  <si>
    <t>Finance Leases</t>
  </si>
  <si>
    <t xml:space="preserve">Net debt including Finance leases </t>
  </si>
  <si>
    <t xml:space="preserve">Gross debt including Finance leases </t>
  </si>
  <si>
    <t>Capitalized operating leases (rent*8)</t>
  </si>
  <si>
    <t>Net debt- including capitalized Operating leases</t>
  </si>
  <si>
    <t>Gross debt- including capitalized Operating leases</t>
  </si>
  <si>
    <t xml:space="preserve">Hard Currency FX debt </t>
  </si>
  <si>
    <t xml:space="preserve">LC debt </t>
  </si>
  <si>
    <t>Debt  Breakdown  (Banking Business)</t>
  </si>
  <si>
    <t>Due to banks</t>
  </si>
  <si>
    <t>Debt instruments issued</t>
  </si>
  <si>
    <t>Leasing liabilities</t>
  </si>
  <si>
    <t>Debt  Breakdown  (Consolidated)</t>
  </si>
  <si>
    <t>Net debt</t>
  </si>
  <si>
    <t>Gross debt</t>
  </si>
  <si>
    <t>Market Cap</t>
  </si>
  <si>
    <t>Equity (as reported on balance sheet)</t>
  </si>
  <si>
    <t>Total debt + Equity</t>
  </si>
  <si>
    <t>Net debt + Market Cap</t>
  </si>
  <si>
    <t>Company reported net debt:</t>
  </si>
  <si>
    <t>Hedge assets</t>
  </si>
  <si>
    <t>Company net debt</t>
  </si>
  <si>
    <t>CREDIT RATIOS - Non Banking Business</t>
  </si>
  <si>
    <t>Total Net Leverage</t>
  </si>
  <si>
    <t>Total Gross Leverage</t>
  </si>
  <si>
    <t>Total Net Leverage- including finance leases</t>
  </si>
  <si>
    <t>Total Gross Leverage - including finance leases</t>
  </si>
  <si>
    <t>Lease adjusted net leverage</t>
  </si>
  <si>
    <t>Lease adjusted gross leverage</t>
  </si>
  <si>
    <t>EBITDA - Capex / Interest</t>
  </si>
  <si>
    <t>EBITDA/Interest</t>
  </si>
  <si>
    <t>CREDIT RATIOS - Consolidated</t>
  </si>
  <si>
    <t xml:space="preserve">Gearing (Net debt / Equity) </t>
  </si>
  <si>
    <t>Summary Financials - Non banking Business</t>
  </si>
  <si>
    <t>(CLP millions)</t>
  </si>
  <si>
    <t xml:space="preserve">Q3 </t>
  </si>
  <si>
    <t>HY</t>
  </si>
  <si>
    <t>Net Debt</t>
  </si>
  <si>
    <t>Gross Debt</t>
  </si>
  <si>
    <t>LTM EBITDA</t>
  </si>
  <si>
    <t>LTM EBITDAR</t>
  </si>
  <si>
    <t>Average Exchange rate</t>
  </si>
  <si>
    <t>Exchange Rate at the end</t>
  </si>
  <si>
    <t>(USD millions)</t>
  </si>
  <si>
    <t xml:space="preserve">LFL sales growth </t>
  </si>
  <si>
    <t>EBITDAR</t>
  </si>
  <si>
    <t>LTM Adjusted EBITDA</t>
  </si>
  <si>
    <t>LTM Adjusted EBITDAR</t>
  </si>
  <si>
    <t>Adjusted EBITDA - Capex / Interest</t>
  </si>
  <si>
    <t>Adjusted EBITDA/Interest</t>
  </si>
  <si>
    <t>Key  Credit Metrics for Non-Banking Business (Ch$ mn where applicable)</t>
  </si>
  <si>
    <t>Adjusted EBITDA margin</t>
  </si>
  <si>
    <t>Total Debt</t>
  </si>
  <si>
    <t>Lease Adjusted Debt</t>
  </si>
  <si>
    <t>Net Lease Adjusted Debt</t>
  </si>
  <si>
    <t>Gross Leverage</t>
  </si>
  <si>
    <t xml:space="preserve">Net Leverage </t>
  </si>
  <si>
    <t>Gross lease adjusted Leverage</t>
  </si>
  <si>
    <t xml:space="preserve">Net lease adjusted  Leverage </t>
  </si>
  <si>
    <t>KPIs</t>
  </si>
  <si>
    <t>Numbers of stores</t>
  </si>
  <si>
    <t>Total selling space (sq. m)</t>
  </si>
  <si>
    <t>Average selling space per store</t>
  </si>
  <si>
    <t>Average of SKUs</t>
  </si>
  <si>
    <t>Selling space owned</t>
  </si>
  <si>
    <t>Percentage of total numbers</t>
  </si>
  <si>
    <t>Retail  Revenues</t>
  </si>
  <si>
    <t>Chile</t>
  </si>
  <si>
    <t>Peru</t>
  </si>
  <si>
    <t>Argentina</t>
  </si>
  <si>
    <t>Colombia</t>
  </si>
  <si>
    <t>Brazil</t>
  </si>
  <si>
    <t>Mallplaza</t>
  </si>
  <si>
    <t>Other Emilinitions</t>
  </si>
  <si>
    <t xml:space="preserve">Total revenues </t>
  </si>
  <si>
    <t xml:space="preserve">Cost of Sales </t>
  </si>
  <si>
    <t>Other Eliminitions</t>
  </si>
  <si>
    <t xml:space="preserve">Total </t>
  </si>
  <si>
    <t>Gross Margin</t>
  </si>
  <si>
    <t>Banking Business</t>
  </si>
  <si>
    <t>Net income from interest and indexation</t>
  </si>
  <si>
    <t>Net fee income</t>
  </si>
  <si>
    <t xml:space="preserve">Other operating income </t>
  </si>
  <si>
    <t xml:space="preserve">Credit risk provisions </t>
  </si>
  <si>
    <t xml:space="preserve">Total operating income, net ...... </t>
  </si>
  <si>
    <t>Retail Adjusted  EBITDA</t>
  </si>
  <si>
    <t>Banking Adjusted EBITDA</t>
  </si>
  <si>
    <t>Total Retail and Banking EBITDA</t>
  </si>
  <si>
    <t>Retail EBITDA margin</t>
  </si>
  <si>
    <t>Banking EBITDA margin</t>
  </si>
  <si>
    <t>Operating segments</t>
  </si>
  <si>
    <t>Retail &amp; Wholesale</t>
  </si>
  <si>
    <t>Consolidation Entries</t>
  </si>
  <si>
    <t>Total</t>
  </si>
  <si>
    <t>Cost of Goods sold</t>
  </si>
  <si>
    <t>Gross Profit margins</t>
  </si>
  <si>
    <t>Operating Profit Margins</t>
  </si>
  <si>
    <t>1H2016</t>
  </si>
  <si>
    <t>1H2017</t>
  </si>
  <si>
    <t>1H2018</t>
  </si>
  <si>
    <t>1H2019</t>
  </si>
  <si>
    <t>1H2020</t>
  </si>
  <si>
    <t>1H2021</t>
  </si>
  <si>
    <t>1H2022</t>
  </si>
  <si>
    <t>1H</t>
  </si>
  <si>
    <t xml:space="preserve">Number of stores </t>
  </si>
  <si>
    <t xml:space="preserve">Department Stores </t>
  </si>
  <si>
    <t xml:space="preserve">Home improvement </t>
  </si>
  <si>
    <t>Uruguay</t>
  </si>
  <si>
    <t>Mexico</t>
  </si>
  <si>
    <t xml:space="preserve">Supermarkets </t>
  </si>
  <si>
    <t>IKEA</t>
  </si>
  <si>
    <t xml:space="preserve">Same store sales </t>
  </si>
  <si>
    <t>N/A</t>
  </si>
  <si>
    <t>-</t>
  </si>
  <si>
    <t>6,0%</t>
  </si>
  <si>
    <t>Real estate</t>
  </si>
  <si>
    <t>Mall Plaza – Chile</t>
  </si>
  <si>
    <t>Open – Chile</t>
  </si>
  <si>
    <t xml:space="preserve">Aventura Plaza – Peru </t>
  </si>
  <si>
    <t>Open Plaza – Peru</t>
  </si>
  <si>
    <t>Mall Plaza – Peru</t>
  </si>
  <si>
    <t>Mall Plaza – Colombia</t>
  </si>
  <si>
    <t>Credit Information</t>
  </si>
  <si>
    <t>Chile CMR (Card)</t>
  </si>
  <si>
    <t>Total loans</t>
  </si>
  <si>
    <t xml:space="preserve">CLP in millions </t>
  </si>
  <si>
    <t>Allowances</t>
  </si>
  <si>
    <t>Active accounts (with outstanding balance)</t>
  </si>
  <si>
    <t xml:space="preserve"> Number </t>
  </si>
  <si>
    <t>Average duration</t>
  </si>
  <si>
    <t xml:space="preserve"> Months </t>
  </si>
  <si>
    <t>Average loan</t>
  </si>
  <si>
    <t>CLP</t>
  </si>
  <si>
    <t>Banco Falabella Peru (Card)</t>
  </si>
  <si>
    <t>SOL in millions</t>
  </si>
  <si>
    <t xml:space="preserve"> SOL</t>
  </si>
  <si>
    <t>CMR Argentina (Card)</t>
  </si>
  <si>
    <t>Total loans .</t>
  </si>
  <si>
    <t>ARS in millions</t>
  </si>
  <si>
    <t xml:space="preserve">ARS in millions </t>
  </si>
  <si>
    <t>ARS</t>
  </si>
  <si>
    <t>Banco Falabella Colombia (Card)</t>
  </si>
  <si>
    <t>COP in millions</t>
  </si>
  <si>
    <t xml:space="preserve">COP </t>
  </si>
  <si>
    <t>Banco Falabella Chile:</t>
  </si>
  <si>
    <t>Percentage of Total Sales paid with CMR credit card</t>
  </si>
  <si>
    <t xml:space="preserve">The data is cumulative </t>
  </si>
  <si>
    <t>Department stores Chile</t>
  </si>
  <si>
    <t>Home improvement Chile</t>
  </si>
  <si>
    <t>Supermarkets Chile</t>
  </si>
  <si>
    <t xml:space="preserve">Retail Peru (Saga, Sodimac &amp; Tottus) </t>
  </si>
  <si>
    <t>Retail Argentina (Falabella &amp; Sodimac)</t>
  </si>
  <si>
    <t>Retail Colombia (Falabella &amp; Sodimac)</t>
  </si>
  <si>
    <t>México - Sodimac</t>
  </si>
  <si>
    <t>Retail Business Income</t>
  </si>
  <si>
    <t xml:space="preserve">Department stores  </t>
  </si>
  <si>
    <t xml:space="preserve">Home improvement  </t>
  </si>
  <si>
    <t xml:space="preserve">Supermarkets   </t>
  </si>
  <si>
    <t xml:space="preserve">Credit card services </t>
  </si>
  <si>
    <t>Other businesses and Eliminations</t>
  </si>
  <si>
    <t>Other Business, Deletions, and Cancellations intersegment</t>
  </si>
  <si>
    <t>Total Income</t>
  </si>
  <si>
    <t>Check</t>
  </si>
  <si>
    <t>Results by Business Unit</t>
  </si>
  <si>
    <t>Revenues:</t>
  </si>
  <si>
    <t>Banco Falbella Chile</t>
  </si>
  <si>
    <t>Internartional Business:</t>
  </si>
  <si>
    <t>Plaza S.A</t>
  </si>
  <si>
    <t>Other, el imnation &amp; anulment</t>
  </si>
  <si>
    <t>EBITDA:</t>
  </si>
  <si>
    <t>Internartional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</si>
</sst>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1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#,##0.0_);\(#,##0.0\)"/>
    <numFmt numFmtId="166" formatCode="#0.0%_);\(#0.0%\)"/>
    <numFmt numFmtId="167" formatCode="#0.00\x"/>
    <numFmt numFmtId="168" formatCode="mmm\ yyyy"/>
    <numFmt numFmtId="169" formatCode="0.0%"/>
    <numFmt numFmtId="170" formatCode="_(* #,##0.0_);_(* \(#,##0.0\);_(* &quot;-&quot;??_);_(@_)"/>
    <numFmt numFmtId="171" formatCode="_(* #,##0.000_);_(* \(#,##0.000\);_(* &quot;-&quot;??_);_(@_)"/>
    <numFmt numFmtId="172" formatCode="_(* #,##0_);_(* \(#,##0\);_(* &quot;-&quot;??_);_(@_)"/>
    <numFmt numFmtId="173" formatCode="#,##0.0\ ;\(#,##0.0\)"/>
    <numFmt numFmtId="174" formatCode="&quot;$&quot;#,##0.00_)&quot;per share&quot;;\(&quot;$&quot;#,##0.00\)&quot; per share&quot;"/>
    <numFmt numFmtId="175" formatCode="0.0_)\%;\(0.0\)\%;0.0_)\%;@_)_%"/>
    <numFmt numFmtId="176" formatCode="#,##0.0_)_%;\(#,##0.0\)_%;0.0_)_%;@_)_%"/>
    <numFmt numFmtId="177" formatCode="#,##0.0_);\(#,##0.0\);#,##0.0_);@_)"/>
    <numFmt numFmtId="178" formatCode="&quot;$&quot;_(#,##0.00_);&quot;$&quot;\(#,##0.00\);&quot;$&quot;_(0.00_);@_)"/>
    <numFmt numFmtId="179" formatCode="&quot;$&quot;_(#,##0.00_);&quot;$&quot;\(#,##0.00\)"/>
    <numFmt numFmtId="180" formatCode="#,##0.00_);\(#,##0.00\);0.00_);@_)"/>
    <numFmt numFmtId="181" formatCode="\€_(#,##0.00_);\€\(#,##0.00\);\€_(0.00_);@_)"/>
    <numFmt numFmtId="182" formatCode="#,##0_)\x;\(#,##0\)\x;0_)\x;@_)_x"/>
    <numFmt numFmtId="183" formatCode="#,##0.0_)\x;\(#,##0.0\)\x"/>
    <numFmt numFmtId="184" formatCode="#,##0_)_x;\(#,##0\)_x;0_)_x;@_)_x"/>
    <numFmt numFmtId="185" formatCode="#,##0.0_)_x;\(#,##0.0\)_x"/>
    <numFmt numFmtId="186" formatCode="0.0_)\%;\(0.0\)\%"/>
    <numFmt numFmtId="187" formatCode="#,##0.0_)_%;\(#,##0.0\)_%"/>
    <numFmt numFmtId="188" formatCode="_(\£* #,##0_);_(\£* \(#,##0\);_(\£* &quot;-&quot;_);_(@_)"/>
    <numFmt numFmtId="189" formatCode="_(\£* #,##0.0_);_(\£* \(#,##0.0\);_(\£* &quot;-&quot;_);_(@_)"/>
    <numFmt numFmtId="190" formatCode="_(\£* #,##0.00_);_(\£* \(#,##0.00\);_(\£* &quot;-&quot;_);_(@_)"/>
    <numFmt numFmtId="191" formatCode="_(* #,##0\p_);_(* \(#,##0\p\);_(* &quot;-&quot;\ \p_);_(@_)"/>
    <numFmt numFmtId="192" formatCode="_(* #,##0.00\p_);_(* \(#,##0.00\p\);_(* &quot;-&quot;\ \p_);_(@_)"/>
    <numFmt numFmtId="193" formatCode="\£#,##0.00"/>
    <numFmt numFmtId="194" formatCode="&quot;$&quot;&quot; &quot;#,##0_);\(&quot;$&quot;&quot; &quot;#,##0\);\-_)"/>
    <numFmt numFmtId="195" formatCode="#,##0_);\(#,##0\);\-_)"/>
    <numFmt numFmtId="196" formatCode="&quot;$&quot;#,##0_);[Red]\(&quot;$&quot;#,##0\);&quot;-&quot;"/>
    <numFmt numFmtId="197" formatCode="[Blue]0.0%;[Blue]\-0.0%"/>
    <numFmt numFmtId="198" formatCode="\£#,##0_);\(\£#,##0\)"/>
    <numFmt numFmtId="199" formatCode="&quot;fl&quot;#,##0_);\(&quot;fl&quot;#,##0\)"/>
    <numFmt numFmtId="200" formatCode="&quot;$&quot;\ #,##0_);\(&quot;$&quot;\ #,##0\)"/>
    <numFmt numFmtId="201" formatCode="_(&quot;R$&quot;* #,##0.00_);_(&quot;R$&quot;* \(#,##0.00\);_(&quot;R$&quot;* &quot;-&quot;??_);_(@_)"/>
    <numFmt numFmtId="202" formatCode="0.0\x;[Red]\(0.0\x\)"/>
    <numFmt numFmtId="203" formatCode="#,##0.0_);\(#,##0.0\);&quot;—&quot;_)"/>
    <numFmt numFmtId="204" formatCode="&quot;$&quot;#,##0.0_);\(&quot;$&quot;#,##0.0\);&quot;—&quot;_)"/>
    <numFmt numFmtId="205" formatCode="0.000000000%"/>
    <numFmt numFmtId="206" formatCode="#,##0.0000"/>
    <numFmt numFmtId="207" formatCode="mm/dd/yy"/>
    <numFmt numFmtId="208" formatCode="&quot;$&quot;#,##0.00"/>
    <numFmt numFmtId="209" formatCode="_([$€-2]* #,##0.00_);_([$€-2]* \(#,##0.00\);_([$€-2]* &quot;-&quot;??_)"/>
    <numFmt numFmtId="210" formatCode="#&quot; mon&quot;"/>
    <numFmt numFmtId="211" formatCode="#,##0\ &quot;F&quot;;[Red]\-#,##0\ &quot;F&quot;"/>
    <numFmt numFmtId="212" formatCode="#,##0.00\ &quot;F&quot;;[Red]\-#,##0.00\ &quot;F&quot;"/>
    <numFmt numFmtId="213" formatCode="#,##0.0\x_)_);\(#,##0.0\x\)_);#,##0.0\x_)_);@_%_)"/>
    <numFmt numFmtId="214" formatCode="_(* #,##0.00\ ___);_(* \(#,##0.00\ __\);_(* &quot;-&quot;??_);_(@_)"/>
    <numFmt numFmtId="215" formatCode="0%\);[Red]\(0%"/>
    <numFmt numFmtId="216" formatCode="_(* #,##0\ ___);_(* \(#,##0\ __\);_(* &quot;-&quot;??_);_(@_)"/>
    <numFmt numFmtId="217" formatCode="_(* #,##0\ \x_);_(* \(#,##0\ \x\);_(* &quot;-&quot;??_);_(@_)"/>
    <numFmt numFmtId="218" formatCode="0%_);[Red]\(0%\)"/>
    <numFmt numFmtId="219" formatCode="_(* #,##0.0\ ___);_(* \(#,##0.0\ __\);_(* &quot;-&quot;??_);_(@_)"/>
    <numFmt numFmtId="220" formatCode="_(* #,##0.0\ \x_);_(* \(#,##0.0\ \x\);_(* &quot;-&quot;??_);_(@_)"/>
    <numFmt numFmtId="221" formatCode="#,##0&quot; F&quot;_);\(#,##0&quot; F&quot;\)"/>
    <numFmt numFmtId="222" formatCode="_(* #,##0.00_);_(* \(\ #,##0.00\ \);_(* &quot;&quot;??_);_(\ @_ \)"/>
    <numFmt numFmtId="223" formatCode="0.00_)"/>
    <numFmt numFmtId="224" formatCode="_(* #,##0.0_);_(* \(#,##0.0\);_(* &quot;-&quot;?_);_(@_)"/>
    <numFmt numFmtId="225" formatCode="0.00%\ &quot;Ramped&quot;\ "/>
    <numFmt numFmtId="226" formatCode="0.00%\ &quot;Ramped&quot;"/>
    <numFmt numFmtId="227" formatCode="0.0000"/>
    <numFmt numFmtId="228" formatCode="0.000"/>
    <numFmt numFmtId="229" formatCode="&quot;Diversity =&quot;\ #.0"/>
    <numFmt numFmtId="230" formatCode="&quot;Ratings Factor =&quot;\ #"/>
    <numFmt numFmtId="231" formatCode="&quot;Page &quot;0"/>
    <numFmt numFmtId="232" formatCode="&quot;\&quot;#,##0.00;[Red]\-&quot;\&quot;#,##0.00"/>
    <numFmt numFmtId="233" formatCode="0.0_%"/>
    <numFmt numFmtId="234" formatCode="_(0.0%;_(* \(0.0\)%"/>
    <numFmt numFmtId="235" formatCode="_(* #,##0.0000_);_(* \(#,##0.0000\);_(* &quot;-&quot;??_);_(@_)"/>
    <numFmt numFmtId="236" formatCode="0&quot; bps&quot;"/>
    <numFmt numFmtId="237" formatCode="&quot;WAS =&quot;\ #.00"/>
    <numFmt numFmtId="238" formatCode="&quot;Avg. Px.=&quot;#.00"/>
    <numFmt numFmtId="239" formatCode="&quot;WAL=&quot;#.00"/>
    <numFmt numFmtId="240" formatCode="#.00\ &quot;years&quot;"/>
    <numFmt numFmtId="241" formatCode="&quot;2nd Lien=&quot;#"/>
    <numFmt numFmtId="242" formatCode="&quot;WAPP=&quot;#.00"/>
    <numFmt numFmtId="243" formatCode="&quot;WAS=&quot;#.00"/>
    <numFmt numFmtId="244" formatCode="&quot;WAC=&quot;#.00"/>
    <numFmt numFmtId="245" formatCode="&quot;$&quot;#,##0.0_);\(&quot;$&quot;#,##0.0\)"/>
    <numFmt numFmtId="246" formatCode="#,###,;\(#,###,\)"/>
    <numFmt numFmtId="247" formatCode="000\-00\-0000"/>
    <numFmt numFmtId="248" formatCode="&quot;$&quot;#,##0.0000"/>
    <numFmt numFmtId="249" formatCode="&quot;$&quot;#,##0.000000"/>
    <numFmt numFmtId="250" formatCode="&quot;$&quot;#,##0.000"/>
    <numFmt numFmtId="251" formatCode="000000000"/>
    <numFmt numFmtId="252" formatCode="000"/>
    <numFmt numFmtId="253" formatCode="hh:mm\ AM/PM_)"/>
    <numFmt numFmtId="254" formatCode="#.0&quot;x&quot;"/>
    <numFmt numFmtId="255" formatCode="yyyy"/>
    <numFmt numFmtId="256" formatCode="\¥#,##0_);\(\¥#,##0\)"/>
    <numFmt numFmtId="257" formatCode="#0.0\x"/>
    <numFmt numFmtId="258" formatCode="0.0\x"/>
    <numFmt numFmtId="259" formatCode="0.0"/>
    <numFmt numFmtId="260" formatCode="#,##0.000"/>
    <numFmt numFmtId="261" formatCode="#,##0.0"/>
    <numFmt numFmtId="262" formatCode="#,##0.000_);\(#,##0.000\)"/>
    <numFmt numFmtId="263" formatCode="0.000000000000000000"/>
    <numFmt numFmtId="264" formatCode="0\x"/>
    <numFmt numFmtId="265" formatCode="0.000000000000000"/>
    <numFmt numFmtId="266" formatCode="#,##0.0000_);\(#,##0.0000\)"/>
  </numFmts>
  <fonts count="138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9"/>
      <name val="Arial"/>
      <family val="2"/>
    </font>
    <font>
      <b/>
      <u val="singleAccounting"/>
      <sz val="8"/>
      <color indexed="8"/>
      <name val="Arial"/>
      <family val="2"/>
    </font>
    <font>
      <sz val="1"/>
      <color indexed="9"/>
      <name val="Symbol"/>
      <family val="1"/>
    </font>
    <font>
      <b/>
      <u val="singleAccounting"/>
      <sz val="8"/>
      <color indexed="8"/>
      <name val="Verdana"/>
      <family val="2"/>
    </font>
    <font>
      <b/>
      <sz val="10"/>
      <color indexed="9"/>
      <name val="Arial"/>
      <family val="2"/>
    </font>
    <font>
      <b/>
      <sz val="12"/>
      <color indexed="8"/>
      <name val="Verdana"/>
      <family val="2"/>
    </font>
    <font>
      <b/>
      <sz val="8"/>
      <color indexed="9"/>
      <name val="Verdana"/>
      <family val="2"/>
    </font>
    <font>
      <vertAlign val="subscript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  <font>
      <b/>
      <sz val="13"/>
      <color indexed="8"/>
      <name val="Verdana"/>
      <family val="2"/>
    </font>
    <font>
      <b/>
      <sz val="8"/>
      <name val="Arial"/>
      <family val="2"/>
    </font>
    <font>
      <u val="singleAccounting"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12"/>
      <name val="Times New Roman"/>
      <family val="1"/>
    </font>
    <font>
      <i/>
      <sz val="10"/>
      <name val="Times New Roman"/>
      <family val="1"/>
    </font>
    <font>
      <sz val="9"/>
      <name val="Arial"/>
      <family val="2"/>
    </font>
    <font>
      <sz val="8"/>
      <name val="Times New Roman"/>
      <family val="1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color indexed="8"/>
      <name val="Times New Roman"/>
      <family val="1"/>
    </font>
    <font>
      <sz val="8"/>
      <color indexed="14"/>
      <name val="Times New Roman"/>
      <family val="1"/>
    </font>
    <font>
      <sz val="10"/>
      <name val="Book Antiqua"/>
      <family val="1"/>
    </font>
    <font>
      <sz val="8"/>
      <name val="Times"/>
      <family val="1"/>
    </font>
    <font>
      <b/>
      <sz val="12"/>
      <name val="Times"/>
      <family val="1"/>
    </font>
    <font>
      <sz val="12"/>
      <name val="Arial"/>
      <family val="2"/>
    </font>
    <font>
      <sz val="10"/>
      <color indexed="8"/>
      <name val="Times New Roman"/>
      <family val="1"/>
    </font>
    <font>
      <sz val="8"/>
      <color indexed="12"/>
      <name val="Times"/>
      <family val="1"/>
    </font>
    <font>
      <sz val="8"/>
      <name val="Helv"/>
    </font>
    <font>
      <sz val="12"/>
      <name val="Times"/>
      <family val="1"/>
    </font>
    <font>
      <b/>
      <i/>
      <sz val="10"/>
      <name val="Arial"/>
      <family val="2"/>
    </font>
    <font>
      <b/>
      <i/>
      <sz val="12"/>
      <name val="Times New Roman"/>
      <family val="1"/>
    </font>
    <font>
      <b/>
      <u/>
      <sz val="8"/>
      <color indexed="8"/>
      <name val="Times New Roman"/>
      <family val="1"/>
    </font>
    <font>
      <b/>
      <sz val="9"/>
      <color indexed="8"/>
      <name val="Times New Roman"/>
      <family val="1"/>
    </font>
    <font>
      <i/>
      <sz val="8"/>
      <name val="Arial"/>
      <family val="2"/>
    </font>
    <font>
      <b/>
      <i/>
      <sz val="8"/>
      <name val="Arial"/>
      <family val="2"/>
    </font>
    <font>
      <b/>
      <sz val="8"/>
      <name val="Book Antiqua"/>
      <family val="1"/>
    </font>
    <font>
      <sz val="14"/>
      <name val="Arial"/>
      <family val="2"/>
    </font>
    <font>
      <sz val="8"/>
      <color indexed="12"/>
      <name val="Times New Roman"/>
      <family val="1"/>
    </font>
    <font>
      <b/>
      <sz val="14"/>
      <name val="Book Antiqua"/>
      <family val="1"/>
    </font>
    <font>
      <sz val="10"/>
      <name val="MS Serif"/>
      <family val="1"/>
    </font>
    <font>
      <sz val="10"/>
      <name val="MS Sans Serif"/>
      <family val="2"/>
    </font>
    <font>
      <sz val="12"/>
      <name val="Times New Roman"/>
      <family val="1"/>
    </font>
    <font>
      <u val="doubleAccounting"/>
      <sz val="10"/>
      <name val="Arial"/>
      <family val="2"/>
    </font>
    <font>
      <sz val="10"/>
      <color indexed="16"/>
      <name val="MS Serif"/>
      <family val="1"/>
    </font>
    <font>
      <b/>
      <i/>
      <sz val="9"/>
      <color indexed="4"/>
      <name val="Times New Roman"/>
      <family val="1"/>
    </font>
    <font>
      <sz val="7"/>
      <name val="Arial"/>
      <family val="2"/>
    </font>
    <font>
      <b/>
      <sz val="14"/>
      <name val="Arial"/>
      <family val="2"/>
    </font>
    <font>
      <u/>
      <sz val="8"/>
      <name val="Times New Roman"/>
      <family val="1"/>
    </font>
    <font>
      <b/>
      <sz val="12"/>
      <color indexed="9"/>
      <name val="Times"/>
      <family val="1"/>
    </font>
    <font>
      <b/>
      <i/>
      <sz val="18"/>
      <color indexed="4"/>
      <name val="Times New Roman"/>
      <family val="1"/>
    </font>
    <font>
      <b/>
      <sz val="12"/>
      <name val="Arial"/>
      <family val="2"/>
    </font>
    <font>
      <b/>
      <sz val="8"/>
      <name val="Palatino"/>
      <family val="1"/>
    </font>
    <font>
      <b/>
      <sz val="9"/>
      <name val="Arial"/>
      <family val="2"/>
    </font>
    <font>
      <b/>
      <sz val="8"/>
      <name val="MS Sans Serif"/>
      <family val="2"/>
    </font>
    <font>
      <b/>
      <i/>
      <sz val="10"/>
      <name val="Times New Roman"/>
      <family val="1"/>
    </font>
    <font>
      <b/>
      <sz val="10"/>
      <name val="Palatino"/>
      <family val="1"/>
    </font>
    <font>
      <sz val="8"/>
      <name val="Book Antiqua"/>
      <family val="1"/>
    </font>
    <font>
      <sz val="10"/>
      <name val="Geneva"/>
      <family val="2"/>
    </font>
    <font>
      <i/>
      <sz val="7"/>
      <name val="Book Antiqua"/>
      <family val="1"/>
    </font>
    <font>
      <sz val="8"/>
      <name val="Palatino"/>
      <family val="1"/>
    </font>
    <font>
      <b/>
      <i/>
      <sz val="16"/>
      <name val="Helv"/>
    </font>
    <font>
      <sz val="10"/>
      <color indexed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u/>
      <sz val="10"/>
      <color indexed="12"/>
      <name val="Times New Roman"/>
      <family val="1"/>
    </font>
    <font>
      <b/>
      <sz val="12"/>
      <name val="Times New Roman"/>
      <family val="1"/>
    </font>
    <font>
      <b/>
      <sz val="15"/>
      <name val="Times New Roman"/>
      <family val="1"/>
    </font>
    <font>
      <sz val="8"/>
      <color indexed="72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u/>
      <sz val="8"/>
      <name val="Book Antiqua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name val="Arial MT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7"/>
      <color indexed="12"/>
      <name val="Arial"/>
      <family val="2"/>
    </font>
    <font>
      <sz val="8"/>
      <name val="Wingdings"/>
      <charset val="2"/>
    </font>
    <font>
      <sz val="9"/>
      <color indexed="8"/>
      <name val="Times New Roman"/>
      <family val="1"/>
    </font>
    <font>
      <sz val="8"/>
      <name val="MS Sans Serif"/>
      <family val="2"/>
    </font>
    <font>
      <b/>
      <sz val="8"/>
      <color indexed="10"/>
      <name val="Times New Roman"/>
      <family val="1"/>
    </font>
    <font>
      <b/>
      <sz val="8"/>
      <color indexed="8"/>
      <name val="Helv"/>
    </font>
    <font>
      <b/>
      <sz val="14"/>
      <color indexed="8"/>
      <name val="Times New Roman"/>
      <family val="1"/>
    </font>
    <font>
      <b/>
      <u/>
      <sz val="14"/>
      <name val="Book Antiqua"/>
      <family val="1"/>
    </font>
    <font>
      <b/>
      <sz val="10"/>
      <name val="Book Antiqua"/>
      <family val="1"/>
    </font>
    <font>
      <b/>
      <sz val="7"/>
      <name val="Arial"/>
      <family val="2"/>
    </font>
    <font>
      <b/>
      <sz val="7"/>
      <color indexed="12"/>
      <name val="Arial"/>
      <family val="2"/>
    </font>
    <font>
      <b/>
      <u/>
      <sz val="10"/>
      <name val="Book Antiqua"/>
      <family val="1"/>
    </font>
    <font>
      <b/>
      <sz val="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sz val="12"/>
      <color indexed="8"/>
      <name val="Times New Roman"/>
      <family val="2"/>
    </font>
    <font>
      <sz val="1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6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rgb="FF0000FF"/>
      <name val="Calibri"/>
      <family val="2"/>
      <scheme val="minor"/>
    </font>
    <font>
      <i/>
      <sz val="8"/>
      <color rgb="FFFF0000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10"/>
      <color indexed="8"/>
      <name val="Calibri"/>
      <family val="2"/>
      <scheme val="minor"/>
    </font>
    <font>
      <i/>
      <sz val="10"/>
      <color rgb="FFFF0000"/>
      <name val="Arial"/>
      <family val="2"/>
    </font>
    <font>
      <sz val="10"/>
      <color theme="1"/>
      <name val="Calibri"/>
      <family val="2"/>
      <scheme val="minor"/>
    </font>
    <font>
      <i/>
      <sz val="8"/>
      <color rgb="FFFF0000"/>
      <name val="Arial"/>
      <family val="2"/>
    </font>
    <font>
      <i/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i/>
      <sz val="10"/>
      <color indexed="12"/>
      <name val="Calibri"/>
      <family val="2"/>
      <scheme val="minor"/>
    </font>
    <font>
      <b/>
      <sz val="12"/>
      <name val="Calibri"/>
      <family val="2"/>
      <scheme val="minor"/>
    </font>
    <font>
      <i/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lightGray">
        <fgColor indexed="15"/>
      </patternFill>
    </fill>
    <fill>
      <patternFill patternType="solid">
        <fgColor indexed="6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56"/>
        <bgColor indexed="64"/>
      </patternFill>
    </fill>
    <fill>
      <patternFill patternType="solid">
        <fgColor indexed="15"/>
        <bgColor indexed="64"/>
      </patternFill>
    </fill>
    <fill>
      <patternFill patternType="lightGray">
        <fgColor indexed="13"/>
      </patternFill>
    </fill>
    <fill>
      <patternFill patternType="solid">
        <fgColor rgb="FF4F81B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1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4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 style="thick">
        <color indexed="9"/>
      </left>
      <right style="thick">
        <color indexed="9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898">
    <xf numFmtId="0" fontId="0" fillId="0" borderId="0"/>
    <xf numFmtId="173" fontId="26" fillId="0" borderId="0"/>
    <xf numFmtId="0" fontId="27" fillId="0" borderId="0">
      <alignment horizontal="right"/>
    </xf>
    <xf numFmtId="0" fontId="6" fillId="0" borderId="0"/>
    <xf numFmtId="174" fontId="22" fillId="0" borderId="0" applyFont="0" applyFill="0" applyBorder="0" applyAlignment="0"/>
    <xf numFmtId="175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 applyNumberFormat="0" applyFill="0" applyBorder="0" applyAlignment="0" applyProtection="0">
      <alignment horizontal="left" wrapText="1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6" fillId="0" borderId="0" applyNumberFormat="0" applyFill="0" applyBorder="0" applyAlignment="0" applyProtection="0">
      <alignment horizontal="left" wrapText="1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vertical="top"/>
    </xf>
    <xf numFmtId="0" fontId="6" fillId="0" borderId="0" applyNumberFormat="0" applyFill="0" applyBorder="0" applyAlignment="0" applyProtection="0">
      <alignment horizontal="left" wrapText="1"/>
    </xf>
    <xf numFmtId="0" fontId="6" fillId="0" borderId="0">
      <alignment vertical="top"/>
    </xf>
    <xf numFmtId="177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6" fillId="2" borderId="0" applyNumberFormat="0" applyFont="0" applyAlignment="0" applyProtection="0"/>
    <xf numFmtId="0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4" fontId="6" fillId="0" borderId="0" applyFont="0" applyFill="0" applyBorder="0" applyProtection="0">
      <alignment horizontal="right"/>
    </xf>
    <xf numFmtId="185" fontId="6" fillId="0" borderId="0" applyFont="0" applyFill="0" applyBorder="0" applyAlignment="0" applyProtection="0"/>
    <xf numFmtId="0" fontId="6" fillId="0" borderId="0">
      <alignment horizontal="left" wrapText="1"/>
    </xf>
    <xf numFmtId="0" fontId="6" fillId="0" borderId="0">
      <alignment horizontal="left" wrapText="1"/>
    </xf>
    <xf numFmtId="186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 applyFont="0" applyFill="0" applyBorder="0" applyAlignment="0" applyProtection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29" fillId="0" borderId="0" applyNumberFormat="0" applyFill="0" applyBorder="0" applyProtection="0">
      <alignment vertical="top"/>
    </xf>
    <xf numFmtId="0" fontId="29" fillId="0" borderId="0" applyNumberFormat="0" applyFill="0" applyBorder="0" applyProtection="0">
      <alignment vertical="top"/>
    </xf>
    <xf numFmtId="0" fontId="30" fillId="0" borderId="1" applyNumberFormat="0" applyFill="0" applyAlignment="0" applyProtection="0"/>
    <xf numFmtId="0" fontId="31" fillId="0" borderId="2" applyNumberFormat="0" applyFill="0" applyProtection="0">
      <alignment horizontal="center"/>
    </xf>
    <xf numFmtId="0" fontId="31" fillId="0" borderId="0" applyNumberFormat="0" applyFill="0" applyBorder="0" applyProtection="0">
      <alignment horizontal="left"/>
    </xf>
    <xf numFmtId="0" fontId="32" fillId="0" borderId="0" applyNumberFormat="0" applyFill="0" applyBorder="0" applyProtection="0">
      <alignment horizontal="centerContinuous"/>
    </xf>
    <xf numFmtId="188" fontId="33" fillId="0" borderId="0" applyFont="0" applyFill="0" applyBorder="0" applyAlignment="0" applyProtection="0"/>
    <xf numFmtId="189" fontId="33" fillId="0" borderId="0" applyFont="0" applyFill="0" applyBorder="0" applyAlignment="0" applyProtection="0"/>
    <xf numFmtId="190" fontId="33" fillId="0" borderId="0" applyFont="0" applyFill="0" applyBorder="0" applyAlignment="0" applyProtection="0"/>
    <xf numFmtId="191" fontId="33" fillId="0" borderId="0" applyFont="0" applyFill="0" applyBorder="0" applyAlignment="0" applyProtection="0"/>
    <xf numFmtId="192" fontId="33" fillId="0" borderId="0" applyFont="0" applyFill="0" applyBorder="0" applyAlignment="0" applyProtection="0"/>
    <xf numFmtId="193" fontId="34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35" fillId="0" borderId="0" applyNumberFormat="0" applyFont="0" applyFill="0" applyBorder="0" applyProtection="0">
      <alignment horizontal="centerContinuous"/>
    </xf>
    <xf numFmtId="0" fontId="3" fillId="0" borderId="0" applyNumberFormat="0" applyFill="0" applyBorder="0" applyAlignment="0">
      <protection locked="0"/>
    </xf>
    <xf numFmtId="0" fontId="36" fillId="0" borderId="0"/>
    <xf numFmtId="0" fontId="37" fillId="0" borderId="0"/>
    <xf numFmtId="0" fontId="27" fillId="0" borderId="0">
      <alignment horizontal="center" wrapText="1"/>
      <protection locked="0"/>
    </xf>
    <xf numFmtId="0" fontId="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2" fillId="3" borderId="0" applyNumberFormat="0" applyBorder="0" applyAlignment="0">
      <protection locked="0"/>
    </xf>
    <xf numFmtId="194" fontId="22" fillId="0" borderId="0" applyFont="0" applyFill="0" applyBorder="0" applyAlignment="0" applyProtection="0"/>
    <xf numFmtId="195" fontId="39" fillId="0" borderId="0" applyFont="0" applyFill="0" applyBorder="0" applyAlignment="0" applyProtection="0"/>
    <xf numFmtId="196" fontId="22" fillId="0" borderId="0" applyFont="0" applyFill="0" applyBorder="0" applyAlignment="0" applyProtection="0"/>
    <xf numFmtId="0" fontId="106" fillId="25" borderId="0"/>
    <xf numFmtId="0" fontId="40" fillId="0" borderId="0" applyNumberFormat="0" applyFill="0" applyBorder="0" applyAlignment="0" applyProtection="0"/>
    <xf numFmtId="197" fontId="41" fillId="0" borderId="0"/>
    <xf numFmtId="0" fontId="42" fillId="0" borderId="0" applyNumberFormat="0" applyFill="0" applyBorder="0" applyAlignment="0" applyProtection="0"/>
    <xf numFmtId="0" fontId="5" fillId="0" borderId="0"/>
    <xf numFmtId="0" fontId="43" fillId="0" borderId="0"/>
    <xf numFmtId="0" fontId="35" fillId="0" borderId="3" applyNumberFormat="0" applyFont="0" applyFill="0" applyAlignment="0" applyProtection="0"/>
    <xf numFmtId="0" fontId="44" fillId="0" borderId="4" applyFill="0" applyProtection="0">
      <alignment horizontal="right"/>
    </xf>
    <xf numFmtId="198" fontId="2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45" fillId="0" borderId="0"/>
    <xf numFmtId="0" fontId="26" fillId="0" borderId="0" applyFill="0" applyBorder="0" applyAlignment="0"/>
    <xf numFmtId="0" fontId="26" fillId="0" borderId="0" applyFill="0" applyBorder="0" applyAlignment="0"/>
    <xf numFmtId="199" fontId="26" fillId="0" borderId="0" applyFill="0" applyBorder="0" applyAlignment="0"/>
    <xf numFmtId="200" fontId="26" fillId="0" borderId="0" applyFill="0" applyBorder="0" applyAlignment="0"/>
    <xf numFmtId="201" fontId="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39" fontId="27" fillId="4" borderId="0" applyNumberFormat="0" applyFont="0" applyBorder="0" applyAlignment="0"/>
    <xf numFmtId="0" fontId="46" fillId="0" borderId="0"/>
    <xf numFmtId="0" fontId="35" fillId="0" borderId="0" applyNumberFormat="0" applyFont="0" applyFill="0" applyBorder="0" applyProtection="0">
      <alignment horizontal="center"/>
    </xf>
    <xf numFmtId="49" fontId="20" fillId="0" borderId="0" applyFill="0" applyBorder="0" applyProtection="0">
      <alignment horizontal="center"/>
    </xf>
    <xf numFmtId="49" fontId="47" fillId="0" borderId="0" applyFill="0" applyBorder="0" applyProtection="0">
      <alignment horizontal="center"/>
    </xf>
    <xf numFmtId="8" fontId="6" fillId="0" borderId="5" applyFont="0" applyFill="0" applyBorder="0" applyProtection="0">
      <alignment horizontal="right"/>
    </xf>
    <xf numFmtId="0" fontId="4" fillId="0" borderId="0"/>
    <xf numFmtId="0" fontId="2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9" fillId="0" borderId="3" applyNumberFormat="0" applyFill="0" applyBorder="0" applyAlignment="0" applyProtection="0">
      <alignment horizontal="center"/>
    </xf>
    <xf numFmtId="0" fontId="8" fillId="5" borderId="0"/>
    <xf numFmtId="43" fontId="1" fillId="0" borderId="0" applyFont="0" applyFill="0" applyBorder="0" applyAlignment="0" applyProtection="0"/>
    <xf numFmtId="202" fontId="6" fillId="0" borderId="0"/>
    <xf numFmtId="202" fontId="6" fillId="0" borderId="0"/>
    <xf numFmtId="202" fontId="6" fillId="0" borderId="0"/>
    <xf numFmtId="202" fontId="6" fillId="0" borderId="0"/>
    <xf numFmtId="202" fontId="6" fillId="0" borderId="0"/>
    <xf numFmtId="202" fontId="6" fillId="0" borderId="0"/>
    <xf numFmtId="202" fontId="6" fillId="0" borderId="0"/>
    <xf numFmtId="202" fontId="6" fillId="0" borderId="0"/>
    <xf numFmtId="203" fontId="50" fillId="0" borderId="0"/>
    <xf numFmtId="0" fontId="26" fillId="0" borderId="0" applyFont="0" applyFill="0" applyBorder="0" applyAlignment="0" applyProtection="0"/>
    <xf numFmtId="170" fontId="51" fillId="0" borderId="0" applyFont="0" applyFill="0" applyBorder="0" applyAlignment="0" applyProtection="0"/>
    <xf numFmtId="40" fontId="6" fillId="0" borderId="0" applyFont="0" applyFill="0" applyBorder="0" applyProtection="0">
      <alignment horizontal="right"/>
    </xf>
    <xf numFmtId="3" fontId="6" fillId="0" borderId="0" applyFill="0" applyBorder="0" applyAlignment="0" applyProtection="0"/>
    <xf numFmtId="3" fontId="2" fillId="0" borderId="0" applyFont="0" applyFill="0" applyBorder="0" applyAlignment="0" applyProtection="0"/>
    <xf numFmtId="3" fontId="20" fillId="0" borderId="0" applyFill="0" applyBorder="0" applyAlignment="0" applyProtection="0"/>
    <xf numFmtId="38" fontId="52" fillId="0" borderId="0" applyNumberFormat="0" applyFill="0" applyBorder="0">
      <alignment vertical="center"/>
    </xf>
    <xf numFmtId="0" fontId="53" fillId="0" borderId="0" applyNumberFormat="0" applyAlignment="0">
      <alignment horizontal="left"/>
    </xf>
    <xf numFmtId="7" fontId="6" fillId="0" borderId="0" applyFont="0" applyFill="0" applyBorder="0" applyAlignment="0" applyProtection="0"/>
    <xf numFmtId="204" fontId="50" fillId="0" borderId="0"/>
    <xf numFmtId="0" fontId="26" fillId="0" borderId="0" applyFont="0" applyFill="0" applyBorder="0" applyAlignment="0" applyProtection="0"/>
    <xf numFmtId="205" fontId="22" fillId="0" borderId="0" applyFont="0" applyFill="0" applyBorder="0" applyAlignment="0" applyProtection="0"/>
    <xf numFmtId="8" fontId="35" fillId="0" borderId="0" applyBorder="0"/>
    <xf numFmtId="206" fontId="6" fillId="0" borderId="0" applyNumberFormat="0">
      <alignment horizontal="right"/>
    </xf>
    <xf numFmtId="15" fontId="6" fillId="0" borderId="0" applyFont="0" applyFill="0" applyBorder="0" applyProtection="0">
      <alignment horizontal="right"/>
    </xf>
    <xf numFmtId="14" fontId="4" fillId="0" borderId="0" applyFill="0" applyBorder="0" applyAlignment="0"/>
    <xf numFmtId="15" fontId="6" fillId="0" borderId="0" applyFont="0" applyFill="0" applyBorder="0" applyProtection="0">
      <alignment horizontal="right"/>
    </xf>
    <xf numFmtId="207" fontId="20" fillId="0" borderId="0" applyFill="0" applyBorder="0" applyProtection="0">
      <alignment horizontal="left"/>
    </xf>
    <xf numFmtId="0" fontId="6" fillId="0" borderId="0">
      <alignment horizontal="left"/>
    </xf>
    <xf numFmtId="38" fontId="54" fillId="0" borderId="6">
      <alignment vertical="center"/>
    </xf>
    <xf numFmtId="208" fontId="34" fillId="0" borderId="0" applyFont="0" applyFill="0" applyBorder="0" applyAlignment="0" applyProtection="0"/>
    <xf numFmtId="4" fontId="55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5" fillId="0" borderId="7" applyNumberFormat="0" applyFont="0" applyFill="0" applyAlignment="0" applyProtection="0"/>
    <xf numFmtId="42" fontId="56" fillId="0" borderId="0" applyFill="0" applyBorder="0" applyAlignment="0" applyProtection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57" fillId="0" borderId="0" applyNumberFormat="0" applyAlignment="0">
      <alignment horizontal="left"/>
    </xf>
    <xf numFmtId="209" fontId="6" fillId="0" borderId="0" applyFont="0" applyFill="0" applyBorder="0" applyAlignment="0" applyProtection="0"/>
    <xf numFmtId="169" fontId="35" fillId="0" borderId="0" applyNumberFormat="0" applyFont="0" applyAlignment="0">
      <alignment vertical="center"/>
    </xf>
    <xf numFmtId="0" fontId="58" fillId="0" borderId="0">
      <alignment horizontal="center"/>
    </xf>
    <xf numFmtId="0" fontId="59" fillId="0" borderId="0" applyNumberFormat="0" applyFill="0" applyBorder="0" applyAlignment="0" applyProtection="0"/>
    <xf numFmtId="38" fontId="2" fillId="6" borderId="0" applyNumberFormat="0" applyBorder="0" applyAlignment="0" applyProtection="0"/>
    <xf numFmtId="0" fontId="5" fillId="7" borderId="8" applyAlignment="0" applyProtection="0"/>
    <xf numFmtId="0" fontId="60" fillId="0" borderId="3" applyFill="0" applyProtection="0">
      <alignment horizontal="centerContinuous"/>
    </xf>
    <xf numFmtId="41" fontId="61" fillId="0" borderId="0">
      <alignment horizontal="center"/>
    </xf>
    <xf numFmtId="0" fontId="6" fillId="0" borderId="0">
      <alignment horizontal="center"/>
    </xf>
    <xf numFmtId="0" fontId="6" fillId="0" borderId="0">
      <alignment horizontal="left"/>
    </xf>
    <xf numFmtId="0" fontId="6" fillId="0" borderId="0">
      <alignment horizontal="right"/>
    </xf>
    <xf numFmtId="0" fontId="62" fillId="8" borderId="0"/>
    <xf numFmtId="0" fontId="63" fillId="0" borderId="0">
      <alignment horizontal="center" vertical="center"/>
    </xf>
    <xf numFmtId="0" fontId="64" fillId="0" borderId="9" applyNumberFormat="0" applyAlignment="0" applyProtection="0">
      <alignment horizontal="left" vertical="center"/>
    </xf>
    <xf numFmtId="0" fontId="64" fillId="0" borderId="8">
      <alignment horizontal="left" vertical="center"/>
    </xf>
    <xf numFmtId="0" fontId="65" fillId="0" borderId="0">
      <alignment horizontal="center"/>
    </xf>
    <xf numFmtId="0" fontId="66" fillId="0" borderId="0" applyFill="0" applyBorder="0" applyProtection="0">
      <alignment horizontal="right"/>
    </xf>
    <xf numFmtId="0" fontId="67" fillId="0" borderId="10">
      <alignment horizontal="center"/>
    </xf>
    <xf numFmtId="0" fontId="67" fillId="0" borderId="0">
      <alignment horizontal="center"/>
    </xf>
    <xf numFmtId="10" fontId="40" fillId="0" borderId="0" applyNumberFormat="0" applyFill="0" applyBorder="0" applyAlignment="0" applyProtection="0">
      <alignment horizontal="right"/>
    </xf>
    <xf numFmtId="10" fontId="2" fillId="9" borderId="11" applyNumberFormat="0" applyBorder="0" applyAlignment="0" applyProtection="0"/>
    <xf numFmtId="0" fontId="9" fillId="0" borderId="0"/>
    <xf numFmtId="0" fontId="68" fillId="0" borderId="0"/>
    <xf numFmtId="0" fontId="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49" fontId="2" fillId="0" borderId="0" applyFont="0" applyFill="0" applyBorder="0" applyProtection="0">
      <alignment horizontal="left"/>
    </xf>
    <xf numFmtId="49" fontId="20" fillId="0" borderId="0" applyFill="0" applyBorder="0" applyProtection="0">
      <alignment horizontal="left"/>
    </xf>
    <xf numFmtId="49" fontId="20" fillId="0" borderId="3" applyFill="0" applyProtection="0">
      <alignment horizontal="left"/>
    </xf>
    <xf numFmtId="49" fontId="20" fillId="0" borderId="12" applyFill="0" applyProtection="0">
      <alignment horizontal="left"/>
    </xf>
    <xf numFmtId="0" fontId="69" fillId="0" borderId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165" fontId="6" fillId="0" borderId="0" applyNumberFormat="0" applyFont="0" applyFill="0" applyBorder="0" applyAlignment="0"/>
    <xf numFmtId="17" fontId="22" fillId="0" borderId="0"/>
    <xf numFmtId="0" fontId="27" fillId="0" borderId="0" applyNumberFormat="0" applyFill="0" applyBorder="0" applyProtection="0"/>
    <xf numFmtId="0" fontId="22" fillId="0" borderId="0" applyNumberFormat="0" applyFill="0" applyBorder="0" applyProtection="0"/>
    <xf numFmtId="38" fontId="70" fillId="0" borderId="0" applyNumberFormat="0" applyFill="0" applyBorder="0">
      <alignment horizontal="left" vertical="center"/>
    </xf>
    <xf numFmtId="164" fontId="107" fillId="0" borderId="0" applyFont="0" applyFill="0" applyBorder="0" applyAlignment="0" applyProtection="0"/>
    <xf numFmtId="164" fontId="6" fillId="0" borderId="0" applyFont="0" applyFill="0" applyBorder="0" applyAlignment="0" applyProtection="0"/>
    <xf numFmtId="38" fontId="71" fillId="0" borderId="0" applyFont="0" applyFill="0" applyBorder="0" applyAlignment="0" applyProtection="0"/>
    <xf numFmtId="40" fontId="71" fillId="0" borderId="0" applyFont="0" applyFill="0" applyBorder="0" applyAlignment="0" applyProtection="0"/>
    <xf numFmtId="169" fontId="72" fillId="0" borderId="0" applyFill="0" applyBorder="0">
      <alignment vertical="center"/>
    </xf>
    <xf numFmtId="210" fontId="27" fillId="0" borderId="0">
      <alignment horizontal="center"/>
    </xf>
    <xf numFmtId="211" fontId="71" fillId="0" borderId="0" applyFont="0" applyFill="0" applyBorder="0" applyAlignment="0" applyProtection="0"/>
    <xf numFmtId="212" fontId="71" fillId="0" borderId="0" applyFont="0" applyFill="0" applyBorder="0" applyAlignment="0" applyProtection="0"/>
    <xf numFmtId="7" fontId="6" fillId="0" borderId="0"/>
    <xf numFmtId="213" fontId="73" fillId="0" borderId="0" applyFont="0" applyFill="0" applyBorder="0" applyProtection="0">
      <alignment horizontal="right"/>
    </xf>
    <xf numFmtId="214" fontId="55" fillId="0" borderId="0" applyFont="0" applyFill="0" applyBorder="0" applyAlignment="0" applyProtection="0"/>
    <xf numFmtId="215" fontId="22" fillId="0" borderId="0" applyFont="0" applyFill="0" applyBorder="0" applyAlignment="0" applyProtection="0"/>
    <xf numFmtId="216" fontId="55" fillId="0" borderId="0" applyFont="0" applyFill="0" applyBorder="0" applyAlignment="0" applyProtection="0"/>
    <xf numFmtId="217" fontId="27" fillId="0" borderId="0" applyFont="0" applyFill="0" applyBorder="0" applyAlignment="0" applyProtection="0"/>
    <xf numFmtId="218" fontId="22" fillId="0" borderId="0" applyFont="0" applyFill="0" applyBorder="0" applyAlignment="0" applyProtection="0"/>
    <xf numFmtId="219" fontId="55" fillId="0" borderId="0" applyFont="0" applyFill="0" applyBorder="0" applyAlignment="0" applyProtection="0"/>
    <xf numFmtId="220" fontId="55" fillId="0" borderId="0" applyFont="0" applyFill="0" applyBorder="0" applyAlignment="0" applyProtection="0"/>
    <xf numFmtId="221" fontId="22" fillId="0" borderId="0" applyFont="0" applyFill="0" applyBorder="0" applyAlignment="0" applyProtection="0"/>
    <xf numFmtId="222" fontId="6" fillId="0" borderId="0"/>
    <xf numFmtId="0" fontId="10" fillId="10" borderId="0"/>
    <xf numFmtId="0" fontId="11" fillId="11" borderId="0"/>
    <xf numFmtId="0" fontId="12" fillId="0" borderId="0"/>
    <xf numFmtId="223" fontId="74" fillId="0" borderId="0"/>
    <xf numFmtId="0" fontId="6" fillId="0" borderId="0"/>
    <xf numFmtId="0" fontId="6" fillId="0" borderId="0"/>
    <xf numFmtId="0" fontId="6" fillId="0" borderId="0"/>
    <xf numFmtId="0" fontId="75" fillId="0" borderId="0">
      <alignment horizontal="center"/>
    </xf>
    <xf numFmtId="0" fontId="23" fillId="0" borderId="0">
      <alignment horizontal="center" vertical="center"/>
    </xf>
    <xf numFmtId="0" fontId="22" fillId="0" borderId="13"/>
    <xf numFmtId="0" fontId="22" fillId="0" borderId="14"/>
    <xf numFmtId="49" fontId="22" fillId="0" borderId="14">
      <alignment horizontal="left"/>
    </xf>
    <xf numFmtId="0" fontId="22" fillId="0" borderId="15"/>
    <xf numFmtId="0" fontId="22" fillId="0" borderId="3"/>
    <xf numFmtId="0" fontId="22" fillId="0" borderId="16"/>
    <xf numFmtId="0" fontId="22" fillId="6" borderId="17"/>
    <xf numFmtId="0" fontId="23" fillId="6" borderId="12">
      <alignment horizontal="left"/>
    </xf>
    <xf numFmtId="0" fontId="23" fillId="6" borderId="18">
      <alignment horizontal="left"/>
    </xf>
    <xf numFmtId="0" fontId="22" fillId="6" borderId="12"/>
    <xf numFmtId="0" fontId="22" fillId="0" borderId="0">
      <alignment horizontal="left"/>
    </xf>
    <xf numFmtId="0" fontId="23" fillId="6" borderId="12">
      <alignment horizontal="left"/>
    </xf>
    <xf numFmtId="0" fontId="39" fillId="6" borderId="12">
      <alignment horizontal="left"/>
    </xf>
    <xf numFmtId="0" fontId="22" fillId="6" borderId="18"/>
    <xf numFmtId="0" fontId="22" fillId="0" borderId="13">
      <alignment horizontal="left"/>
    </xf>
    <xf numFmtId="0" fontId="22" fillId="0" borderId="0">
      <alignment horizontal="left"/>
    </xf>
    <xf numFmtId="0" fontId="22" fillId="0" borderId="14">
      <alignment horizontal="center"/>
    </xf>
    <xf numFmtId="0" fontId="22" fillId="0" borderId="0">
      <alignment horizontal="left"/>
    </xf>
    <xf numFmtId="0" fontId="23" fillId="6" borderId="17">
      <alignment horizontal="left"/>
    </xf>
    <xf numFmtId="0" fontId="22" fillId="0" borderId="13">
      <alignment horizontal="left"/>
    </xf>
    <xf numFmtId="0" fontId="22" fillId="0" borderId="13">
      <alignment horizontal="right"/>
    </xf>
    <xf numFmtId="172" fontId="23" fillId="0" borderId="0"/>
    <xf numFmtId="0" fontId="22" fillId="0" borderId="13"/>
    <xf numFmtId="169" fontId="22" fillId="0" borderId="14"/>
    <xf numFmtId="0" fontId="22" fillId="0" borderId="13"/>
    <xf numFmtId="0" fontId="22" fillId="0" borderId="13">
      <alignment horizontal="left"/>
    </xf>
    <xf numFmtId="0" fontId="23" fillId="6" borderId="17"/>
    <xf numFmtId="0" fontId="76" fillId="6" borderId="13">
      <alignment horizontal="left"/>
    </xf>
    <xf numFmtId="0" fontId="22" fillId="6" borderId="14"/>
    <xf numFmtId="0" fontId="23" fillId="6" borderId="13">
      <alignment horizontal="left"/>
    </xf>
    <xf numFmtId="0" fontId="22" fillId="0" borderId="13">
      <alignment horizontal="left"/>
    </xf>
    <xf numFmtId="0" fontId="22" fillId="0" borderId="13">
      <alignment horizontal="left"/>
    </xf>
    <xf numFmtId="14" fontId="75" fillId="0" borderId="0">
      <alignment horizontal="center"/>
    </xf>
    <xf numFmtId="49" fontId="77" fillId="0" borderId="13">
      <alignment horizontal="left"/>
    </xf>
    <xf numFmtId="0" fontId="77" fillId="0" borderId="13"/>
    <xf numFmtId="0" fontId="23" fillId="6" borderId="13">
      <alignment horizontal="left"/>
    </xf>
    <xf numFmtId="0" fontId="23" fillId="6" borderId="13"/>
    <xf numFmtId="49" fontId="22" fillId="0" borderId="14">
      <alignment horizontal="left"/>
    </xf>
    <xf numFmtId="0" fontId="75" fillId="0" borderId="13"/>
    <xf numFmtId="0" fontId="75" fillId="0" borderId="0">
      <alignment horizontal="center"/>
    </xf>
    <xf numFmtId="14" fontId="75" fillId="0" borderId="0">
      <alignment horizontal="center"/>
    </xf>
    <xf numFmtId="0" fontId="75" fillId="0" borderId="15"/>
    <xf numFmtId="0" fontId="22" fillId="0" borderId="3">
      <alignment horizontal="center"/>
    </xf>
    <xf numFmtId="0" fontId="22" fillId="0" borderId="0"/>
    <xf numFmtId="0" fontId="75" fillId="0" borderId="3">
      <alignment horizontal="center"/>
    </xf>
    <xf numFmtId="14" fontId="75" fillId="0" borderId="3">
      <alignment horizontal="center"/>
    </xf>
    <xf numFmtId="0" fontId="23" fillId="0" borderId="0">
      <alignment horizontal="left" vertical="center" wrapText="1"/>
    </xf>
    <xf numFmtId="0" fontId="23" fillId="6" borderId="9">
      <alignment horizontal="left" wrapText="1"/>
    </xf>
    <xf numFmtId="0" fontId="23" fillId="0" borderId="0">
      <alignment horizontal="right" vertical="center"/>
    </xf>
    <xf numFmtId="172" fontId="23" fillId="0" borderId="0">
      <alignment horizontal="right"/>
    </xf>
    <xf numFmtId="14" fontId="78" fillId="0" borderId="0">
      <alignment horizontal="center"/>
    </xf>
    <xf numFmtId="0" fontId="23" fillId="6" borderId="19">
      <alignment horizontal="center" wrapText="1"/>
    </xf>
    <xf numFmtId="0" fontId="55" fillId="0" borderId="0">
      <alignment horizontal="center" vertical="center"/>
    </xf>
    <xf numFmtId="1" fontId="79" fillId="0" borderId="0">
      <alignment horizontal="center" wrapText="1"/>
    </xf>
    <xf numFmtId="0" fontId="23" fillId="6" borderId="9">
      <alignment horizontal="center" wrapText="1"/>
    </xf>
    <xf numFmtId="0" fontId="79" fillId="6" borderId="20">
      <alignment horizontal="center" wrapText="1"/>
    </xf>
    <xf numFmtId="0" fontId="79" fillId="6" borderId="19">
      <alignment horizontal="left" wrapText="1"/>
    </xf>
    <xf numFmtId="0" fontId="22" fillId="0" borderId="14">
      <alignment horizontal="left"/>
    </xf>
    <xf numFmtId="0" fontId="55" fillId="0" borderId="0">
      <alignment horizontal="center"/>
    </xf>
    <xf numFmtId="2" fontId="55" fillId="12" borderId="0">
      <alignment horizontal="center"/>
    </xf>
    <xf numFmtId="0" fontId="22" fillId="0" borderId="0">
      <alignment horizontal="left" vertical="top"/>
    </xf>
    <xf numFmtId="16" fontId="22" fillId="0" borderId="0"/>
    <xf numFmtId="0" fontId="22" fillId="12" borderId="0"/>
    <xf numFmtId="14" fontId="22" fillId="0" borderId="0">
      <alignment horizontal="center"/>
    </xf>
    <xf numFmtId="2" fontId="55" fillId="0" borderId="12">
      <alignment horizontal="center" vertical="center"/>
    </xf>
    <xf numFmtId="0" fontId="23" fillId="6" borderId="0">
      <alignment horizontal="center"/>
    </xf>
    <xf numFmtId="2" fontId="55" fillId="0" borderId="0">
      <alignment horizontal="center"/>
    </xf>
    <xf numFmtId="2" fontId="55" fillId="0" borderId="0">
      <alignment horizontal="center"/>
    </xf>
    <xf numFmtId="0" fontId="22" fillId="0" borderId="0">
      <alignment horizontal="left" vertical="top"/>
    </xf>
    <xf numFmtId="15" fontId="22" fillId="0" borderId="0">
      <alignment horizontal="left" vertical="top"/>
    </xf>
    <xf numFmtId="0" fontId="22" fillId="0" borderId="0">
      <alignment horizontal="left" vertical="top"/>
    </xf>
    <xf numFmtId="14" fontId="22" fillId="0" borderId="0">
      <alignment horizontal="center" vertical="top"/>
    </xf>
    <xf numFmtId="0" fontId="55" fillId="0" borderId="0"/>
    <xf numFmtId="0" fontId="79" fillId="0" borderId="3"/>
    <xf numFmtId="14" fontId="79" fillId="0" borderId="3"/>
    <xf numFmtId="2" fontId="55" fillId="0" borderId="3">
      <alignment horizontal="center"/>
    </xf>
    <xf numFmtId="0" fontId="22" fillId="0" borderId="0">
      <alignment horizontal="center"/>
    </xf>
    <xf numFmtId="2" fontId="55" fillId="0" borderId="3">
      <alignment horizontal="center"/>
    </xf>
    <xf numFmtId="0" fontId="55" fillId="0" borderId="3"/>
    <xf numFmtId="0" fontId="55" fillId="0" borderId="3">
      <alignment horizontal="center"/>
    </xf>
    <xf numFmtId="0" fontId="55" fillId="0" borderId="3">
      <alignment horizontal="center"/>
    </xf>
    <xf numFmtId="0" fontId="23" fillId="0" borderId="0">
      <alignment horizontal="left" vertical="top"/>
    </xf>
    <xf numFmtId="0" fontId="23" fillId="0" borderId="0">
      <alignment horizontal="left" vertical="top"/>
    </xf>
    <xf numFmtId="0" fontId="22" fillId="0" borderId="0">
      <alignment horizontal="center" vertical="top"/>
    </xf>
    <xf numFmtId="43" fontId="55" fillId="0" borderId="0">
      <alignment horizontal="left"/>
    </xf>
    <xf numFmtId="172" fontId="22" fillId="0" borderId="0"/>
    <xf numFmtId="0" fontId="22" fillId="0" borderId="0">
      <alignment horizontal="center"/>
    </xf>
    <xf numFmtId="0" fontId="75" fillId="0" borderId="0"/>
    <xf numFmtId="43" fontId="22" fillId="0" borderId="0"/>
    <xf numFmtId="1" fontId="22" fillId="0" borderId="0"/>
    <xf numFmtId="0" fontId="23" fillId="0" borderId="0"/>
    <xf numFmtId="43" fontId="22" fillId="0" borderId="0">
      <alignment horizontal="center"/>
    </xf>
    <xf numFmtId="43" fontId="22" fillId="0" borderId="21"/>
    <xf numFmtId="43" fontId="22" fillId="0" borderId="22"/>
    <xf numFmtId="0" fontId="22" fillId="0" borderId="10"/>
    <xf numFmtId="43" fontId="22" fillId="0" borderId="0"/>
    <xf numFmtId="1" fontId="79" fillId="0" borderId="16">
      <alignment horizontal="center" wrapText="1"/>
    </xf>
    <xf numFmtId="0" fontId="55" fillId="0" borderId="0">
      <alignment horizontal="center"/>
    </xf>
    <xf numFmtId="0" fontId="22" fillId="0" borderId="0">
      <alignment horizontal="left"/>
    </xf>
    <xf numFmtId="0" fontId="55" fillId="0" borderId="0"/>
    <xf numFmtId="43" fontId="22" fillId="0" borderId="0">
      <alignment horizontal="center"/>
    </xf>
    <xf numFmtId="0" fontId="23" fillId="0" borderId="3">
      <alignment horizontal="left" vertical="top"/>
    </xf>
    <xf numFmtId="0" fontId="22" fillId="0" borderId="3">
      <alignment horizontal="center" vertical="top"/>
    </xf>
    <xf numFmtId="14" fontId="22" fillId="0" borderId="3">
      <alignment horizontal="center" vertical="top"/>
    </xf>
    <xf numFmtId="15" fontId="22" fillId="0" borderId="3">
      <alignment horizontal="left" vertical="top"/>
    </xf>
    <xf numFmtId="0" fontId="25" fillId="0" borderId="0"/>
    <xf numFmtId="224" fontId="22" fillId="0" borderId="0">
      <alignment vertical="top"/>
    </xf>
    <xf numFmtId="0" fontId="22" fillId="0" borderId="3">
      <alignment horizontal="left" vertical="top"/>
    </xf>
    <xf numFmtId="0" fontId="22" fillId="0" borderId="0">
      <alignment horizontal="center" wrapText="1"/>
    </xf>
    <xf numFmtId="0" fontId="22" fillId="0" borderId="0">
      <alignment horizontal="center"/>
    </xf>
    <xf numFmtId="0" fontId="22" fillId="0" borderId="0">
      <alignment horizontal="center" vertical="top"/>
    </xf>
    <xf numFmtId="0" fontId="23" fillId="0" borderId="0"/>
    <xf numFmtId="14" fontId="22" fillId="0" borderId="0">
      <alignment horizontal="center"/>
    </xf>
    <xf numFmtId="14" fontId="22" fillId="0" borderId="0">
      <alignment horizontal="left" vertical="top"/>
    </xf>
    <xf numFmtId="41" fontId="22" fillId="0" borderId="0"/>
    <xf numFmtId="3" fontId="23" fillId="0" borderId="23">
      <alignment horizontal="right" vertical="center"/>
    </xf>
    <xf numFmtId="172" fontId="23" fillId="0" borderId="22">
      <alignment horizontal="right"/>
    </xf>
    <xf numFmtId="225" fontId="79" fillId="0" borderId="0">
      <alignment wrapText="1"/>
    </xf>
    <xf numFmtId="0" fontId="22" fillId="0" borderId="0">
      <alignment horizontal="center"/>
    </xf>
    <xf numFmtId="226" fontId="23" fillId="0" borderId="10"/>
    <xf numFmtId="226" fontId="23" fillId="0" borderId="0"/>
    <xf numFmtId="0" fontId="22" fillId="0" borderId="0">
      <alignment vertical="top"/>
    </xf>
    <xf numFmtId="3" fontId="23" fillId="0" borderId="21">
      <alignment horizontal="right" vertical="center"/>
    </xf>
    <xf numFmtId="0" fontId="79" fillId="0" borderId="15">
      <alignment horizontal="center" wrapText="1"/>
    </xf>
    <xf numFmtId="3" fontId="23" fillId="0" borderId="24">
      <alignment horizontal="right" vertical="center"/>
    </xf>
    <xf numFmtId="3" fontId="23" fillId="0" borderId="0">
      <alignment horizontal="right" vertical="center"/>
    </xf>
    <xf numFmtId="172" fontId="23" fillId="0" borderId="10">
      <alignment horizontal="right"/>
    </xf>
    <xf numFmtId="0" fontId="4" fillId="0" borderId="25">
      <alignment wrapText="1"/>
    </xf>
    <xf numFmtId="227" fontId="4" fillId="0" borderId="25">
      <alignment horizontal="right" wrapText="1"/>
    </xf>
    <xf numFmtId="4" fontId="22" fillId="0" borderId="0">
      <alignment horizontal="center"/>
    </xf>
    <xf numFmtId="0" fontId="23" fillId="6" borderId="9">
      <alignment horizontal="center"/>
    </xf>
    <xf numFmtId="0" fontId="23" fillId="6" borderId="20">
      <alignment horizontal="center"/>
    </xf>
    <xf numFmtId="14" fontId="22" fillId="0" borderId="0">
      <alignment horizontal="center" vertical="top"/>
    </xf>
    <xf numFmtId="0" fontId="22" fillId="13" borderId="0">
      <alignment vertical="top"/>
    </xf>
    <xf numFmtId="0" fontId="22" fillId="13" borderId="0"/>
    <xf numFmtId="0" fontId="4" fillId="0" borderId="25">
      <alignment wrapText="1"/>
    </xf>
    <xf numFmtId="228" fontId="26" fillId="0" borderId="0">
      <alignment horizontal="right" vertical="center" wrapText="1"/>
    </xf>
    <xf numFmtId="0" fontId="26" fillId="0" borderId="0">
      <alignment horizontal="right" vertical="center" wrapText="1"/>
    </xf>
    <xf numFmtId="0" fontId="4" fillId="0" borderId="0">
      <alignment wrapText="1"/>
    </xf>
    <xf numFmtId="172" fontId="22" fillId="0" borderId="0"/>
    <xf numFmtId="0" fontId="22" fillId="13" borderId="0">
      <alignment horizontal="center"/>
    </xf>
    <xf numFmtId="0" fontId="23" fillId="13" borderId="0"/>
    <xf numFmtId="0" fontId="22" fillId="13" borderId="0">
      <alignment horizontal="center" vertical="top"/>
    </xf>
    <xf numFmtId="0" fontId="22" fillId="0" borderId="0">
      <alignment vertical="top"/>
    </xf>
    <xf numFmtId="14" fontId="22" fillId="13" borderId="0">
      <alignment horizontal="center" vertical="top"/>
    </xf>
    <xf numFmtId="15" fontId="22" fillId="13" borderId="0">
      <alignment horizontal="left" vertical="top"/>
    </xf>
    <xf numFmtId="0" fontId="22" fillId="13" borderId="0">
      <alignment horizontal="left" vertical="top"/>
    </xf>
    <xf numFmtId="14" fontId="22" fillId="13" borderId="0">
      <alignment horizontal="left" vertical="top"/>
    </xf>
    <xf numFmtId="0" fontId="22" fillId="14" borderId="0">
      <alignment horizontal="center"/>
    </xf>
    <xf numFmtId="0" fontId="23" fillId="14" borderId="0"/>
    <xf numFmtId="0" fontId="22" fillId="14" borderId="0">
      <alignment horizontal="center" vertical="top"/>
    </xf>
    <xf numFmtId="14" fontId="22" fillId="14" borderId="0">
      <alignment horizontal="center" vertical="top"/>
    </xf>
    <xf numFmtId="0" fontId="22" fillId="14" borderId="0">
      <alignment vertical="top"/>
    </xf>
    <xf numFmtId="15" fontId="22" fillId="14" borderId="0">
      <alignment horizontal="left" vertical="top"/>
    </xf>
    <xf numFmtId="15" fontId="75" fillId="0" borderId="0">
      <alignment horizontal="left"/>
    </xf>
    <xf numFmtId="0" fontId="22" fillId="14" borderId="0">
      <alignment horizontal="left" vertical="top"/>
    </xf>
    <xf numFmtId="172" fontId="22" fillId="14" borderId="0">
      <alignment vertical="top"/>
    </xf>
    <xf numFmtId="14" fontId="22" fillId="14" borderId="0">
      <alignment horizontal="left" vertical="top"/>
    </xf>
    <xf numFmtId="0" fontId="22" fillId="14" borderId="0">
      <alignment horizontal="center"/>
    </xf>
    <xf numFmtId="0" fontId="22" fillId="14" borderId="0"/>
    <xf numFmtId="0" fontId="23" fillId="14" borderId="0">
      <alignment horizontal="left" vertical="top"/>
    </xf>
    <xf numFmtId="14" fontId="22" fillId="14" borderId="0">
      <alignment horizontal="center" vertical="top"/>
    </xf>
    <xf numFmtId="0" fontId="55" fillId="14" borderId="0">
      <alignment horizontal="center"/>
    </xf>
    <xf numFmtId="0" fontId="75" fillId="14" borderId="0">
      <alignment horizontal="center"/>
    </xf>
    <xf numFmtId="0" fontId="22" fillId="14" borderId="0"/>
    <xf numFmtId="0" fontId="55" fillId="0" borderId="0"/>
    <xf numFmtId="0" fontId="23" fillId="0" borderId="0">
      <alignment horizontal="center"/>
    </xf>
    <xf numFmtId="0" fontId="23" fillId="0" borderId="0">
      <alignment horizontal="center"/>
    </xf>
    <xf numFmtId="172" fontId="23" fillId="6" borderId="23">
      <alignment horizontal="center"/>
    </xf>
    <xf numFmtId="172" fontId="23" fillId="6" borderId="24">
      <alignment horizontal="center"/>
    </xf>
    <xf numFmtId="2" fontId="55" fillId="0" borderId="0"/>
    <xf numFmtId="0" fontId="55" fillId="0" borderId="0"/>
    <xf numFmtId="2" fontId="55" fillId="0" borderId="0">
      <alignment horizontal="center"/>
    </xf>
    <xf numFmtId="0" fontId="55" fillId="0" borderId="0">
      <alignment horizontal="center"/>
    </xf>
    <xf numFmtId="0" fontId="75" fillId="0" borderId="0">
      <alignment wrapText="1"/>
    </xf>
    <xf numFmtId="0" fontId="55" fillId="0" borderId="0">
      <alignment horizontal="center"/>
    </xf>
    <xf numFmtId="0" fontId="79" fillId="0" borderId="0">
      <alignment horizontal="left" vertical="center"/>
    </xf>
    <xf numFmtId="2" fontId="55" fillId="0" borderId="12">
      <alignment horizontal="center" vertical="center"/>
    </xf>
    <xf numFmtId="0" fontId="55" fillId="0" borderId="12">
      <alignment horizontal="center" vertical="center"/>
    </xf>
    <xf numFmtId="0" fontId="55" fillId="0" borderId="18">
      <alignment horizontal="center" vertical="center"/>
    </xf>
    <xf numFmtId="0" fontId="55" fillId="0" borderId="0">
      <alignment horizontal="center" vertical="center"/>
    </xf>
    <xf numFmtId="0" fontId="55" fillId="0" borderId="0">
      <alignment horizontal="left" vertical="center"/>
    </xf>
    <xf numFmtId="0" fontId="79" fillId="0" borderId="0">
      <alignment horizontal="left"/>
    </xf>
    <xf numFmtId="0" fontId="79" fillId="0" borderId="0">
      <alignment horizontal="left"/>
    </xf>
    <xf numFmtId="0" fontId="79" fillId="0" borderId="0">
      <alignment horizontal="center"/>
    </xf>
    <xf numFmtId="0" fontId="22" fillId="0" borderId="0">
      <alignment horizontal="center" vertical="center" wrapText="1"/>
    </xf>
    <xf numFmtId="0" fontId="79" fillId="0" borderId="0">
      <alignment horizontal="center" wrapText="1"/>
    </xf>
    <xf numFmtId="0" fontId="79" fillId="0" borderId="13">
      <alignment horizontal="center" wrapText="1"/>
    </xf>
    <xf numFmtId="1" fontId="79" fillId="0" borderId="14">
      <alignment horizontal="center" wrapText="1"/>
    </xf>
    <xf numFmtId="0" fontId="79" fillId="0" borderId="0">
      <alignment horizontal="center"/>
    </xf>
    <xf numFmtId="229" fontId="79" fillId="0" borderId="0">
      <alignment horizontal="center" wrapText="1"/>
    </xf>
    <xf numFmtId="43" fontId="79" fillId="0" borderId="0"/>
    <xf numFmtId="0" fontId="79" fillId="0" borderId="0"/>
    <xf numFmtId="0" fontId="55" fillId="0" borderId="0">
      <alignment wrapText="1"/>
    </xf>
    <xf numFmtId="0" fontId="79" fillId="0" borderId="0">
      <alignment horizontal="center" wrapText="1"/>
    </xf>
    <xf numFmtId="0" fontId="79" fillId="0" borderId="0">
      <alignment horizontal="center" wrapText="1"/>
    </xf>
    <xf numFmtId="43" fontId="22" fillId="0" borderId="0">
      <alignment horizontal="center" vertical="center" wrapText="1"/>
    </xf>
    <xf numFmtId="0" fontId="79" fillId="0" borderId="0">
      <alignment horizontal="center" wrapText="1"/>
    </xf>
    <xf numFmtId="230" fontId="79" fillId="0" borderId="0">
      <alignment horizontal="center" wrapText="1"/>
    </xf>
    <xf numFmtId="0" fontId="79" fillId="6" borderId="9">
      <alignment horizontal="center" wrapText="1"/>
    </xf>
    <xf numFmtId="2" fontId="79" fillId="6" borderId="9">
      <alignment horizontal="center" wrapText="1"/>
    </xf>
    <xf numFmtId="0" fontId="79" fillId="6" borderId="9">
      <alignment horizontal="center" wrapText="1"/>
    </xf>
    <xf numFmtId="0" fontId="79" fillId="0" borderId="0">
      <alignment horizontal="center" wrapText="1"/>
    </xf>
    <xf numFmtId="0" fontId="22" fillId="0" borderId="0"/>
    <xf numFmtId="0" fontId="22" fillId="0" borderId="0"/>
    <xf numFmtId="0" fontId="80" fillId="0" borderId="0">
      <alignment horizontal="left" vertical="center"/>
    </xf>
    <xf numFmtId="172" fontId="80" fillId="0" borderId="0">
      <alignment horizontal="left" vertical="center"/>
    </xf>
    <xf numFmtId="0" fontId="23" fillId="0" borderId="0">
      <alignment horizontal="center" vertical="center" wrapText="1"/>
    </xf>
    <xf numFmtId="0" fontId="80" fillId="0" borderId="0">
      <alignment horizontal="center" vertical="center"/>
    </xf>
    <xf numFmtId="0" fontId="23" fillId="0" borderId="23">
      <alignment horizontal="left"/>
    </xf>
    <xf numFmtId="41" fontId="23" fillId="0" borderId="26"/>
    <xf numFmtId="0" fontId="23" fillId="0" borderId="23"/>
    <xf numFmtId="41" fontId="23" fillId="0" borderId="0"/>
    <xf numFmtId="0" fontId="23" fillId="0" borderId="21"/>
    <xf numFmtId="172" fontId="23" fillId="0" borderId="27"/>
    <xf numFmtId="172" fontId="23" fillId="0" borderId="0"/>
    <xf numFmtId="43" fontId="23" fillId="0" borderId="27"/>
    <xf numFmtId="43" fontId="23" fillId="0" borderId="0"/>
    <xf numFmtId="0" fontId="22" fillId="0" borderId="0">
      <alignment wrapText="1"/>
    </xf>
    <xf numFmtId="0" fontId="23" fillId="0" borderId="22"/>
    <xf numFmtId="43" fontId="23" fillId="0" borderId="28"/>
    <xf numFmtId="0" fontId="23" fillId="0" borderId="0">
      <alignment horizontal="center"/>
    </xf>
    <xf numFmtId="0" fontId="23" fillId="6" borderId="23">
      <alignment horizontal="center"/>
    </xf>
    <xf numFmtId="172" fontId="23" fillId="6" borderId="24">
      <alignment horizontal="center"/>
    </xf>
    <xf numFmtId="0" fontId="23" fillId="6" borderId="24">
      <alignment horizontal="center"/>
    </xf>
    <xf numFmtId="0" fontId="23" fillId="6" borderId="26">
      <alignment horizontal="center"/>
    </xf>
    <xf numFmtId="0" fontId="23" fillId="6" borderId="22">
      <alignment horizontal="center"/>
    </xf>
    <xf numFmtId="172" fontId="23" fillId="6" borderId="10">
      <alignment horizontal="right"/>
    </xf>
    <xf numFmtId="0" fontId="23" fillId="6" borderId="10">
      <alignment horizontal="center"/>
    </xf>
    <xf numFmtId="0" fontId="22" fillId="0" borderId="0">
      <alignment horizontal="left" vertical="center" wrapText="1"/>
    </xf>
    <xf numFmtId="0" fontId="23" fillId="6" borderId="28">
      <alignment horizontal="center"/>
    </xf>
    <xf numFmtId="0" fontId="23" fillId="15" borderId="0">
      <alignment horizontal="center"/>
    </xf>
    <xf numFmtId="172" fontId="23" fillId="6" borderId="22">
      <alignment horizontal="center"/>
    </xf>
    <xf numFmtId="172" fontId="23" fillId="6" borderId="10">
      <alignment horizontal="center"/>
    </xf>
    <xf numFmtId="0" fontId="23" fillId="6" borderId="10">
      <alignment horizontal="center"/>
    </xf>
    <xf numFmtId="172" fontId="23" fillId="6" borderId="28">
      <alignment horizontal="center"/>
    </xf>
    <xf numFmtId="0" fontId="23" fillId="6" borderId="29">
      <alignment horizontal="center"/>
    </xf>
    <xf numFmtId="0" fontId="23" fillId="6" borderId="3">
      <alignment horizontal="center"/>
    </xf>
    <xf numFmtId="0" fontId="23" fillId="6" borderId="3">
      <alignment horizontal="center"/>
    </xf>
    <xf numFmtId="0" fontId="23" fillId="6" borderId="30">
      <alignment horizontal="center"/>
    </xf>
    <xf numFmtId="0" fontId="22" fillId="0" borderId="0"/>
    <xf numFmtId="0" fontId="23" fillId="6" borderId="21">
      <alignment horizontal="center"/>
    </xf>
    <xf numFmtId="0" fontId="23" fillId="6" borderId="0">
      <alignment horizontal="center"/>
    </xf>
    <xf numFmtId="0" fontId="23" fillId="6" borderId="27">
      <alignment horizontal="center"/>
    </xf>
    <xf numFmtId="0" fontId="39" fillId="0" borderId="0">
      <alignment horizontal="left"/>
    </xf>
    <xf numFmtId="49" fontId="22" fillId="0" borderId="0">
      <alignment horizontal="left"/>
    </xf>
    <xf numFmtId="0" fontId="39" fillId="0" borderId="0">
      <alignment horizontal="left"/>
    </xf>
    <xf numFmtId="15" fontId="75" fillId="15" borderId="0">
      <alignment horizontal="left"/>
    </xf>
    <xf numFmtId="0" fontId="22" fillId="0" borderId="0">
      <alignment horizontal="right"/>
    </xf>
    <xf numFmtId="49" fontId="22" fillId="0" borderId="0">
      <alignment horizontal="left"/>
    </xf>
    <xf numFmtId="49" fontId="22" fillId="0" borderId="0">
      <alignment horizontal="left"/>
    </xf>
    <xf numFmtId="10" fontId="75" fillId="0" borderId="0"/>
    <xf numFmtId="0" fontId="2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1" fillId="0" borderId="0">
      <alignment horizontal="left" vertical="top"/>
      <protection locked="0"/>
    </xf>
    <xf numFmtId="0" fontId="35" fillId="0" borderId="11" applyNumberFormat="0" applyFont="0" applyFill="0" applyAlignment="0" applyProtection="0"/>
    <xf numFmtId="40" fontId="82" fillId="15" borderId="0">
      <alignment horizontal="right"/>
    </xf>
    <xf numFmtId="0" fontId="83" fillId="15" borderId="0">
      <alignment horizontal="right"/>
    </xf>
    <xf numFmtId="0" fontId="84" fillId="15" borderId="14"/>
    <xf numFmtId="0" fontId="84" fillId="0" borderId="0" applyBorder="0">
      <alignment horizontal="centerContinuous"/>
    </xf>
    <xf numFmtId="231" fontId="85" fillId="0" borderId="0" applyFill="0">
      <alignment horizontal="center" vertical="center"/>
    </xf>
    <xf numFmtId="0" fontId="23" fillId="0" borderId="31" applyNumberFormat="0" applyAlignment="0" applyProtection="0"/>
    <xf numFmtId="0" fontId="22" fillId="16" borderId="0" applyNumberFormat="0" applyFont="0" applyBorder="0" applyAlignment="0" applyProtection="0"/>
    <xf numFmtId="0" fontId="2" fillId="17" borderId="32" applyNumberFormat="0" applyFont="0" applyBorder="0" applyAlignment="0" applyProtection="0">
      <alignment horizontal="center"/>
    </xf>
    <xf numFmtId="0" fontId="2" fillId="18" borderId="32" applyNumberFormat="0" applyFont="0" applyBorder="0" applyAlignment="0" applyProtection="0">
      <alignment horizontal="center"/>
    </xf>
    <xf numFmtId="0" fontId="22" fillId="0" borderId="33" applyNumberFormat="0" applyAlignment="0" applyProtection="0"/>
    <xf numFmtId="0" fontId="22" fillId="0" borderId="34" applyNumberFormat="0" applyAlignment="0" applyProtection="0"/>
    <xf numFmtId="0" fontId="23" fillId="0" borderId="35" applyNumberFormat="0" applyAlignment="0" applyProtection="0"/>
    <xf numFmtId="14" fontId="27" fillId="0" borderId="0">
      <alignment horizontal="center" wrapText="1"/>
      <protection locked="0"/>
    </xf>
    <xf numFmtId="9" fontId="1" fillId="0" borderId="0" applyFont="0" applyFill="0" applyBorder="0" applyAlignment="0" applyProtection="0"/>
    <xf numFmtId="9" fontId="55" fillId="0" borderId="0" applyFont="0" applyFill="0" applyBorder="0" applyAlignment="0" applyProtection="0"/>
    <xf numFmtId="232" fontId="86" fillId="0" borderId="0" applyFont="0" applyFill="0" applyBorder="0" applyAlignment="0" applyProtection="0"/>
    <xf numFmtId="169" fontId="55" fillId="0" borderId="0" applyFont="0" applyFill="0" applyBorder="0" applyAlignment="0" applyProtection="0"/>
    <xf numFmtId="233" fontId="55" fillId="0" borderId="0" applyFont="0" applyFill="0" applyBorder="0" applyAlignment="0" applyProtection="0"/>
    <xf numFmtId="234" fontId="55" fillId="0" borderId="0" applyFont="0" applyFill="0" applyBorder="0" applyAlignment="0" applyProtection="0"/>
    <xf numFmtId="10" fontId="6" fillId="0" borderId="0" applyFont="0" applyFill="0" applyBorder="0" applyAlignment="0" applyProtection="0"/>
    <xf numFmtId="0" fontId="6" fillId="0" borderId="0" applyFont="0" applyFill="0" applyBorder="0" applyProtection="0">
      <alignment horizontal="right"/>
    </xf>
    <xf numFmtId="172" fontId="75" fillId="0" borderId="0">
      <alignment horizontal="right"/>
    </xf>
    <xf numFmtId="172" fontId="23" fillId="0" borderId="0">
      <alignment horizontal="left" vertical="center"/>
    </xf>
    <xf numFmtId="171" fontId="2" fillId="0" borderId="0"/>
    <xf numFmtId="172" fontId="75" fillId="0" borderId="0">
      <alignment horizontal="right"/>
    </xf>
    <xf numFmtId="172" fontId="75" fillId="0" borderId="0">
      <alignment horizontal="center"/>
    </xf>
    <xf numFmtId="170" fontId="75" fillId="0" borderId="0">
      <alignment horizontal="right"/>
    </xf>
    <xf numFmtId="172" fontId="75" fillId="0" borderId="3">
      <alignment horizontal="right"/>
    </xf>
    <xf numFmtId="172" fontId="75" fillId="0" borderId="3">
      <alignment horizontal="center"/>
    </xf>
    <xf numFmtId="170" fontId="75" fillId="0" borderId="3">
      <alignment horizontal="right"/>
    </xf>
    <xf numFmtId="43" fontId="75" fillId="0" borderId="3">
      <alignment horizontal="center"/>
    </xf>
    <xf numFmtId="235" fontId="75" fillId="0" borderId="12"/>
    <xf numFmtId="236" fontId="75" fillId="0" borderId="12">
      <alignment horizontal="center"/>
    </xf>
    <xf numFmtId="172" fontId="23" fillId="0" borderId="0">
      <alignment horizontal="right" vertical="center"/>
    </xf>
    <xf numFmtId="236" fontId="75" fillId="0" borderId="18">
      <alignment horizontal="center" wrapText="1"/>
    </xf>
    <xf numFmtId="236" fontId="75" fillId="0" borderId="0">
      <alignment horizontal="center"/>
    </xf>
    <xf numFmtId="236" fontId="75" fillId="0" borderId="14">
      <alignment horizontal="center" wrapText="1"/>
    </xf>
    <xf numFmtId="235" fontId="75" fillId="0" borderId="14">
      <alignment wrapText="1"/>
    </xf>
    <xf numFmtId="235" fontId="75" fillId="0" borderId="3"/>
    <xf numFmtId="235" fontId="75" fillId="0" borderId="16">
      <alignment wrapText="1"/>
    </xf>
    <xf numFmtId="237" fontId="23" fillId="0" borderId="0">
      <alignment horizontal="left"/>
    </xf>
    <xf numFmtId="238" fontId="23" fillId="0" borderId="0">
      <alignment horizontal="left"/>
    </xf>
    <xf numFmtId="239" fontId="23" fillId="0" borderId="0">
      <alignment horizontal="left"/>
    </xf>
    <xf numFmtId="172" fontId="22" fillId="0" borderId="0">
      <alignment vertical="top"/>
    </xf>
    <xf numFmtId="240" fontId="23" fillId="0" borderId="0">
      <alignment horizontal="center"/>
    </xf>
    <xf numFmtId="235" fontId="78" fillId="0" borderId="0"/>
    <xf numFmtId="172" fontId="55" fillId="0" borderId="0">
      <alignment horizontal="right"/>
    </xf>
    <xf numFmtId="172" fontId="55" fillId="0" borderId="0">
      <alignment horizontal="center"/>
    </xf>
    <xf numFmtId="236" fontId="22" fillId="0" borderId="0">
      <alignment horizontal="center" vertical="top"/>
    </xf>
    <xf numFmtId="172" fontId="20" fillId="0" borderId="3">
      <alignment horizontal="centerContinuous"/>
    </xf>
    <xf numFmtId="172" fontId="2" fillId="0" borderId="3">
      <alignment horizontal="center"/>
    </xf>
    <xf numFmtId="172" fontId="2" fillId="0" borderId="0"/>
    <xf numFmtId="172" fontId="2" fillId="0" borderId="3"/>
    <xf numFmtId="43" fontId="2" fillId="0" borderId="3"/>
    <xf numFmtId="43" fontId="20" fillId="0" borderId="0">
      <alignment horizontal="right"/>
    </xf>
    <xf numFmtId="170" fontId="23" fillId="0" borderId="0">
      <alignment horizontal="right" vertical="center"/>
    </xf>
    <xf numFmtId="165" fontId="79" fillId="0" borderId="0">
      <alignment horizontal="center" wrapText="1"/>
    </xf>
    <xf numFmtId="2" fontId="79" fillId="0" borderId="0">
      <alignment horizontal="center"/>
    </xf>
    <xf numFmtId="43" fontId="55" fillId="0" borderId="0"/>
    <xf numFmtId="0" fontId="2" fillId="0" borderId="0">
      <alignment horizontal="center"/>
    </xf>
    <xf numFmtId="43" fontId="22" fillId="0" borderId="0">
      <alignment horizontal="center" vertical="top"/>
    </xf>
    <xf numFmtId="235" fontId="22" fillId="0" borderId="0">
      <alignment horizontal="center" vertical="top"/>
    </xf>
    <xf numFmtId="236" fontId="22" fillId="0" borderId="0">
      <alignment horizontal="center" vertical="top" wrapText="1"/>
    </xf>
    <xf numFmtId="43" fontId="22" fillId="0" borderId="0">
      <alignment horizontal="left" vertical="top"/>
    </xf>
    <xf numFmtId="172" fontId="22" fillId="0" borderId="0">
      <alignment horizontal="right" vertical="top"/>
    </xf>
    <xf numFmtId="43" fontId="22" fillId="0" borderId="0">
      <alignment horizontal="center" vertical="top"/>
    </xf>
    <xf numFmtId="43" fontId="23" fillId="0" borderId="0">
      <alignment horizontal="center"/>
    </xf>
    <xf numFmtId="235" fontId="22" fillId="0" borderId="0">
      <alignment horizontal="center" vertical="top"/>
    </xf>
    <xf numFmtId="236" fontId="22" fillId="0" borderId="0">
      <alignment horizontal="center" vertical="top" wrapText="1"/>
    </xf>
    <xf numFmtId="172" fontId="22" fillId="0" borderId="0">
      <alignment horizontal="left" vertical="top"/>
    </xf>
    <xf numFmtId="43" fontId="22" fillId="0" borderId="0">
      <alignment horizontal="left" vertical="top"/>
    </xf>
    <xf numFmtId="172" fontId="2" fillId="0" borderId="0">
      <alignment horizontal="left"/>
    </xf>
    <xf numFmtId="172" fontId="20" fillId="0" borderId="0">
      <alignment horizontal="centerContinuous"/>
    </xf>
    <xf numFmtId="172" fontId="20" fillId="0" borderId="0">
      <alignment horizontal="left"/>
    </xf>
    <xf numFmtId="172" fontId="20" fillId="0" borderId="3">
      <alignment horizontal="left"/>
    </xf>
    <xf numFmtId="43" fontId="55" fillId="0" borderId="0"/>
    <xf numFmtId="43" fontId="55" fillId="0" borderId="3">
      <alignment horizontal="center"/>
    </xf>
    <xf numFmtId="235" fontId="23" fillId="0" borderId="0">
      <alignment horizontal="center"/>
    </xf>
    <xf numFmtId="43" fontId="55" fillId="0" borderId="3"/>
    <xf numFmtId="43" fontId="20" fillId="0" borderId="0"/>
    <xf numFmtId="172" fontId="2" fillId="14" borderId="0">
      <alignment horizontal="center"/>
    </xf>
    <xf numFmtId="172" fontId="2" fillId="14" borderId="0">
      <alignment horizontal="center"/>
    </xf>
    <xf numFmtId="172" fontId="20" fillId="14" borderId="0">
      <alignment horizontal="centerContinuous"/>
    </xf>
    <xf numFmtId="172" fontId="20" fillId="14" borderId="3">
      <alignment horizontal="center" wrapText="1"/>
    </xf>
    <xf numFmtId="172" fontId="2" fillId="19" borderId="0">
      <alignment horizontal="center"/>
    </xf>
    <xf numFmtId="172" fontId="2" fillId="19" borderId="0">
      <alignment horizontal="center"/>
    </xf>
    <xf numFmtId="172" fontId="20" fillId="19" borderId="0">
      <alignment horizontal="centerContinuous"/>
    </xf>
    <xf numFmtId="172" fontId="20" fillId="19" borderId="3">
      <alignment horizontal="centerContinuous"/>
    </xf>
    <xf numFmtId="235" fontId="23" fillId="0" borderId="0">
      <alignment horizontal="center" wrapText="1"/>
    </xf>
    <xf numFmtId="172" fontId="22" fillId="0" borderId="0"/>
    <xf numFmtId="43" fontId="22" fillId="0" borderId="0"/>
    <xf numFmtId="43" fontId="22" fillId="0" borderId="0">
      <alignment horizontal="center"/>
    </xf>
    <xf numFmtId="172" fontId="22" fillId="0" borderId="0"/>
    <xf numFmtId="171" fontId="22" fillId="0" borderId="0"/>
    <xf numFmtId="43" fontId="22" fillId="0" borderId="27"/>
    <xf numFmtId="172" fontId="22" fillId="0" borderId="3"/>
    <xf numFmtId="43" fontId="22" fillId="0" borderId="28"/>
    <xf numFmtId="171" fontId="22" fillId="0" borderId="10"/>
    <xf numFmtId="10" fontId="22" fillId="0" borderId="0"/>
    <xf numFmtId="237" fontId="23" fillId="0" borderId="0">
      <alignment horizontal="center"/>
    </xf>
    <xf numFmtId="43" fontId="22" fillId="0" borderId="0"/>
    <xf numFmtId="241" fontId="23" fillId="0" borderId="0">
      <alignment horizontal="center" vertical="top"/>
    </xf>
    <xf numFmtId="14" fontId="20" fillId="0" borderId="0">
      <alignment horizontal="center"/>
    </xf>
    <xf numFmtId="4" fontId="55" fillId="0" borderId="0">
      <alignment horizontal="right" vertical="top"/>
    </xf>
    <xf numFmtId="172" fontId="55" fillId="0" borderId="0">
      <alignment horizontal="center" vertical="top"/>
    </xf>
    <xf numFmtId="172" fontId="22" fillId="0" borderId="3">
      <alignment horizontal="right" vertical="top"/>
    </xf>
    <xf numFmtId="170" fontId="22" fillId="0" borderId="3">
      <alignment horizontal="center" vertical="top"/>
    </xf>
    <xf numFmtId="43" fontId="22" fillId="0" borderId="3">
      <alignment horizontal="center" vertical="top"/>
    </xf>
    <xf numFmtId="235" fontId="22" fillId="0" borderId="3">
      <alignment horizontal="center" vertical="top"/>
    </xf>
    <xf numFmtId="236" fontId="22" fillId="0" borderId="3">
      <alignment horizontal="center" vertical="top" wrapText="1"/>
    </xf>
    <xf numFmtId="237" fontId="23" fillId="0" borderId="0">
      <alignment horizontal="center" wrapText="1"/>
    </xf>
    <xf numFmtId="172" fontId="22" fillId="0" borderId="3">
      <alignment horizontal="center" vertical="top"/>
    </xf>
    <xf numFmtId="172" fontId="22" fillId="0" borderId="3">
      <alignment horizontal="left" vertical="top"/>
    </xf>
    <xf numFmtId="172" fontId="22" fillId="0" borderId="3">
      <alignment vertical="top"/>
    </xf>
    <xf numFmtId="43" fontId="22" fillId="0" borderId="3">
      <alignment horizontal="left" vertical="top"/>
    </xf>
    <xf numFmtId="236" fontId="22" fillId="0" borderId="3">
      <alignment horizontal="center" vertical="top"/>
    </xf>
    <xf numFmtId="43" fontId="2" fillId="0" borderId="0">
      <alignment horizontal="center"/>
    </xf>
    <xf numFmtId="172" fontId="23" fillId="0" borderId="24">
      <alignment horizontal="right" vertical="center"/>
    </xf>
    <xf numFmtId="239" fontId="23" fillId="0" borderId="24">
      <alignment horizontal="left"/>
    </xf>
    <xf numFmtId="242" fontId="23" fillId="0" borderId="24">
      <alignment horizontal="left"/>
    </xf>
    <xf numFmtId="170" fontId="23" fillId="0" borderId="24">
      <alignment horizontal="right" vertical="center"/>
    </xf>
    <xf numFmtId="172" fontId="23" fillId="0" borderId="0">
      <alignment horizontal="left"/>
    </xf>
    <xf numFmtId="172" fontId="23" fillId="0" borderId="10">
      <alignment horizontal="right" vertical="center"/>
    </xf>
    <xf numFmtId="239" fontId="23" fillId="0" borderId="10">
      <alignment horizontal="left"/>
    </xf>
    <xf numFmtId="242" fontId="23" fillId="0" borderId="10">
      <alignment horizontal="left"/>
    </xf>
    <xf numFmtId="170" fontId="23" fillId="0" borderId="10">
      <alignment horizontal="right"/>
    </xf>
    <xf numFmtId="243" fontId="23" fillId="0" borderId="28">
      <alignment horizontal="left"/>
    </xf>
    <xf numFmtId="172" fontId="23" fillId="0" borderId="10">
      <alignment horizontal="left" vertical="center"/>
    </xf>
    <xf numFmtId="171" fontId="2" fillId="0" borderId="0">
      <alignment horizontal="center"/>
    </xf>
    <xf numFmtId="43" fontId="2" fillId="14" borderId="0">
      <alignment horizontal="center"/>
    </xf>
    <xf numFmtId="43" fontId="2" fillId="19" borderId="0">
      <alignment horizontal="center"/>
    </xf>
    <xf numFmtId="242" fontId="23" fillId="0" borderId="0">
      <alignment horizontal="left"/>
    </xf>
    <xf numFmtId="169" fontId="20" fillId="0" borderId="0" applyFill="0" applyBorder="0" applyAlignment="0" applyProtection="0"/>
    <xf numFmtId="172" fontId="75" fillId="0" borderId="0">
      <alignment horizontal="center"/>
    </xf>
    <xf numFmtId="172" fontId="23" fillId="0" borderId="0">
      <alignment horizontal="right"/>
    </xf>
    <xf numFmtId="243" fontId="23" fillId="0" borderId="27">
      <alignment horizontal="left"/>
    </xf>
    <xf numFmtId="43" fontId="22" fillId="0" borderId="26">
      <alignment horizontal="center"/>
    </xf>
    <xf numFmtId="172" fontId="23" fillId="0" borderId="3">
      <alignment horizontal="right" vertical="center"/>
    </xf>
    <xf numFmtId="244" fontId="23" fillId="0" borderId="27">
      <alignment horizontal="left"/>
    </xf>
    <xf numFmtId="172" fontId="22" fillId="13" borderId="0"/>
    <xf numFmtId="172" fontId="22" fillId="13" borderId="0">
      <alignment horizontal="center" vertical="top"/>
    </xf>
    <xf numFmtId="172" fontId="22" fillId="0" borderId="10"/>
    <xf numFmtId="172" fontId="22" fillId="13" borderId="0">
      <alignment horizontal="center" vertical="top"/>
    </xf>
    <xf numFmtId="172" fontId="22" fillId="13" borderId="0">
      <alignment horizontal="right" vertical="top"/>
    </xf>
    <xf numFmtId="170" fontId="22" fillId="13" borderId="0">
      <alignment horizontal="center" vertical="top"/>
    </xf>
    <xf numFmtId="170" fontId="23" fillId="0" borderId="0">
      <alignment horizontal="right"/>
    </xf>
    <xf numFmtId="43" fontId="22" fillId="13" borderId="0">
      <alignment horizontal="center" vertical="top"/>
    </xf>
    <xf numFmtId="235" fontId="22" fillId="13" borderId="0">
      <alignment horizontal="center" vertical="top"/>
    </xf>
    <xf numFmtId="236" fontId="22" fillId="13" borderId="0">
      <alignment horizontal="center" vertical="top"/>
    </xf>
    <xf numFmtId="236" fontId="22" fillId="13" borderId="0">
      <alignment horizontal="center" vertical="top" wrapText="1"/>
    </xf>
    <xf numFmtId="172" fontId="22" fillId="13" borderId="0">
      <alignment horizontal="left" vertical="top"/>
    </xf>
    <xf numFmtId="43" fontId="22" fillId="13" borderId="0">
      <alignment horizontal="left" vertical="top"/>
    </xf>
    <xf numFmtId="43" fontId="22" fillId="13" borderId="0"/>
    <xf numFmtId="172" fontId="22" fillId="14" borderId="0">
      <alignment horizontal="center" vertical="top"/>
    </xf>
    <xf numFmtId="172" fontId="22" fillId="14" borderId="0">
      <alignment horizontal="right" vertical="top"/>
    </xf>
    <xf numFmtId="170" fontId="22" fillId="14" borderId="0">
      <alignment horizontal="center" vertical="top"/>
    </xf>
    <xf numFmtId="172" fontId="22" fillId="0" borderId="0">
      <alignment horizontal="right"/>
    </xf>
    <xf numFmtId="43" fontId="22" fillId="14" borderId="0">
      <alignment horizontal="center" vertical="top"/>
    </xf>
    <xf numFmtId="235" fontId="22" fillId="14" borderId="0">
      <alignment horizontal="center" vertical="top"/>
    </xf>
    <xf numFmtId="236" fontId="22" fillId="14" borderId="0">
      <alignment horizontal="center" vertical="top"/>
    </xf>
    <xf numFmtId="236" fontId="22" fillId="14" borderId="0">
      <alignment horizontal="center" vertical="top" wrapText="1"/>
    </xf>
    <xf numFmtId="172" fontId="22" fillId="14" borderId="0">
      <alignment horizontal="center" vertical="top"/>
    </xf>
    <xf numFmtId="172" fontId="22" fillId="14" borderId="0">
      <alignment horizontal="left" vertical="top"/>
    </xf>
    <xf numFmtId="172" fontId="22" fillId="14" borderId="0"/>
    <xf numFmtId="43" fontId="22" fillId="14" borderId="0">
      <alignment horizontal="left" vertical="top"/>
    </xf>
    <xf numFmtId="235" fontId="22" fillId="14" borderId="0">
      <alignment horizontal="center" vertical="top"/>
    </xf>
    <xf numFmtId="236" fontId="75" fillId="14" borderId="0">
      <alignment horizontal="center" wrapText="1"/>
    </xf>
    <xf numFmtId="172" fontId="22" fillId="0" borderId="0"/>
    <xf numFmtId="172" fontId="22" fillId="14" borderId="0">
      <alignment horizontal="left" vertical="top"/>
    </xf>
    <xf numFmtId="172" fontId="22" fillId="14" borderId="0">
      <alignment horizontal="right"/>
    </xf>
    <xf numFmtId="172" fontId="22" fillId="14" borderId="0">
      <alignment horizontal="right"/>
    </xf>
    <xf numFmtId="4" fontId="55" fillId="14" borderId="0">
      <alignment horizontal="right" vertical="top"/>
    </xf>
    <xf numFmtId="43" fontId="22" fillId="14" borderId="0">
      <alignment horizontal="center" vertical="top"/>
    </xf>
    <xf numFmtId="236" fontId="22" fillId="14" borderId="0">
      <alignment horizontal="center" vertical="top" wrapText="1"/>
    </xf>
    <xf numFmtId="43" fontId="22" fillId="14" borderId="0">
      <alignment horizontal="left" vertical="top"/>
    </xf>
    <xf numFmtId="172" fontId="23" fillId="6" borderId="9">
      <alignment horizontal="right" wrapText="1"/>
    </xf>
    <xf numFmtId="172" fontId="23" fillId="6" borderId="9">
      <alignment horizontal="center" wrapText="1"/>
    </xf>
    <xf numFmtId="170" fontId="23" fillId="6" borderId="9">
      <alignment horizontal="right" wrapText="1"/>
    </xf>
    <xf numFmtId="43" fontId="23" fillId="6" borderId="9">
      <alignment horizontal="center" wrapText="1"/>
    </xf>
    <xf numFmtId="235" fontId="23" fillId="6" borderId="9">
      <alignment horizontal="center" wrapText="1"/>
    </xf>
    <xf numFmtId="235" fontId="23" fillId="6" borderId="9">
      <alignment horizontal="center" wrapText="1"/>
    </xf>
    <xf numFmtId="207" fontId="24" fillId="0" borderId="0">
      <alignment horizontal="left" vertical="center" wrapText="1"/>
    </xf>
    <xf numFmtId="172" fontId="22" fillId="0" borderId="0">
      <alignment horizontal="right"/>
    </xf>
    <xf numFmtId="172" fontId="22" fillId="0" borderId="0"/>
    <xf numFmtId="170" fontId="22" fillId="0" borderId="0">
      <alignment horizontal="right"/>
    </xf>
    <xf numFmtId="43" fontId="22" fillId="0" borderId="0">
      <alignment horizontal="center"/>
    </xf>
    <xf numFmtId="235" fontId="22" fillId="0" borderId="0"/>
    <xf numFmtId="235" fontId="22" fillId="0" borderId="0">
      <alignment wrapText="1"/>
    </xf>
    <xf numFmtId="170" fontId="22" fillId="0" borderId="0">
      <alignment horizontal="center" vertical="top"/>
    </xf>
    <xf numFmtId="172" fontId="22" fillId="0" borderId="0">
      <alignment horizontal="center" vertical="top"/>
    </xf>
    <xf numFmtId="172" fontId="22" fillId="0" borderId="0">
      <alignment horizontal="center" vertical="top"/>
    </xf>
    <xf numFmtId="172" fontId="22" fillId="0" borderId="0">
      <alignment horizontal="left" vertical="top"/>
    </xf>
    <xf numFmtId="172" fontId="22" fillId="0" borderId="0">
      <alignment horizontal="right" vertical="center" wrapText="1"/>
    </xf>
    <xf numFmtId="172" fontId="22" fillId="0" borderId="0">
      <alignment horizontal="right" vertical="top"/>
    </xf>
    <xf numFmtId="170" fontId="22" fillId="0" borderId="0">
      <alignment horizontal="center" vertical="top"/>
    </xf>
    <xf numFmtId="170" fontId="75" fillId="0" borderId="0">
      <alignment horizontal="right"/>
    </xf>
    <xf numFmtId="43" fontId="75" fillId="0" borderId="0">
      <alignment horizontal="center"/>
    </xf>
    <xf numFmtId="235" fontId="75" fillId="0" borderId="0"/>
    <xf numFmtId="236" fontId="75" fillId="0" borderId="0">
      <alignment horizontal="center"/>
    </xf>
    <xf numFmtId="236" fontId="75" fillId="0" borderId="0">
      <alignment horizontal="center" wrapText="1"/>
    </xf>
    <xf numFmtId="235" fontId="75" fillId="0" borderId="0">
      <alignment wrapText="1"/>
    </xf>
    <xf numFmtId="43" fontId="55" fillId="0" borderId="0">
      <alignment horizontal="center"/>
    </xf>
    <xf numFmtId="43" fontId="55" fillId="0" borderId="0"/>
    <xf numFmtId="172" fontId="22" fillId="0" borderId="0">
      <alignment horizontal="center" vertical="center" wrapText="1"/>
    </xf>
    <xf numFmtId="43" fontId="55" fillId="0" borderId="17">
      <alignment horizontal="center" vertical="center"/>
    </xf>
    <xf numFmtId="43" fontId="55" fillId="0" borderId="12">
      <alignment horizontal="center" vertical="center"/>
    </xf>
    <xf numFmtId="43" fontId="79" fillId="0" borderId="12">
      <alignment horizontal="center" vertical="center"/>
    </xf>
    <xf numFmtId="43" fontId="79" fillId="0" borderId="13">
      <alignment horizontal="center"/>
    </xf>
    <xf numFmtId="43" fontId="79" fillId="0" borderId="0">
      <alignment horizontal="center"/>
    </xf>
    <xf numFmtId="2" fontId="79" fillId="0" borderId="0">
      <alignment horizontal="center"/>
    </xf>
    <xf numFmtId="43" fontId="79" fillId="0" borderId="14">
      <alignment horizontal="center"/>
    </xf>
    <xf numFmtId="43" fontId="79" fillId="0" borderId="0">
      <alignment horizontal="center"/>
    </xf>
    <xf numFmtId="172" fontId="79" fillId="0" borderId="0">
      <alignment horizontal="center" wrapText="1"/>
    </xf>
    <xf numFmtId="172" fontId="79" fillId="0" borderId="3">
      <alignment horizontal="center" wrapText="1"/>
    </xf>
    <xf numFmtId="170" fontId="22" fillId="0" borderId="0">
      <alignment horizontal="right" vertical="center" wrapText="1"/>
    </xf>
    <xf numFmtId="165" fontId="79" fillId="0" borderId="3">
      <alignment horizontal="center" wrapText="1"/>
    </xf>
    <xf numFmtId="43" fontId="87" fillId="0" borderId="0">
      <alignment horizontal="left"/>
    </xf>
    <xf numFmtId="43" fontId="79" fillId="0" borderId="0">
      <alignment horizontal="center" wrapText="1"/>
    </xf>
    <xf numFmtId="43" fontId="79" fillId="0" borderId="0">
      <alignment wrapText="1"/>
    </xf>
    <xf numFmtId="43" fontId="79" fillId="6" borderId="9">
      <alignment horizontal="right" wrapText="1"/>
    </xf>
    <xf numFmtId="43" fontId="79" fillId="6" borderId="9">
      <alignment horizontal="center" wrapText="1"/>
    </xf>
    <xf numFmtId="172" fontId="2" fillId="0" borderId="0"/>
    <xf numFmtId="172" fontId="2" fillId="0" borderId="0">
      <alignment horizontal="center"/>
    </xf>
    <xf numFmtId="172" fontId="2" fillId="0" borderId="0">
      <alignment horizontal="left"/>
    </xf>
    <xf numFmtId="172" fontId="2" fillId="0" borderId="0">
      <alignment horizontal="center"/>
    </xf>
    <xf numFmtId="43" fontId="23" fillId="0" borderId="0">
      <alignment horizontal="center" vertical="center" wrapText="1"/>
    </xf>
    <xf numFmtId="172" fontId="20" fillId="0" borderId="0">
      <alignment horizontal="center"/>
    </xf>
    <xf numFmtId="172" fontId="2" fillId="0" borderId="0"/>
    <xf numFmtId="172" fontId="80" fillId="0" borderId="0">
      <alignment horizontal="left" vertical="center"/>
    </xf>
    <xf numFmtId="172" fontId="23" fillId="0" borderId="27"/>
    <xf numFmtId="172" fontId="23" fillId="0" borderId="0"/>
    <xf numFmtId="43" fontId="23" fillId="0" borderId="0"/>
    <xf numFmtId="43" fontId="23" fillId="0" borderId="0">
      <alignment horizontal="center"/>
    </xf>
    <xf numFmtId="172" fontId="23" fillId="0" borderId="0">
      <alignment horizontal="center"/>
    </xf>
    <xf numFmtId="172" fontId="23" fillId="6" borderId="24">
      <alignment horizontal="center"/>
    </xf>
    <xf numFmtId="49" fontId="22" fillId="0" borderId="0">
      <alignment horizontal="left"/>
    </xf>
    <xf numFmtId="235" fontId="23" fillId="0" borderId="0">
      <alignment horizontal="center" vertical="center" wrapText="1"/>
    </xf>
    <xf numFmtId="49" fontId="22" fillId="0" borderId="13">
      <alignment horizontal="left"/>
    </xf>
    <xf numFmtId="49" fontId="22" fillId="0" borderId="15">
      <alignment horizontal="left"/>
    </xf>
    <xf numFmtId="172" fontId="77" fillId="0" borderId="14"/>
    <xf numFmtId="49" fontId="22" fillId="0" borderId="14">
      <alignment horizontal="left"/>
    </xf>
    <xf numFmtId="172" fontId="2" fillId="0" borderId="0">
      <alignment horizontal="center"/>
    </xf>
    <xf numFmtId="172" fontId="2" fillId="0" borderId="0"/>
    <xf numFmtId="172" fontId="2" fillId="0" borderId="0"/>
    <xf numFmtId="172" fontId="20" fillId="0" borderId="0">
      <alignment horizontal="right"/>
    </xf>
    <xf numFmtId="172" fontId="20" fillId="0" borderId="0">
      <alignment horizontal="center"/>
    </xf>
    <xf numFmtId="172" fontId="20" fillId="0" borderId="3"/>
    <xf numFmtId="172" fontId="23" fillId="0" borderId="0">
      <alignment horizontal="left" vertical="center" wrapText="1"/>
    </xf>
    <xf numFmtId="172" fontId="20" fillId="0" borderId="3">
      <alignment horizontal="center"/>
    </xf>
    <xf numFmtId="172" fontId="20" fillId="0" borderId="3">
      <alignment horizontal="center" wrapText="1"/>
    </xf>
    <xf numFmtId="172" fontId="20" fillId="0" borderId="0"/>
    <xf numFmtId="172" fontId="20" fillId="0" borderId="3">
      <alignment horizontal="center" wrapText="1"/>
    </xf>
    <xf numFmtId="172" fontId="20" fillId="0" borderId="0">
      <alignment horizontal="center"/>
    </xf>
    <xf numFmtId="172" fontId="20" fillId="0" borderId="3">
      <alignment horizontal="center"/>
    </xf>
    <xf numFmtId="172" fontId="20" fillId="0" borderId="0"/>
    <xf numFmtId="172" fontId="20" fillId="0" borderId="3">
      <alignment horizontal="left" wrapText="1"/>
    </xf>
    <xf numFmtId="236" fontId="2" fillId="0" borderId="0">
      <alignment horizontal="center"/>
    </xf>
    <xf numFmtId="236" fontId="2" fillId="0" borderId="0">
      <alignment horizontal="left"/>
    </xf>
    <xf numFmtId="0" fontId="88" fillId="0" borderId="0"/>
    <xf numFmtId="10" fontId="6" fillId="0" borderId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227" fontId="6" fillId="0" borderId="0"/>
    <xf numFmtId="0" fontId="89" fillId="6" borderId="0"/>
    <xf numFmtId="0" fontId="54" fillId="0" borderId="0" applyNumberFormat="0" applyFont="0" applyFill="0" applyBorder="0" applyAlignment="0" applyProtection="0">
      <alignment horizontal="left"/>
    </xf>
    <xf numFmtId="15" fontId="54" fillId="0" borderId="0" applyFont="0" applyFill="0" applyBorder="0" applyAlignment="0" applyProtection="0"/>
    <xf numFmtId="4" fontId="54" fillId="0" borderId="0" applyFont="0" applyFill="0" applyBorder="0" applyAlignment="0" applyProtection="0"/>
    <xf numFmtId="0" fontId="90" fillId="0" borderId="10">
      <alignment horizontal="center"/>
    </xf>
    <xf numFmtId="3" fontId="54" fillId="0" borderId="0" applyFont="0" applyFill="0" applyBorder="0" applyAlignment="0" applyProtection="0"/>
    <xf numFmtId="0" fontId="54" fillId="20" borderId="0" applyNumberFormat="0" applyFont="0" applyBorder="0" applyAlignment="0" applyProtection="0"/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245" fontId="91" fillId="0" borderId="0"/>
    <xf numFmtId="0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0" fontId="92" fillId="21" borderId="0" applyNumberFormat="0" applyFont="0" applyBorder="0" applyAlignment="0">
      <alignment horizontal="center"/>
    </xf>
    <xf numFmtId="14" fontId="41" fillId="0" borderId="0" applyNumberFormat="0" applyFill="0" applyBorder="0" applyAlignment="0" applyProtection="0">
      <alignment horizontal="left"/>
    </xf>
    <xf numFmtId="49" fontId="2" fillId="0" borderId="0" applyFont="0" applyFill="0" applyBorder="0" applyProtection="0">
      <alignment horizontal="right"/>
    </xf>
    <xf numFmtId="49" fontId="20" fillId="0" borderId="0" applyFill="0" applyBorder="0" applyProtection="0">
      <alignment horizontal="right"/>
    </xf>
    <xf numFmtId="49" fontId="20" fillId="0" borderId="3" applyFill="0" applyProtection="0">
      <alignment horizontal="right"/>
    </xf>
    <xf numFmtId="49" fontId="20" fillId="0" borderId="12" applyFill="0" applyProtection="0">
      <alignment horizontal="right"/>
    </xf>
    <xf numFmtId="0" fontId="64" fillId="0" borderId="0" applyFill="0" applyBorder="0" applyProtection="0">
      <alignment horizontal="left"/>
    </xf>
    <xf numFmtId="0" fontId="13" fillId="22" borderId="0"/>
    <xf numFmtId="0" fontId="92" fillId="1" borderId="8" applyNumberFormat="0" applyFont="0" applyAlignment="0">
      <alignment horizontal="center"/>
    </xf>
    <xf numFmtId="246" fontId="93" fillId="0" borderId="0" applyFont="0" applyFill="0" applyBorder="0" applyAlignment="0" applyProtection="0"/>
    <xf numFmtId="1" fontId="6" fillId="0" borderId="0"/>
    <xf numFmtId="0" fontId="2" fillId="0" borderId="0" applyFont="0" applyFill="0" applyBorder="0" applyAlignment="0" applyProtection="0"/>
    <xf numFmtId="0" fontId="20" fillId="0" borderId="0" applyFill="0" applyBorder="0" applyAlignment="0" applyProtection="0"/>
    <xf numFmtId="42" fontId="21" fillId="0" borderId="0" applyFill="0" applyBorder="0" applyAlignment="0" applyProtection="0"/>
    <xf numFmtId="0" fontId="94" fillId="0" borderId="0" applyNumberFormat="0" applyFill="0" applyBorder="0" applyAlignment="0">
      <alignment horizontal="center"/>
    </xf>
    <xf numFmtId="12" fontId="6" fillId="0" borderId="0" applyFont="0" applyFill="0" applyBorder="0" applyProtection="0">
      <alignment horizontal="right"/>
    </xf>
    <xf numFmtId="0" fontId="6" fillId="23" borderId="0" applyFont="0" applyFill="0" applyBorder="0" applyProtection="0">
      <alignment horizontal="right"/>
    </xf>
    <xf numFmtId="0" fontId="4" fillId="0" borderId="0">
      <alignment vertical="top"/>
    </xf>
    <xf numFmtId="0" fontId="79" fillId="0" borderId="0" applyNumberFormat="0" applyFill="0" applyBorder="0" applyProtection="0">
      <alignment horizontal="left"/>
    </xf>
    <xf numFmtId="0" fontId="22" fillId="0" borderId="0" applyNumberFormat="0" applyFill="0" applyBorder="0" applyProtection="0">
      <alignment horizontal="left"/>
    </xf>
    <xf numFmtId="0" fontId="22" fillId="0" borderId="0" applyNumberFormat="0" applyFill="0" applyBorder="0" applyProtection="0">
      <alignment horizontal="left"/>
    </xf>
    <xf numFmtId="0" fontId="23" fillId="0" borderId="0" applyNumberFormat="0" applyFill="0" applyBorder="0" applyProtection="0">
      <alignment horizontal="left"/>
    </xf>
    <xf numFmtId="0" fontId="23" fillId="0" borderId="0" applyFill="0" applyBorder="0" applyProtection="0">
      <alignment horizontal="left" wrapText="1"/>
    </xf>
    <xf numFmtId="0" fontId="23" fillId="0" borderId="0" applyNumberFormat="0" applyFill="0" applyBorder="0" applyProtection="0">
      <alignment horizontal="right" wrapText="1"/>
    </xf>
    <xf numFmtId="1" fontId="22" fillId="0" borderId="0" applyFill="0" applyBorder="0" applyProtection="0">
      <alignment horizontal="left"/>
    </xf>
    <xf numFmtId="49" fontId="22" fillId="0" borderId="0" applyFill="0" applyBorder="0" applyProtection="0">
      <alignment horizontal="left"/>
    </xf>
    <xf numFmtId="1" fontId="22" fillId="0" borderId="0" applyFill="0" applyBorder="0" applyProtection="0">
      <alignment horizontal="center"/>
    </xf>
    <xf numFmtId="37" fontId="22" fillId="0" borderId="0" applyFill="0" applyBorder="0" applyProtection="0">
      <alignment horizontal="right"/>
    </xf>
    <xf numFmtId="7" fontId="22" fillId="0" borderId="0" applyFill="0" applyBorder="0" applyProtection="0">
      <alignment horizontal="right"/>
    </xf>
    <xf numFmtId="247" fontId="22" fillId="0" borderId="0" applyFill="0" applyBorder="0" applyProtection="0">
      <alignment horizontal="left"/>
    </xf>
    <xf numFmtId="37" fontId="23" fillId="0" borderId="0" applyFill="0" applyBorder="0" applyProtection="0">
      <alignment horizontal="right"/>
    </xf>
    <xf numFmtId="7" fontId="23" fillId="0" borderId="0" applyFill="0" applyBorder="0" applyProtection="0">
      <alignment horizontal="right"/>
    </xf>
    <xf numFmtId="248" fontId="22" fillId="0" borderId="0" applyFill="0" applyBorder="0" applyProtection="0">
      <alignment horizontal="right"/>
    </xf>
    <xf numFmtId="249" fontId="22" fillId="0" borderId="0" applyFill="0" applyBorder="0" applyProtection="0">
      <alignment horizontal="right"/>
    </xf>
    <xf numFmtId="250" fontId="22" fillId="0" borderId="0" applyFill="0" applyBorder="0" applyProtection="0">
      <alignment horizontal="right"/>
    </xf>
    <xf numFmtId="14" fontId="22" fillId="0" borderId="0" applyFill="0" applyBorder="0" applyProtection="0">
      <alignment horizontal="right"/>
    </xf>
    <xf numFmtId="14" fontId="22" fillId="0" borderId="0" applyFill="0" applyBorder="0" applyProtection="0">
      <alignment horizontal="right"/>
    </xf>
    <xf numFmtId="251" fontId="22" fillId="0" borderId="0" applyFill="0" applyBorder="0" applyProtection="0">
      <alignment horizontal="left"/>
    </xf>
    <xf numFmtId="252" fontId="22" fillId="0" borderId="0" applyFill="0" applyBorder="0" applyProtection="0">
      <alignment horizontal="left"/>
    </xf>
    <xf numFmtId="248" fontId="23" fillId="0" borderId="0" applyFill="0" applyBorder="0" applyProtection="0">
      <alignment horizontal="right"/>
    </xf>
    <xf numFmtId="1" fontId="23" fillId="0" borderId="0" applyFill="0" applyBorder="0" applyProtection="0">
      <alignment horizontal="left"/>
    </xf>
    <xf numFmtId="247" fontId="23" fillId="0" borderId="0" applyFill="0" applyBorder="0" applyProtection="0">
      <alignment horizontal="left"/>
    </xf>
    <xf numFmtId="37" fontId="23" fillId="0" borderId="0" applyFill="0" applyBorder="0" applyProtection="0">
      <alignment horizontal="right"/>
    </xf>
    <xf numFmtId="1" fontId="95" fillId="0" borderId="0" applyFill="0" applyBorder="0" applyProtection="0">
      <alignment horizontal="left"/>
    </xf>
    <xf numFmtId="49" fontId="22" fillId="0" borderId="0" applyFill="0" applyBorder="0" applyProtection="0">
      <alignment horizontal="left"/>
    </xf>
    <xf numFmtId="252" fontId="22" fillId="0" borderId="0" applyFill="0" applyBorder="0" applyProtection="0">
      <alignment horizontal="left"/>
    </xf>
    <xf numFmtId="0" fontId="4" fillId="0" borderId="0" applyNumberFormat="0" applyBorder="0" applyAlignment="0"/>
    <xf numFmtId="0" fontId="14" fillId="0" borderId="0"/>
    <xf numFmtId="40" fontId="96" fillId="0" borderId="0" applyBorder="0">
      <alignment horizontal="right"/>
    </xf>
    <xf numFmtId="6" fontId="70" fillId="0" borderId="36" applyFill="0">
      <alignment vertical="center"/>
    </xf>
    <xf numFmtId="0" fontId="15" fillId="0" borderId="0"/>
    <xf numFmtId="0" fontId="97" fillId="0" borderId="0"/>
    <xf numFmtId="0" fontId="2" fillId="0" borderId="0"/>
    <xf numFmtId="49" fontId="4" fillId="0" borderId="0" applyFill="0" applyBorder="0" applyAlignment="0"/>
    <xf numFmtId="0" fontId="26" fillId="0" borderId="0" applyFill="0" applyBorder="0" applyAlignment="0"/>
    <xf numFmtId="201" fontId="6" fillId="0" borderId="0" applyFill="0" applyBorder="0" applyAlignment="0"/>
    <xf numFmtId="0" fontId="16" fillId="0" borderId="0"/>
    <xf numFmtId="0" fontId="17" fillId="0" borderId="0"/>
    <xf numFmtId="0" fontId="18" fillId="0" borderId="0">
      <alignment vertical="top"/>
    </xf>
    <xf numFmtId="253" fontId="70" fillId="0" borderId="0" applyFill="0" applyBorder="0">
      <alignment vertical="center"/>
    </xf>
    <xf numFmtId="0" fontId="22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38" fontId="98" fillId="0" borderId="0" applyNumberFormat="0" applyFill="0" applyBorder="0">
      <alignment horizontal="left" vertical="center"/>
    </xf>
    <xf numFmtId="38" fontId="99" fillId="0" borderId="0" applyNumberFormat="0" applyFill="0" applyBorder="0">
      <alignment horizontal="centerContinuous" vertical="center"/>
    </xf>
    <xf numFmtId="0" fontId="19" fillId="0" borderId="0">
      <alignment vertical="top"/>
    </xf>
    <xf numFmtId="0" fontId="100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Fill="0" applyBorder="0" applyAlignment="0" applyProtection="0"/>
    <xf numFmtId="0" fontId="16" fillId="0" borderId="0">
      <alignment wrapText="1"/>
    </xf>
    <xf numFmtId="0" fontId="101" fillId="0" borderId="0">
      <alignment horizontal="left"/>
      <protection locked="0"/>
    </xf>
    <xf numFmtId="5" fontId="86" fillId="0" borderId="0">
      <alignment vertical="center"/>
    </xf>
    <xf numFmtId="223" fontId="26" fillId="0" borderId="0"/>
    <xf numFmtId="254" fontId="27" fillId="0" borderId="0" applyFill="0" applyBorder="0" applyAlignment="0" applyProtection="0"/>
    <xf numFmtId="14" fontId="22" fillId="0" borderId="0" applyFont="0" applyFill="0" applyBorder="0" applyProtection="0"/>
    <xf numFmtId="255" fontId="102" fillId="0" borderId="0" applyFill="0" applyBorder="0">
      <alignment vertical="center"/>
    </xf>
    <xf numFmtId="0" fontId="70" fillId="24" borderId="37" applyNumberFormat="0" applyFont="0" applyBorder="0" applyAlignment="0" applyProtection="0">
      <alignment horizontal="right"/>
    </xf>
    <xf numFmtId="256" fontId="21" fillId="0" borderId="0" applyFont="0" applyFill="0" applyBorder="0" applyAlignment="0" applyProtection="0"/>
    <xf numFmtId="255" fontId="103" fillId="0" borderId="0">
      <alignment horizontal="center"/>
    </xf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</cellStyleXfs>
  <cellXfs count="561">
    <xf numFmtId="0" fontId="0" fillId="0" borderId="0" xfId="0"/>
    <xf numFmtId="0" fontId="111" fillId="0" borderId="0" xfId="0" applyFont="1"/>
    <xf numFmtId="0" fontId="112" fillId="0" borderId="0" xfId="0" applyFont="1"/>
    <xf numFmtId="0" fontId="113" fillId="0" borderId="0" xfId="0" applyFont="1"/>
    <xf numFmtId="165" fontId="114" fillId="0" borderId="0" xfId="0" applyNumberFormat="1" applyFont="1"/>
    <xf numFmtId="0" fontId="115" fillId="0" borderId="0" xfId="0" applyFont="1"/>
    <xf numFmtId="165" fontId="111" fillId="0" borderId="0" xfId="0" applyNumberFormat="1" applyFont="1"/>
    <xf numFmtId="0" fontId="111" fillId="0" borderId="0" xfId="0" applyFont="1" applyAlignment="1">
      <alignment horizontal="left"/>
    </xf>
    <xf numFmtId="165" fontId="115" fillId="0" borderId="0" xfId="0" applyNumberFormat="1" applyFont="1"/>
    <xf numFmtId="167" fontId="111" fillId="0" borderId="0" xfId="0" applyNumberFormat="1" applyFont="1"/>
    <xf numFmtId="0" fontId="116" fillId="26" borderId="0" xfId="0" applyFont="1" applyFill="1" applyAlignment="1">
      <alignment horizontal="left"/>
    </xf>
    <xf numFmtId="0" fontId="115" fillId="26" borderId="0" xfId="0" applyFont="1" applyFill="1"/>
    <xf numFmtId="0" fontId="115" fillId="26" borderId="38" xfId="0" applyFont="1" applyFill="1" applyBorder="1" applyAlignment="1">
      <alignment horizontal="centerContinuous"/>
    </xf>
    <xf numFmtId="168" fontId="115" fillId="26" borderId="0" xfId="0" applyNumberFormat="1" applyFont="1" applyFill="1" applyAlignment="1">
      <alignment horizontal="centerContinuous"/>
    </xf>
    <xf numFmtId="168" fontId="115" fillId="26" borderId="0" xfId="0" applyNumberFormat="1" applyFont="1" applyFill="1" applyAlignment="1">
      <alignment horizontal="center"/>
    </xf>
    <xf numFmtId="168" fontId="117" fillId="26" borderId="0" xfId="0" applyNumberFormat="1" applyFont="1" applyFill="1" applyAlignment="1">
      <alignment horizontal="center"/>
    </xf>
    <xf numFmtId="0" fontId="115" fillId="0" borderId="0" xfId="0" applyFont="1" applyAlignment="1">
      <alignment horizontal="left"/>
    </xf>
    <xf numFmtId="0" fontId="115" fillId="26" borderId="3" xfId="0" applyFont="1" applyFill="1" applyBorder="1"/>
    <xf numFmtId="0" fontId="111" fillId="26" borderId="3" xfId="0" applyFont="1" applyFill="1" applyBorder="1"/>
    <xf numFmtId="0" fontId="115" fillId="0" borderId="3" xfId="0" applyFont="1" applyBorder="1"/>
    <xf numFmtId="0" fontId="118" fillId="27" borderId="0" xfId="0" applyFont="1" applyFill="1" applyAlignment="1">
      <alignment horizontal="left" indent="1"/>
    </xf>
    <xf numFmtId="169" fontId="119" fillId="27" borderId="0" xfId="545" applyNumberFormat="1" applyFont="1" applyFill="1"/>
    <xf numFmtId="0" fontId="118" fillId="27" borderId="0" xfId="0" applyFont="1" applyFill="1"/>
    <xf numFmtId="0" fontId="118" fillId="27" borderId="0" xfId="0" applyFont="1" applyFill="1" applyAlignment="1">
      <alignment horizontal="left"/>
    </xf>
    <xf numFmtId="43" fontId="113" fillId="0" borderId="0" xfId="162" applyFont="1" applyFill="1" applyBorder="1" applyAlignment="1">
      <alignment horizontal="center"/>
    </xf>
    <xf numFmtId="37" fontId="111" fillId="0" borderId="0" xfId="0" applyNumberFormat="1" applyFont="1"/>
    <xf numFmtId="0" fontId="115" fillId="0" borderId="39" xfId="0" applyFont="1" applyBorder="1"/>
    <xf numFmtId="37" fontId="114" fillId="0" borderId="0" xfId="0" applyNumberFormat="1" applyFont="1" applyAlignment="1">
      <alignment horizontal="right"/>
    </xf>
    <xf numFmtId="0" fontId="111" fillId="0" borderId="3" xfId="0" applyFont="1" applyBorder="1"/>
    <xf numFmtId="165" fontId="113" fillId="0" borderId="0" xfId="0" applyNumberFormat="1" applyFont="1"/>
    <xf numFmtId="257" fontId="111" fillId="0" borderId="0" xfId="0" applyNumberFormat="1" applyFont="1"/>
    <xf numFmtId="0" fontId="115" fillId="27" borderId="8" xfId="267" applyFont="1" applyFill="1" applyBorder="1" applyAlignment="1">
      <alignment horizontal="left" wrapText="1"/>
    </xf>
    <xf numFmtId="0" fontId="111" fillId="0" borderId="0" xfId="267" applyFont="1" applyAlignment="1">
      <alignment horizontal="center" wrapText="1"/>
    </xf>
    <xf numFmtId="0" fontId="111" fillId="0" borderId="0" xfId="267" applyFont="1"/>
    <xf numFmtId="0" fontId="115" fillId="27" borderId="8" xfId="267" applyFont="1" applyFill="1" applyBorder="1" applyAlignment="1">
      <alignment horizontal="right" wrapText="1"/>
    </xf>
    <xf numFmtId="169" fontId="118" fillId="27" borderId="0" xfId="545" applyNumberFormat="1" applyFont="1" applyFill="1" applyBorder="1"/>
    <xf numFmtId="172" fontId="111" fillId="0" borderId="0" xfId="162" applyNumberFormat="1" applyFont="1"/>
    <xf numFmtId="165" fontId="120" fillId="0" borderId="0" xfId="0" applyNumberFormat="1" applyFont="1"/>
    <xf numFmtId="165" fontId="121" fillId="0" borderId="0" xfId="0" applyNumberFormat="1" applyFont="1"/>
    <xf numFmtId="169" fontId="118" fillId="27" borderId="0" xfId="0" applyNumberFormat="1" applyFont="1" applyFill="1"/>
    <xf numFmtId="165" fontId="114" fillId="0" borderId="0" xfId="0" applyNumberFormat="1" applyFont="1" applyAlignment="1">
      <alignment horizontal="right"/>
    </xf>
    <xf numFmtId="0" fontId="111" fillId="28" borderId="0" xfId="268" applyFont="1" applyFill="1"/>
    <xf numFmtId="0" fontId="115" fillId="28" borderId="8" xfId="268" applyFont="1" applyFill="1" applyBorder="1"/>
    <xf numFmtId="258" fontId="115" fillId="28" borderId="8" xfId="268" applyNumberFormat="1" applyFont="1" applyFill="1" applyBorder="1"/>
    <xf numFmtId="258" fontId="111" fillId="28" borderId="0" xfId="268" applyNumberFormat="1" applyFont="1" applyFill="1"/>
    <xf numFmtId="172" fontId="115" fillId="28" borderId="8" xfId="162" applyNumberFormat="1" applyFont="1" applyFill="1" applyBorder="1"/>
    <xf numFmtId="168" fontId="115" fillId="26" borderId="3" xfId="0" applyNumberFormat="1" applyFont="1" applyFill="1" applyBorder="1" applyAlignment="1">
      <alignment horizontal="centerContinuous"/>
    </xf>
    <xf numFmtId="165" fontId="114" fillId="29" borderId="0" xfId="0" applyNumberFormat="1" applyFont="1" applyFill="1"/>
    <xf numFmtId="165" fontId="117" fillId="0" borderId="0" xfId="0" applyNumberFormat="1" applyFont="1"/>
    <xf numFmtId="0" fontId="118" fillId="0" borderId="0" xfId="0" applyFont="1"/>
    <xf numFmtId="258" fontId="115" fillId="0" borderId="0" xfId="0" applyNumberFormat="1" applyFont="1" applyAlignment="1">
      <alignment horizontal="right"/>
    </xf>
    <xf numFmtId="258" fontId="111" fillId="0" borderId="0" xfId="0" applyNumberFormat="1" applyFont="1" applyAlignment="1">
      <alignment horizontal="right"/>
    </xf>
    <xf numFmtId="9" fontId="118" fillId="27" borderId="0" xfId="545" applyFont="1" applyFill="1" applyAlignment="1">
      <alignment horizontal="right"/>
    </xf>
    <xf numFmtId="37" fontId="111" fillId="0" borderId="0" xfId="0" applyNumberFormat="1" applyFont="1" applyAlignment="1">
      <alignment horizontal="right"/>
    </xf>
    <xf numFmtId="169" fontId="118" fillId="0" borderId="0" xfId="545" applyNumberFormat="1" applyFont="1" applyFill="1" applyBorder="1"/>
    <xf numFmtId="37" fontId="115" fillId="0" borderId="0" xfId="0" applyNumberFormat="1" applyFont="1"/>
    <xf numFmtId="165" fontId="115" fillId="0" borderId="0" xfId="0" applyNumberFormat="1" applyFont="1" applyAlignment="1">
      <alignment horizontal="right"/>
    </xf>
    <xf numFmtId="169" fontId="111" fillId="0" borderId="0" xfId="545" applyNumberFormat="1" applyFont="1" applyFill="1" applyBorder="1"/>
    <xf numFmtId="9" fontId="111" fillId="0" borderId="0" xfId="545" applyFont="1"/>
    <xf numFmtId="260" fontId="111" fillId="0" borderId="0" xfId="0" applyNumberFormat="1" applyFont="1"/>
    <xf numFmtId="9" fontId="111" fillId="0" borderId="0" xfId="545" applyFont="1" applyFill="1"/>
    <xf numFmtId="0" fontId="111" fillId="0" borderId="7" xfId="0" applyFont="1" applyBorder="1"/>
    <xf numFmtId="168" fontId="115" fillId="0" borderId="0" xfId="0" applyNumberFormat="1" applyFont="1" applyAlignment="1">
      <alignment horizontal="centerContinuous"/>
    </xf>
    <xf numFmtId="172" fontId="111" fillId="0" borderId="0" xfId="162" applyNumberFormat="1" applyFont="1" applyFill="1" applyBorder="1"/>
    <xf numFmtId="169" fontId="119" fillId="27" borderId="0" xfId="545" applyNumberFormat="1" applyFont="1" applyFill="1" applyBorder="1"/>
    <xf numFmtId="17" fontId="115" fillId="27" borderId="8" xfId="267" applyNumberFormat="1" applyFont="1" applyFill="1" applyBorder="1" applyAlignment="1">
      <alignment horizontal="right" wrapText="1"/>
    </xf>
    <xf numFmtId="169" fontId="118" fillId="0" borderId="0" xfId="545" applyNumberFormat="1" applyFont="1" applyFill="1"/>
    <xf numFmtId="165" fontId="115" fillId="0" borderId="39" xfId="0" applyNumberFormat="1" applyFont="1" applyBorder="1"/>
    <xf numFmtId="259" fontId="111" fillId="0" borderId="0" xfId="0" applyNumberFormat="1" applyFont="1"/>
    <xf numFmtId="166" fontId="115" fillId="0" borderId="0" xfId="0" applyNumberFormat="1" applyFont="1" applyAlignment="1">
      <alignment horizontal="right"/>
    </xf>
    <xf numFmtId="0" fontId="118" fillId="0" borderId="0" xfId="0" applyFont="1" applyAlignment="1">
      <alignment horizontal="left" indent="1"/>
    </xf>
    <xf numFmtId="169" fontId="119" fillId="0" borderId="0" xfId="545" applyNumberFormat="1" applyFont="1" applyFill="1"/>
    <xf numFmtId="1" fontId="111" fillId="0" borderId="0" xfId="0" applyNumberFormat="1" applyFont="1" applyAlignment="1">
      <alignment horizontal="right"/>
    </xf>
    <xf numFmtId="0" fontId="115" fillId="0" borderId="7" xfId="0" applyFont="1" applyBorder="1"/>
    <xf numFmtId="169" fontId="118" fillId="27" borderId="0" xfId="545" applyNumberFormat="1" applyFont="1" applyFill="1" applyBorder="1" applyAlignment="1">
      <alignment horizontal="left" indent="1"/>
    </xf>
    <xf numFmtId="9" fontId="115" fillId="0" borderId="0" xfId="545" applyFont="1" applyFill="1"/>
    <xf numFmtId="9" fontId="115" fillId="0" borderId="0" xfId="545" applyFont="1" applyFill="1" applyBorder="1"/>
    <xf numFmtId="9" fontId="111" fillId="0" borderId="0" xfId="545" applyFont="1" applyFill="1" applyBorder="1"/>
    <xf numFmtId="169" fontId="115" fillId="0" borderId="0" xfId="545" applyNumberFormat="1" applyFont="1" applyFill="1"/>
    <xf numFmtId="169" fontId="118" fillId="27" borderId="0" xfId="545" applyNumberFormat="1" applyFont="1" applyFill="1" applyAlignment="1">
      <alignment horizontal="right"/>
    </xf>
    <xf numFmtId="0" fontId="115" fillId="0" borderId="0" xfId="267" applyFont="1"/>
    <xf numFmtId="168" fontId="115" fillId="26" borderId="8" xfId="0" applyNumberFormat="1" applyFont="1" applyFill="1" applyBorder="1" applyAlignment="1">
      <alignment horizontal="centerContinuous"/>
    </xf>
    <xf numFmtId="168" fontId="122" fillId="26" borderId="3" xfId="0" applyNumberFormat="1" applyFont="1" applyFill="1" applyBorder="1" applyAlignment="1">
      <alignment horizontal="centerContinuous"/>
    </xf>
    <xf numFmtId="0" fontId="115" fillId="29" borderId="0" xfId="0" applyFont="1" applyFill="1"/>
    <xf numFmtId="0" fontId="115" fillId="28" borderId="0" xfId="268" applyFont="1" applyFill="1"/>
    <xf numFmtId="172" fontId="115" fillId="28" borderId="0" xfId="162" applyNumberFormat="1" applyFont="1" applyFill="1" applyBorder="1"/>
    <xf numFmtId="258" fontId="115" fillId="28" borderId="0" xfId="268" applyNumberFormat="1" applyFont="1" applyFill="1"/>
    <xf numFmtId="259" fontId="115" fillId="0" borderId="0" xfId="0" applyNumberFormat="1" applyFont="1"/>
    <xf numFmtId="0" fontId="115" fillId="0" borderId="23" xfId="267" applyFont="1" applyBorder="1"/>
    <xf numFmtId="0" fontId="111" fillId="0" borderId="21" xfId="267" applyFont="1" applyBorder="1" applyAlignment="1">
      <alignment horizontal="left"/>
    </xf>
    <xf numFmtId="259" fontId="111" fillId="0" borderId="0" xfId="267" applyNumberFormat="1" applyFont="1"/>
    <xf numFmtId="0" fontId="111" fillId="0" borderId="22" xfId="267" applyFont="1" applyBorder="1" applyAlignment="1">
      <alignment horizontal="left"/>
    </xf>
    <xf numFmtId="0" fontId="115" fillId="0" borderId="24" xfId="267" applyFont="1" applyBorder="1"/>
    <xf numFmtId="2" fontId="111" fillId="0" borderId="0" xfId="0" applyNumberFormat="1" applyFont="1"/>
    <xf numFmtId="259" fontId="111" fillId="0" borderId="7" xfId="0" applyNumberFormat="1" applyFont="1" applyBorder="1"/>
    <xf numFmtId="0" fontId="111" fillId="29" borderId="0" xfId="0" applyFont="1" applyFill="1"/>
    <xf numFmtId="169" fontId="115" fillId="0" borderId="7" xfId="545" applyNumberFormat="1" applyFont="1" applyFill="1" applyBorder="1"/>
    <xf numFmtId="9" fontId="115" fillId="0" borderId="7" xfId="545" applyFont="1" applyFill="1" applyBorder="1"/>
    <xf numFmtId="9" fontId="111" fillId="0" borderId="7" xfId="545" applyFont="1" applyFill="1" applyBorder="1"/>
    <xf numFmtId="0" fontId="112" fillId="0" borderId="8" xfId="0" applyFont="1" applyBorder="1"/>
    <xf numFmtId="0" fontId="115" fillId="26" borderId="8" xfId="0" applyFont="1" applyFill="1" applyBorder="1"/>
    <xf numFmtId="0" fontId="115" fillId="0" borderId="6" xfId="0" applyFont="1" applyBorder="1"/>
    <xf numFmtId="0" fontId="115" fillId="0" borderId="40" xfId="267" applyFont="1" applyBorder="1" applyAlignment="1">
      <alignment horizontal="left" wrapText="1"/>
    </xf>
    <xf numFmtId="0" fontId="115" fillId="0" borderId="41" xfId="267" applyFont="1" applyBorder="1" applyAlignment="1">
      <alignment horizontal="left" wrapText="1"/>
    </xf>
    <xf numFmtId="0" fontId="111" fillId="0" borderId="21" xfId="267" applyFont="1" applyBorder="1" applyAlignment="1">
      <alignment horizontal="left" wrapText="1"/>
    </xf>
    <xf numFmtId="0" fontId="111" fillId="0" borderId="42" xfId="267" applyFont="1" applyBorder="1"/>
    <xf numFmtId="169" fontId="114" fillId="0" borderId="0" xfId="545" applyNumberFormat="1" applyFont="1" applyFill="1"/>
    <xf numFmtId="9" fontId="113" fillId="0" borderId="0" xfId="545" applyFont="1" applyFill="1"/>
    <xf numFmtId="259" fontId="111" fillId="0" borderId="10" xfId="267" applyNumberFormat="1" applyFont="1" applyBorder="1"/>
    <xf numFmtId="0" fontId="115" fillId="27" borderId="0" xfId="267" applyFont="1" applyFill="1" applyAlignment="1">
      <alignment horizontal="left" wrapText="1"/>
    </xf>
    <xf numFmtId="0" fontId="115" fillId="27" borderId="0" xfId="267" applyFont="1" applyFill="1" applyAlignment="1">
      <alignment horizontal="right" wrapText="1"/>
    </xf>
    <xf numFmtId="0" fontId="111" fillId="27" borderId="0" xfId="267" applyFont="1" applyFill="1" applyAlignment="1">
      <alignment horizontal="left" wrapText="1"/>
    </xf>
    <xf numFmtId="0" fontId="111" fillId="27" borderId="0" xfId="267" applyFont="1" applyFill="1" applyAlignment="1">
      <alignment horizontal="right" wrapText="1"/>
    </xf>
    <xf numFmtId="164" fontId="111" fillId="0" borderId="0" xfId="267" applyNumberFormat="1" applyFont="1"/>
    <xf numFmtId="0" fontId="115" fillId="0" borderId="43" xfId="267" applyFont="1" applyBorder="1" applyAlignment="1">
      <alignment horizontal="left" wrapText="1"/>
    </xf>
    <xf numFmtId="0" fontId="111" fillId="0" borderId="14" xfId="267" applyFont="1" applyBorder="1"/>
    <xf numFmtId="0" fontId="115" fillId="0" borderId="44" xfId="267" applyFont="1" applyBorder="1"/>
    <xf numFmtId="0" fontId="111" fillId="0" borderId="45" xfId="267" applyFont="1" applyBorder="1"/>
    <xf numFmtId="259" fontId="115" fillId="0" borderId="14" xfId="267" applyNumberFormat="1" applyFont="1" applyBorder="1"/>
    <xf numFmtId="168" fontId="122" fillId="0" borderId="0" xfId="0" applyNumberFormat="1" applyFont="1" applyAlignment="1">
      <alignment horizontal="centerContinuous"/>
    </xf>
    <xf numFmtId="168" fontId="115" fillId="26" borderId="3" xfId="0" applyNumberFormat="1" applyFont="1" applyFill="1" applyBorder="1" applyAlignment="1">
      <alignment horizontal="left"/>
    </xf>
    <xf numFmtId="172" fontId="115" fillId="0" borderId="0" xfId="162" applyNumberFormat="1" applyFont="1" applyFill="1" applyBorder="1"/>
    <xf numFmtId="0" fontId="123" fillId="0" borderId="0" xfId="0" applyFont="1"/>
    <xf numFmtId="0" fontId="124" fillId="0" borderId="0" xfId="0" applyFont="1"/>
    <xf numFmtId="172" fontId="123" fillId="0" borderId="0" xfId="162" applyNumberFormat="1" applyFont="1" applyFill="1" applyBorder="1"/>
    <xf numFmtId="0" fontId="123" fillId="0" borderId="0" xfId="0" applyFont="1" applyAlignment="1">
      <alignment horizontal="right" vertical="center"/>
    </xf>
    <xf numFmtId="0" fontId="124" fillId="0" borderId="0" xfId="0" applyFont="1" applyAlignment="1">
      <alignment horizontal="right" vertical="center"/>
    </xf>
    <xf numFmtId="168" fontId="124" fillId="0" borderId="0" xfId="0" applyNumberFormat="1" applyFont="1" applyAlignment="1">
      <alignment horizontal="right" vertical="center"/>
    </xf>
    <xf numFmtId="37" fontId="123" fillId="0" borderId="0" xfId="0" applyNumberFormat="1" applyFont="1" applyAlignment="1">
      <alignment horizontal="right" vertical="center"/>
    </xf>
    <xf numFmtId="37" fontId="124" fillId="0" borderId="0" xfId="0" applyNumberFormat="1" applyFont="1" applyAlignment="1">
      <alignment horizontal="right" vertical="center"/>
    </xf>
    <xf numFmtId="172" fontId="123" fillId="0" borderId="0" xfId="162" applyNumberFormat="1" applyFont="1" applyFill="1" applyBorder="1" applyAlignment="1">
      <alignment horizontal="right" vertical="center"/>
    </xf>
    <xf numFmtId="169" fontId="123" fillId="0" borderId="0" xfId="545" applyNumberFormat="1" applyFont="1" applyFill="1" applyBorder="1" applyAlignment="1">
      <alignment horizontal="right" vertical="center"/>
    </xf>
    <xf numFmtId="169" fontId="111" fillId="0" borderId="0" xfId="545" applyNumberFormat="1" applyFont="1" applyFill="1" applyBorder="1" applyAlignment="1">
      <alignment horizontal="right" vertical="center"/>
    </xf>
    <xf numFmtId="0" fontId="115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11" fillId="0" borderId="0" xfId="0" applyFont="1" applyAlignment="1">
      <alignment horizontal="right" vertical="center"/>
    </xf>
    <xf numFmtId="259" fontId="123" fillId="0" borderId="0" xfId="0" applyNumberFormat="1" applyFont="1" applyAlignment="1">
      <alignment horizontal="right" vertical="center"/>
    </xf>
    <xf numFmtId="3" fontId="123" fillId="0" borderId="0" xfId="0" applyNumberFormat="1" applyFont="1" applyAlignment="1">
      <alignment horizontal="right" vertical="center"/>
    </xf>
    <xf numFmtId="169" fontId="123" fillId="0" borderId="0" xfId="545" applyNumberFormat="1" applyFont="1" applyFill="1"/>
    <xf numFmtId="172" fontId="124" fillId="0" borderId="0" xfId="162" applyNumberFormat="1" applyFont="1" applyFill="1"/>
    <xf numFmtId="172" fontId="123" fillId="0" borderId="0" xfId="162" applyNumberFormat="1" applyFont="1" applyFill="1"/>
    <xf numFmtId="172" fontId="115" fillId="0" borderId="0" xfId="0" applyNumberFormat="1" applyFont="1"/>
    <xf numFmtId="37" fontId="113" fillId="0" borderId="0" xfId="0" applyNumberFormat="1" applyFont="1"/>
    <xf numFmtId="37" fontId="114" fillId="0" borderId="0" xfId="0" applyNumberFormat="1" applyFont="1"/>
    <xf numFmtId="37" fontId="115" fillId="0" borderId="0" xfId="162" applyNumberFormat="1" applyFont="1"/>
    <xf numFmtId="165" fontId="123" fillId="0" borderId="0" xfId="0" applyNumberFormat="1" applyFont="1"/>
    <xf numFmtId="170" fontId="115" fillId="0" borderId="0" xfId="162" applyNumberFormat="1" applyFont="1" applyFill="1" applyBorder="1"/>
    <xf numFmtId="0" fontId="111" fillId="26" borderId="0" xfId="0" applyFont="1" applyFill="1"/>
    <xf numFmtId="170" fontId="115" fillId="0" borderId="0" xfId="162" applyNumberFormat="1" applyFont="1" applyFill="1"/>
    <xf numFmtId="170" fontId="123" fillId="0" borderId="0" xfId="162" applyNumberFormat="1" applyFont="1" applyFill="1"/>
    <xf numFmtId="172" fontId="115" fillId="0" borderId="0" xfId="162" applyNumberFormat="1" applyFont="1" applyFill="1"/>
    <xf numFmtId="172" fontId="111" fillId="0" borderId="0" xfId="162" applyNumberFormat="1" applyFont="1" applyFill="1"/>
    <xf numFmtId="172" fontId="118" fillId="0" borderId="0" xfId="162" applyNumberFormat="1" applyFont="1" applyFill="1"/>
    <xf numFmtId="165" fontId="124" fillId="0" borderId="0" xfId="0" applyNumberFormat="1" applyFont="1"/>
    <xf numFmtId="261" fontId="124" fillId="0" borderId="0" xfId="0" applyNumberFormat="1" applyFont="1"/>
    <xf numFmtId="172" fontId="123" fillId="27" borderId="0" xfId="162" applyNumberFormat="1" applyFont="1" applyFill="1" applyBorder="1" applyAlignment="1">
      <alignment horizontal="right" wrapText="1"/>
    </xf>
    <xf numFmtId="172" fontId="115" fillId="27" borderId="0" xfId="162" applyNumberFormat="1" applyFont="1" applyFill="1" applyBorder="1" applyAlignment="1">
      <alignment horizontal="right" wrapText="1"/>
    </xf>
    <xf numFmtId="172" fontId="123" fillId="28" borderId="0" xfId="162" applyNumberFormat="1" applyFont="1" applyFill="1" applyBorder="1"/>
    <xf numFmtId="172" fontId="123" fillId="28" borderId="0" xfId="162" applyNumberFormat="1" applyFont="1" applyFill="1"/>
    <xf numFmtId="170" fontId="111" fillId="0" borderId="0" xfId="162" applyNumberFormat="1" applyFont="1" applyBorder="1"/>
    <xf numFmtId="172" fontId="111" fillId="0" borderId="0" xfId="162" applyNumberFormat="1" applyFont="1" applyBorder="1"/>
    <xf numFmtId="170" fontId="124" fillId="0" borderId="0" xfId="162" applyNumberFormat="1" applyFont="1" applyFill="1" applyBorder="1"/>
    <xf numFmtId="0" fontId="0" fillId="30" borderId="0" xfId="0" applyFill="1" applyAlignment="1">
      <alignment horizontal="right" vertical="center"/>
    </xf>
    <xf numFmtId="172" fontId="125" fillId="0" borderId="0" xfId="162" applyNumberFormat="1" applyFont="1" applyFill="1"/>
    <xf numFmtId="43" fontId="111" fillId="0" borderId="0" xfId="267" applyNumberFormat="1" applyFont="1"/>
    <xf numFmtId="170" fontId="111" fillId="0" borderId="0" xfId="162" applyNumberFormat="1" applyFont="1"/>
    <xf numFmtId="170" fontId="111" fillId="0" borderId="0" xfId="162" applyNumberFormat="1" applyFont="1" applyAlignment="1">
      <alignment horizontal="right"/>
    </xf>
    <xf numFmtId="170" fontId="115" fillId="0" borderId="39" xfId="162" applyNumberFormat="1" applyFont="1" applyFill="1" applyBorder="1" applyAlignment="1">
      <alignment horizontal="right"/>
    </xf>
    <xf numFmtId="170" fontId="111" fillId="0" borderId="7" xfId="162" applyNumberFormat="1" applyFont="1" applyBorder="1"/>
    <xf numFmtId="170" fontId="115" fillId="0" borderId="7" xfId="162" applyNumberFormat="1" applyFont="1" applyBorder="1"/>
    <xf numFmtId="170" fontId="115" fillId="0" borderId="6" xfId="162" applyNumberFormat="1" applyFont="1" applyBorder="1"/>
    <xf numFmtId="3" fontId="111" fillId="0" borderId="0" xfId="0" applyNumberFormat="1" applyFont="1"/>
    <xf numFmtId="170" fontId="123" fillId="0" borderId="0" xfId="162" applyNumberFormat="1" applyFont="1" applyFill="1" applyBorder="1"/>
    <xf numFmtId="169" fontId="126" fillId="27" borderId="0" xfId="545" applyNumberFormat="1" applyFont="1" applyFill="1"/>
    <xf numFmtId="172" fontId="123" fillId="0" borderId="0" xfId="162" applyNumberFormat="1" applyFont="1"/>
    <xf numFmtId="172" fontId="115" fillId="0" borderId="0" xfId="162" applyNumberFormat="1" applyFont="1"/>
    <xf numFmtId="0" fontId="127" fillId="0" borderId="0" xfId="267" applyFont="1"/>
    <xf numFmtId="170" fontId="127" fillId="0" borderId="0" xfId="162" applyNumberFormat="1" applyFont="1"/>
    <xf numFmtId="172" fontId="111" fillId="0" borderId="7" xfId="162" applyNumberFormat="1" applyFont="1" applyFill="1" applyBorder="1"/>
    <xf numFmtId="172" fontId="115" fillId="0" borderId="7" xfId="162" applyNumberFormat="1" applyFont="1" applyFill="1" applyBorder="1"/>
    <xf numFmtId="170" fontId="114" fillId="0" borderId="0" xfId="0" applyNumberFormat="1" applyFont="1"/>
    <xf numFmtId="170" fontId="111" fillId="0" borderId="0" xfId="0" applyNumberFormat="1" applyFont="1"/>
    <xf numFmtId="170" fontId="115" fillId="0" borderId="0" xfId="0" applyNumberFormat="1" applyFont="1"/>
    <xf numFmtId="3" fontId="123" fillId="0" borderId="0" xfId="0" applyNumberFormat="1" applyFont="1"/>
    <xf numFmtId="3" fontId="111" fillId="31" borderId="0" xfId="0" applyNumberFormat="1" applyFont="1" applyFill="1"/>
    <xf numFmtId="0" fontId="111" fillId="31" borderId="0" xfId="0" applyFont="1" applyFill="1"/>
    <xf numFmtId="168" fontId="125" fillId="26" borderId="0" xfId="0" applyNumberFormat="1" applyFont="1" applyFill="1" applyAlignment="1">
      <alignment horizontal="center"/>
    </xf>
    <xf numFmtId="0" fontId="128" fillId="0" borderId="0" xfId="0" applyFont="1"/>
    <xf numFmtId="0" fontId="128" fillId="0" borderId="0" xfId="0" applyFont="1" applyAlignment="1">
      <alignment horizontal="left" indent="1"/>
    </xf>
    <xf numFmtId="169" fontId="129" fillId="30" borderId="0" xfId="545" applyNumberFormat="1" applyFont="1" applyFill="1"/>
    <xf numFmtId="0" fontId="130" fillId="0" borderId="0" xfId="0" applyFont="1"/>
    <xf numFmtId="4" fontId="111" fillId="0" borderId="0" xfId="0" applyNumberFormat="1" applyFont="1"/>
    <xf numFmtId="168" fontId="115" fillId="0" borderId="0" xfId="0" applyNumberFormat="1" applyFont="1" applyAlignment="1">
      <alignment horizontal="right" vertical="center"/>
    </xf>
    <xf numFmtId="37" fontId="111" fillId="0" borderId="0" xfId="0" applyNumberFormat="1" applyFont="1" applyAlignment="1">
      <alignment horizontal="right" vertical="center"/>
    </xf>
    <xf numFmtId="172" fontId="111" fillId="0" borderId="0" xfId="162" applyNumberFormat="1" applyFont="1" applyFill="1" applyBorder="1" applyAlignment="1">
      <alignment horizontal="right" vertical="center"/>
    </xf>
    <xf numFmtId="259" fontId="111" fillId="0" borderId="0" xfId="0" applyNumberFormat="1" applyFont="1" applyAlignment="1">
      <alignment horizontal="right" vertical="center"/>
    </xf>
    <xf numFmtId="3" fontId="111" fillId="0" borderId="0" xfId="0" applyNumberFormat="1" applyFont="1" applyAlignment="1">
      <alignment horizontal="right" vertical="center"/>
    </xf>
    <xf numFmtId="172" fontId="111" fillId="0" borderId="0" xfId="0" applyNumberFormat="1" applyFont="1"/>
    <xf numFmtId="169" fontId="118" fillId="27" borderId="0" xfId="545" applyNumberFormat="1" applyFont="1" applyFill="1"/>
    <xf numFmtId="37" fontId="123" fillId="0" borderId="0" xfId="0" applyNumberFormat="1" applyFont="1"/>
    <xf numFmtId="170" fontId="111" fillId="0" borderId="0" xfId="162" applyNumberFormat="1" applyFont="1" applyFill="1"/>
    <xf numFmtId="165" fontId="111" fillId="29" borderId="0" xfId="0" applyNumberFormat="1" applyFont="1" applyFill="1"/>
    <xf numFmtId="165" fontId="111" fillId="0" borderId="0" xfId="0" applyNumberFormat="1" applyFont="1" applyAlignment="1">
      <alignment horizontal="right"/>
    </xf>
    <xf numFmtId="170" fontId="111" fillId="0" borderId="0" xfId="162" applyNumberFormat="1" applyFont="1" applyFill="1" applyBorder="1"/>
    <xf numFmtId="43" fontId="115" fillId="0" borderId="0" xfId="162" applyFont="1" applyFill="1" applyAlignment="1">
      <alignment horizontal="right"/>
    </xf>
    <xf numFmtId="43" fontId="115" fillId="0" borderId="0" xfId="162" applyFont="1" applyFill="1" applyBorder="1"/>
    <xf numFmtId="17" fontId="111" fillId="26" borderId="3" xfId="0" applyNumberFormat="1" applyFont="1" applyFill="1" applyBorder="1"/>
    <xf numFmtId="170" fontId="118" fillId="0" borderId="0" xfId="162" applyNumberFormat="1" applyFont="1" applyFill="1" applyBorder="1"/>
    <xf numFmtId="0" fontId="115" fillId="26" borderId="38" xfId="0" applyFont="1" applyFill="1" applyBorder="1" applyAlignment="1">
      <alignment horizontal="center" vertical="center"/>
    </xf>
    <xf numFmtId="168" fontId="115" fillId="26" borderId="0" xfId="0" applyNumberFormat="1" applyFont="1" applyFill="1" applyAlignment="1">
      <alignment horizontal="center" vertical="center"/>
    </xf>
    <xf numFmtId="0" fontId="115" fillId="0" borderId="0" xfId="0" applyFont="1" applyAlignment="1">
      <alignment horizontal="center" vertical="center"/>
    </xf>
    <xf numFmtId="0" fontId="113" fillId="0" borderId="0" xfId="0" applyFont="1" applyAlignment="1">
      <alignment horizontal="center" vertical="center"/>
    </xf>
    <xf numFmtId="170" fontId="118" fillId="27" borderId="0" xfId="162" applyNumberFormat="1" applyFont="1" applyFill="1" applyBorder="1"/>
    <xf numFmtId="172" fontId="118" fillId="27" borderId="0" xfId="162" applyNumberFormat="1" applyFont="1" applyFill="1" applyBorder="1"/>
    <xf numFmtId="172" fontId="128" fillId="0" borderId="0" xfId="162" applyNumberFormat="1" applyFont="1" applyFill="1" applyBorder="1"/>
    <xf numFmtId="172" fontId="118" fillId="0" borderId="0" xfId="162" applyNumberFormat="1" applyFont="1" applyFill="1" applyBorder="1"/>
    <xf numFmtId="9" fontId="111" fillId="0" borderId="0" xfId="545" applyFont="1" applyBorder="1"/>
    <xf numFmtId="172" fontId="115" fillId="0" borderId="0" xfId="162" applyNumberFormat="1" applyFont="1" applyBorder="1"/>
    <xf numFmtId="169" fontId="129" fillId="30" borderId="0" xfId="545" applyNumberFormat="1" applyFont="1" applyFill="1" applyBorder="1"/>
    <xf numFmtId="37" fontId="115" fillId="0" borderId="0" xfId="162" applyNumberFormat="1" applyFont="1" applyBorder="1"/>
    <xf numFmtId="169" fontId="119" fillId="0" borderId="0" xfId="545" applyNumberFormat="1" applyFont="1" applyFill="1" applyBorder="1"/>
    <xf numFmtId="257" fontId="115" fillId="0" borderId="0" xfId="0" applyNumberFormat="1" applyFont="1"/>
    <xf numFmtId="43" fontId="115" fillId="0" borderId="0" xfId="162" applyFont="1" applyFill="1" applyBorder="1" applyAlignment="1">
      <alignment horizontal="right"/>
    </xf>
    <xf numFmtId="169" fontId="118" fillId="27" borderId="0" xfId="545" applyNumberFormat="1" applyFont="1" applyFill="1" applyBorder="1" applyAlignment="1">
      <alignment horizontal="right"/>
    </xf>
    <xf numFmtId="9" fontId="118" fillId="27" borderId="0" xfId="545" applyFont="1" applyFill="1" applyBorder="1" applyAlignment="1">
      <alignment horizontal="right"/>
    </xf>
    <xf numFmtId="170" fontId="111" fillId="0" borderId="0" xfId="162" applyNumberFormat="1" applyFont="1" applyBorder="1" applyAlignment="1">
      <alignment horizontal="right"/>
    </xf>
    <xf numFmtId="172" fontId="123" fillId="0" borderId="0" xfId="162" applyNumberFormat="1" applyFont="1" applyBorder="1"/>
    <xf numFmtId="169" fontId="115" fillId="0" borderId="0" xfId="545" applyNumberFormat="1" applyFont="1" applyFill="1" applyBorder="1"/>
    <xf numFmtId="170" fontId="127" fillId="0" borderId="0" xfId="162" applyNumberFormat="1" applyFont="1" applyFill="1" applyBorder="1"/>
    <xf numFmtId="169" fontId="127" fillId="0" borderId="0" xfId="545" applyNumberFormat="1" applyFont="1" applyFill="1" applyBorder="1" applyAlignment="1">
      <alignment horizontal="left" indent="1"/>
    </xf>
    <xf numFmtId="170" fontId="124" fillId="0" borderId="0" xfId="162" applyNumberFormat="1" applyFont="1"/>
    <xf numFmtId="170" fontId="124" fillId="0" borderId="0" xfId="162" applyNumberFormat="1" applyFont="1" applyFill="1" applyBorder="1" applyAlignment="1">
      <alignment horizontal="centerContinuous"/>
    </xf>
    <xf numFmtId="165" fontId="127" fillId="0" borderId="0" xfId="0" applyNumberFormat="1" applyFont="1"/>
    <xf numFmtId="170" fontId="115" fillId="0" borderId="0" xfId="162" applyNumberFormat="1" applyFont="1" applyBorder="1"/>
    <xf numFmtId="0" fontId="115" fillId="0" borderId="46" xfId="0" applyFont="1" applyBorder="1"/>
    <xf numFmtId="170" fontId="124" fillId="0" borderId="0" xfId="0" applyNumberFormat="1" applyFont="1"/>
    <xf numFmtId="170" fontId="124" fillId="0" borderId="0" xfId="162" applyNumberFormat="1" applyFont="1" applyFill="1"/>
    <xf numFmtId="170" fontId="111" fillId="0" borderId="0" xfId="267" applyNumberFormat="1" applyFont="1"/>
    <xf numFmtId="0" fontId="115" fillId="0" borderId="8" xfId="267" applyFont="1" applyBorder="1"/>
    <xf numFmtId="165" fontId="111" fillId="0" borderId="12" xfId="0" applyNumberFormat="1" applyFont="1" applyBorder="1"/>
    <xf numFmtId="0" fontId="111" fillId="0" borderId="12" xfId="0" applyFont="1" applyBorder="1"/>
    <xf numFmtId="169" fontId="118" fillId="27" borderId="46" xfId="545" applyNumberFormat="1" applyFont="1" applyFill="1" applyBorder="1" applyAlignment="1">
      <alignment horizontal="right"/>
    </xf>
    <xf numFmtId="172" fontId="123" fillId="0" borderId="0" xfId="0" applyNumberFormat="1" applyFont="1"/>
    <xf numFmtId="172" fontId="111" fillId="0" borderId="0" xfId="162" applyNumberFormat="1" applyFont="1" applyBorder="1" applyAlignment="1">
      <alignment horizontal="right" vertical="center"/>
    </xf>
    <xf numFmtId="172" fontId="111" fillId="0" borderId="47" xfId="162" applyNumberFormat="1" applyFont="1" applyFill="1" applyBorder="1" applyAlignment="1">
      <alignment horizontal="right" vertical="center" wrapText="1"/>
    </xf>
    <xf numFmtId="172" fontId="111" fillId="0" borderId="48" xfId="162" applyNumberFormat="1" applyFont="1" applyFill="1" applyBorder="1" applyAlignment="1">
      <alignment horizontal="right" vertical="center" wrapText="1"/>
    </xf>
    <xf numFmtId="172" fontId="115" fillId="0" borderId="0" xfId="162" applyNumberFormat="1" applyFont="1" applyFill="1" applyBorder="1" applyAlignment="1">
      <alignment horizontal="centerContinuous"/>
    </xf>
    <xf numFmtId="172" fontId="111" fillId="0" borderId="0" xfId="162" applyNumberFormat="1" applyFont="1" applyFill="1" applyBorder="1" applyAlignment="1">
      <alignment horizontal="centerContinuous"/>
    </xf>
    <xf numFmtId="172" fontId="123" fillId="0" borderId="0" xfId="162" applyNumberFormat="1" applyFont="1" applyFill="1" applyBorder="1" applyAlignment="1">
      <alignment horizontal="left"/>
    </xf>
    <xf numFmtId="172" fontId="115" fillId="0" borderId="0" xfId="162" applyNumberFormat="1" applyFont="1" applyFill="1" applyBorder="1" applyAlignment="1">
      <alignment horizontal="left" vertical="center"/>
    </xf>
    <xf numFmtId="172" fontId="123" fillId="0" borderId="0" xfId="162" applyNumberFormat="1" applyFont="1" applyFill="1" applyBorder="1" applyAlignment="1">
      <alignment horizontal="left" vertical="center"/>
    </xf>
    <xf numFmtId="172" fontId="111" fillId="0" borderId="0" xfId="162" applyNumberFormat="1" applyFont="1" applyFill="1" applyBorder="1" applyAlignment="1">
      <alignment horizontal="left" vertical="center"/>
    </xf>
    <xf numFmtId="3" fontId="115" fillId="0" borderId="0" xfId="0" applyNumberFormat="1" applyFont="1"/>
    <xf numFmtId="168" fontId="115" fillId="26" borderId="3" xfId="0" applyNumberFormat="1" applyFont="1" applyFill="1" applyBorder="1" applyAlignment="1">
      <alignment horizontal="center"/>
    </xf>
    <xf numFmtId="0" fontId="115" fillId="26" borderId="38" xfId="0" applyFont="1" applyFill="1" applyBorder="1" applyAlignment="1">
      <alignment horizontal="center"/>
    </xf>
    <xf numFmtId="172" fontId="115" fillId="0" borderId="0" xfId="162" applyNumberFormat="1" applyFont="1" applyFill="1" applyBorder="1" applyAlignment="1">
      <alignment horizontal="center"/>
    </xf>
    <xf numFmtId="172" fontId="111" fillId="0" borderId="0" xfId="162" applyNumberFormat="1" applyFont="1" applyFill="1" applyBorder="1" applyAlignment="1">
      <alignment horizontal="center"/>
    </xf>
    <xf numFmtId="172" fontId="115" fillId="0" borderId="0" xfId="162" applyNumberFormat="1" applyFont="1" applyFill="1" applyBorder="1" applyAlignment="1">
      <alignment horizontal="center" vertical="center"/>
    </xf>
    <xf numFmtId="261" fontId="115" fillId="0" borderId="0" xfId="0" applyNumberFormat="1" applyFont="1"/>
    <xf numFmtId="165" fontId="125" fillId="0" borderId="0" xfId="0" applyNumberFormat="1" applyFont="1"/>
    <xf numFmtId="39" fontId="115" fillId="0" borderId="0" xfId="0" applyNumberFormat="1" applyFont="1"/>
    <xf numFmtId="262" fontId="111" fillId="0" borderId="0" xfId="0" applyNumberFormat="1" applyFont="1"/>
    <xf numFmtId="263" fontId="115" fillId="0" borderId="0" xfId="0" applyNumberFormat="1" applyFont="1"/>
    <xf numFmtId="169" fontId="123" fillId="0" borderId="0" xfId="545" applyNumberFormat="1" applyFont="1" applyFill="1" applyBorder="1"/>
    <xf numFmtId="0" fontId="111" fillId="0" borderId="24" xfId="267" applyFont="1" applyBorder="1"/>
    <xf numFmtId="0" fontId="111" fillId="0" borderId="10" xfId="267" applyFont="1" applyBorder="1"/>
    <xf numFmtId="172" fontId="111" fillId="0" borderId="27" xfId="162" applyNumberFormat="1" applyFont="1" applyBorder="1" applyAlignment="1">
      <alignment horizontal="right" vertical="center"/>
    </xf>
    <xf numFmtId="0" fontId="115" fillId="0" borderId="49" xfId="267" applyFont="1" applyBorder="1" applyAlignment="1">
      <alignment horizontal="left" wrapText="1"/>
    </xf>
    <xf numFmtId="0" fontId="111" fillId="0" borderId="50" xfId="267" applyFont="1" applyBorder="1" applyAlignment="1">
      <alignment horizontal="left" wrapText="1"/>
    </xf>
    <xf numFmtId="172" fontId="111" fillId="0" borderId="12" xfId="162" applyNumberFormat="1" applyFont="1" applyBorder="1" applyAlignment="1">
      <alignment horizontal="right" vertical="center"/>
    </xf>
    <xf numFmtId="172" fontId="111" fillId="0" borderId="51" xfId="162" applyNumberFormat="1" applyFont="1" applyBorder="1" applyAlignment="1">
      <alignment horizontal="right" vertical="center"/>
    </xf>
    <xf numFmtId="0" fontId="115" fillId="0" borderId="42" xfId="267" applyFont="1" applyBorder="1"/>
    <xf numFmtId="172" fontId="115" fillId="0" borderId="52" xfId="162" applyNumberFormat="1" applyFont="1" applyFill="1" applyBorder="1" applyAlignment="1">
      <alignment horizontal="right" vertical="center" wrapText="1"/>
    </xf>
    <xf numFmtId="172" fontId="115" fillId="0" borderId="47" xfId="162" applyNumberFormat="1" applyFont="1" applyFill="1" applyBorder="1" applyAlignment="1">
      <alignment horizontal="right" vertical="center" wrapText="1"/>
    </xf>
    <xf numFmtId="170" fontId="127" fillId="0" borderId="0" xfId="162" applyNumberFormat="1" applyFont="1" applyFill="1"/>
    <xf numFmtId="0" fontId="115" fillId="0" borderId="24" xfId="267" applyFont="1" applyBorder="1" applyAlignment="1">
      <alignment horizontal="right"/>
    </xf>
    <xf numFmtId="172" fontId="111" fillId="0" borderId="0" xfId="162" applyNumberFormat="1" applyFont="1" applyBorder="1" applyAlignment="1">
      <alignment horizontal="right"/>
    </xf>
    <xf numFmtId="172" fontId="111" fillId="0" borderId="0" xfId="162" applyNumberFormat="1" applyFont="1" applyFill="1" applyBorder="1" applyAlignment="1">
      <alignment horizontal="right"/>
    </xf>
    <xf numFmtId="0" fontId="115" fillId="0" borderId="53" xfId="267" applyFont="1" applyBorder="1" applyAlignment="1">
      <alignment horizontal="right" wrapText="1"/>
    </xf>
    <xf numFmtId="0" fontId="115" fillId="0" borderId="54" xfId="267" applyFont="1" applyBorder="1" applyAlignment="1">
      <alignment horizontal="right" wrapText="1"/>
    </xf>
    <xf numFmtId="43" fontId="111" fillId="0" borderId="0" xfId="162" applyFont="1" applyFill="1" applyBorder="1" applyAlignment="1">
      <alignment horizontal="centerContinuous"/>
    </xf>
    <xf numFmtId="39" fontId="111" fillId="0" borderId="0" xfId="0" applyNumberFormat="1" applyFont="1"/>
    <xf numFmtId="43" fontId="111" fillId="0" borderId="0" xfId="162" applyFont="1" applyFill="1" applyBorder="1" applyAlignment="1">
      <alignment horizontal="left" vertical="center"/>
    </xf>
    <xf numFmtId="169" fontId="111" fillId="0" borderId="0" xfId="545" applyNumberFormat="1" applyFont="1" applyFill="1"/>
    <xf numFmtId="259" fontId="115" fillId="0" borderId="0" xfId="267" applyNumberFormat="1" applyFont="1"/>
    <xf numFmtId="17" fontId="115" fillId="27" borderId="8" xfId="267" applyNumberFormat="1" applyFont="1" applyFill="1" applyBorder="1" applyAlignment="1">
      <alignment horizontal="left" wrapText="1"/>
    </xf>
    <xf numFmtId="172" fontId="111" fillId="27" borderId="0" xfId="162" applyNumberFormat="1" applyFont="1" applyFill="1" applyBorder="1" applyAlignment="1">
      <alignment horizontal="right" wrapText="1"/>
    </xf>
    <xf numFmtId="264" fontId="115" fillId="28" borderId="0" xfId="268" applyNumberFormat="1" applyFont="1" applyFill="1"/>
    <xf numFmtId="3" fontId="115" fillId="28" borderId="0" xfId="268" applyNumberFormat="1" applyFont="1" applyFill="1"/>
    <xf numFmtId="3" fontId="115" fillId="28" borderId="0" xfId="162" applyNumberFormat="1" applyFont="1" applyFill="1" applyBorder="1"/>
    <xf numFmtId="3" fontId="111" fillId="0" borderId="0" xfId="267" applyNumberFormat="1" applyFont="1"/>
    <xf numFmtId="3" fontId="111" fillId="0" borderId="14" xfId="267" applyNumberFormat="1" applyFont="1" applyBorder="1"/>
    <xf numFmtId="43" fontId="115" fillId="0" borderId="0" xfId="267" applyNumberFormat="1" applyFont="1"/>
    <xf numFmtId="170" fontId="111" fillId="0" borderId="0" xfId="0" applyNumberFormat="1" applyFont="1" applyAlignment="1">
      <alignment horizontal="right"/>
    </xf>
    <xf numFmtId="170" fontId="123" fillId="0" borderId="0" xfId="0" applyNumberFormat="1" applyFont="1"/>
    <xf numFmtId="172" fontId="115" fillId="0" borderId="8" xfId="162" applyNumberFormat="1" applyFont="1" applyFill="1" applyBorder="1"/>
    <xf numFmtId="172" fontId="123" fillId="0" borderId="0" xfId="162" applyNumberFormat="1" applyFont="1" applyBorder="1" applyAlignment="1">
      <alignment horizontal="right"/>
    </xf>
    <xf numFmtId="172" fontId="123" fillId="0" borderId="0" xfId="162" applyNumberFormat="1" applyFont="1" applyFill="1" applyBorder="1" applyAlignment="1">
      <alignment horizontal="right"/>
    </xf>
    <xf numFmtId="0" fontId="115" fillId="26" borderId="3" xfId="0" applyFont="1" applyFill="1" applyBorder="1" applyAlignment="1">
      <alignment horizontal="center"/>
    </xf>
    <xf numFmtId="172" fontId="115" fillId="0" borderId="0" xfId="162" applyNumberFormat="1" applyFont="1" applyFill="1" applyBorder="1" applyAlignment="1">
      <alignment horizontal="right"/>
    </xf>
    <xf numFmtId="43" fontId="111" fillId="0" borderId="0" xfId="162" applyFont="1" applyFill="1" applyBorder="1" applyAlignment="1">
      <alignment horizontal="right"/>
    </xf>
    <xf numFmtId="170" fontId="124" fillId="0" borderId="0" xfId="162" applyNumberFormat="1" applyFont="1" applyFill="1" applyBorder="1" applyAlignment="1">
      <alignment horizontal="right"/>
    </xf>
    <xf numFmtId="172" fontId="123" fillId="30" borderId="0" xfId="162" applyNumberFormat="1" applyFont="1" applyFill="1"/>
    <xf numFmtId="0" fontId="115" fillId="27" borderId="8" xfId="268" applyFont="1" applyFill="1" applyBorder="1"/>
    <xf numFmtId="172" fontId="115" fillId="27" borderId="8" xfId="162" applyNumberFormat="1" applyFont="1" applyFill="1" applyBorder="1"/>
    <xf numFmtId="258" fontId="115" fillId="27" borderId="8" xfId="268" applyNumberFormat="1" applyFont="1" applyFill="1" applyBorder="1"/>
    <xf numFmtId="0" fontId="111" fillId="27" borderId="0" xfId="268" applyFont="1" applyFill="1"/>
    <xf numFmtId="258" fontId="111" fillId="27" borderId="0" xfId="268" applyNumberFormat="1" applyFont="1" applyFill="1"/>
    <xf numFmtId="3" fontId="111" fillId="27" borderId="0" xfId="268" applyNumberFormat="1" applyFont="1" applyFill="1"/>
    <xf numFmtId="258" fontId="115" fillId="27" borderId="0" xfId="268" applyNumberFormat="1" applyFont="1" applyFill="1"/>
    <xf numFmtId="264" fontId="115" fillId="27" borderId="0" xfId="268" applyNumberFormat="1" applyFont="1" applyFill="1"/>
    <xf numFmtId="265" fontId="111" fillId="0" borderId="0" xfId="267" applyNumberFormat="1" applyFont="1" applyAlignment="1">
      <alignment horizontal="center" wrapText="1"/>
    </xf>
    <xf numFmtId="37" fontId="111" fillId="0" borderId="0" xfId="267" applyNumberFormat="1" applyFont="1"/>
    <xf numFmtId="170" fontId="115" fillId="0" borderId="0" xfId="162" applyNumberFormat="1" applyFont="1" applyFill="1" applyBorder="1" applyAlignment="1">
      <alignment horizontal="right"/>
    </xf>
    <xf numFmtId="0" fontId="111" fillId="26" borderId="3" xfId="0" applyFont="1" applyFill="1" applyBorder="1" applyAlignment="1">
      <alignment horizontal="center"/>
    </xf>
    <xf numFmtId="168" fontId="122" fillId="26" borderId="3" xfId="0" applyNumberFormat="1" applyFont="1" applyFill="1" applyBorder="1" applyAlignment="1">
      <alignment horizontal="center"/>
    </xf>
    <xf numFmtId="168" fontId="115" fillId="26" borderId="8" xfId="0" applyNumberFormat="1" applyFont="1" applyFill="1" applyBorder="1" applyAlignment="1">
      <alignment horizontal="center"/>
    </xf>
    <xf numFmtId="0" fontId="115" fillId="0" borderId="0" xfId="0" applyFont="1" applyAlignment="1">
      <alignment horizontal="center"/>
    </xf>
    <xf numFmtId="169" fontId="123" fillId="30" borderId="0" xfId="545" applyNumberFormat="1" applyFont="1" applyFill="1" applyBorder="1" applyAlignment="1">
      <alignment horizontal="right" vertical="center"/>
    </xf>
    <xf numFmtId="172" fontId="111" fillId="30" borderId="0" xfId="162" applyNumberFormat="1" applyFont="1" applyFill="1"/>
    <xf numFmtId="0" fontId="115" fillId="29" borderId="0" xfId="267" applyFont="1" applyFill="1"/>
    <xf numFmtId="172" fontId="123" fillId="0" borderId="32" xfId="162" applyNumberFormat="1" applyFont="1" applyBorder="1" applyAlignment="1">
      <alignment horizontal="right"/>
    </xf>
    <xf numFmtId="172" fontId="123" fillId="0" borderId="32" xfId="162" applyNumberFormat="1" applyFont="1" applyFill="1" applyBorder="1" applyAlignment="1">
      <alignment horizontal="right"/>
    </xf>
    <xf numFmtId="0" fontId="115" fillId="0" borderId="40" xfId="267" applyFont="1" applyBorder="1"/>
    <xf numFmtId="0" fontId="115" fillId="0" borderId="53" xfId="267" applyFont="1" applyBorder="1"/>
    <xf numFmtId="0" fontId="115" fillId="0" borderId="41" xfId="267" applyFont="1" applyBorder="1"/>
    <xf numFmtId="3" fontId="111" fillId="0" borderId="27" xfId="267" applyNumberFormat="1" applyFont="1" applyBorder="1"/>
    <xf numFmtId="259" fontId="111" fillId="0" borderId="55" xfId="267" applyNumberFormat="1" applyFont="1" applyBorder="1"/>
    <xf numFmtId="0" fontId="111" fillId="0" borderId="28" xfId="267" applyFont="1" applyBorder="1"/>
    <xf numFmtId="168" fontId="115" fillId="0" borderId="0" xfId="0" applyNumberFormat="1" applyFont="1" applyAlignment="1">
      <alignment horizontal="center"/>
    </xf>
    <xf numFmtId="168" fontId="125" fillId="0" borderId="0" xfId="0" applyNumberFormat="1" applyFont="1" applyAlignment="1">
      <alignment horizontal="center"/>
    </xf>
    <xf numFmtId="169" fontId="118" fillId="0" borderId="0" xfId="0" applyNumberFormat="1" applyFont="1"/>
    <xf numFmtId="168" fontId="115" fillId="0" borderId="0" xfId="0" applyNumberFormat="1" applyFont="1" applyAlignment="1">
      <alignment horizontal="left"/>
    </xf>
    <xf numFmtId="17" fontId="111" fillId="0" borderId="0" xfId="0" applyNumberFormat="1" applyFont="1"/>
    <xf numFmtId="169" fontId="118" fillId="0" borderId="0" xfId="545" applyNumberFormat="1" applyFont="1" applyFill="1" applyBorder="1" applyAlignment="1">
      <alignment horizontal="right"/>
    </xf>
    <xf numFmtId="9" fontId="118" fillId="0" borderId="0" xfId="545" applyFont="1" applyFill="1" applyBorder="1" applyAlignment="1">
      <alignment horizontal="right"/>
    </xf>
    <xf numFmtId="170" fontId="111" fillId="0" borderId="0" xfId="162" applyNumberFormat="1" applyFont="1" applyFill="1" applyBorder="1" applyAlignment="1">
      <alignment horizontal="right"/>
    </xf>
    <xf numFmtId="168" fontId="122" fillId="0" borderId="0" xfId="0" applyNumberFormat="1" applyFont="1" applyAlignment="1">
      <alignment horizontal="center"/>
    </xf>
    <xf numFmtId="169" fontId="129" fillId="0" borderId="0" xfId="545" applyNumberFormat="1" applyFont="1" applyFill="1" applyBorder="1"/>
    <xf numFmtId="37" fontId="115" fillId="0" borderId="0" xfId="162" applyNumberFormat="1" applyFont="1" applyFill="1" applyBorder="1"/>
    <xf numFmtId="39" fontId="130" fillId="0" borderId="0" xfId="0" applyNumberFormat="1" applyFont="1"/>
    <xf numFmtId="172" fontId="131" fillId="0" borderId="0" xfId="162" applyNumberFormat="1" applyFont="1" applyFill="1" applyBorder="1"/>
    <xf numFmtId="169" fontId="111" fillId="0" borderId="7" xfId="545" applyNumberFormat="1" applyFont="1" applyFill="1" applyBorder="1"/>
    <xf numFmtId="169" fontId="111" fillId="0" borderId="0" xfId="0" applyNumberFormat="1" applyFont="1"/>
    <xf numFmtId="169" fontId="115" fillId="0" borderId="0" xfId="0" applyNumberFormat="1" applyFont="1"/>
    <xf numFmtId="262" fontId="115" fillId="0" borderId="0" xfId="0" applyNumberFormat="1" applyFont="1"/>
    <xf numFmtId="263" fontId="111" fillId="0" borderId="0" xfId="0" applyNumberFormat="1" applyFont="1"/>
    <xf numFmtId="170" fontId="115" fillId="0" borderId="0" xfId="0" applyNumberFormat="1" applyFont="1" applyAlignment="1">
      <alignment horizontal="right"/>
    </xf>
    <xf numFmtId="172" fontId="111" fillId="0" borderId="0" xfId="162" applyNumberFormat="1" applyFont="1" applyFill="1" applyBorder="1" applyAlignment="1">
      <alignment horizontal="left"/>
    </xf>
    <xf numFmtId="172" fontId="115" fillId="0" borderId="0" xfId="162" applyNumberFormat="1" applyFont="1" applyFill="1" applyBorder="1" applyAlignment="1">
      <alignment horizontal="left"/>
    </xf>
    <xf numFmtId="43" fontId="111" fillId="0" borderId="0" xfId="162" applyFont="1" applyFill="1" applyBorder="1" applyAlignment="1">
      <alignment horizontal="left"/>
    </xf>
    <xf numFmtId="165" fontId="115" fillId="0" borderId="0" xfId="162" applyNumberFormat="1" applyFont="1"/>
    <xf numFmtId="172" fontId="123" fillId="32" borderId="0" xfId="162" applyNumberFormat="1" applyFont="1" applyFill="1" applyBorder="1" applyAlignment="1">
      <alignment horizontal="right" wrapText="1"/>
    </xf>
    <xf numFmtId="172" fontId="111" fillId="0" borderId="32" xfId="162" applyNumberFormat="1" applyFont="1" applyBorder="1" applyAlignment="1">
      <alignment horizontal="right"/>
    </xf>
    <xf numFmtId="165" fontId="113" fillId="30" borderId="0" xfId="0" applyNumberFormat="1" applyFont="1" applyFill="1"/>
    <xf numFmtId="165" fontId="114" fillId="0" borderId="0" xfId="0" quotePrefix="1" applyNumberFormat="1" applyFont="1" applyAlignment="1">
      <alignment horizontal="right"/>
    </xf>
    <xf numFmtId="1" fontId="111" fillId="27" borderId="0" xfId="162" applyNumberFormat="1" applyFont="1" applyFill="1" applyBorder="1" applyAlignment="1">
      <alignment horizontal="right" wrapText="1"/>
    </xf>
    <xf numFmtId="172" fontId="123" fillId="33" borderId="0" xfId="162" applyNumberFormat="1" applyFont="1" applyFill="1" applyBorder="1" applyAlignment="1">
      <alignment horizontal="right" vertical="center"/>
    </xf>
    <xf numFmtId="259" fontId="123" fillId="33" borderId="0" xfId="0" applyNumberFormat="1" applyFont="1" applyFill="1" applyAlignment="1">
      <alignment horizontal="right" vertical="center"/>
    </xf>
    <xf numFmtId="3" fontId="123" fillId="33" borderId="0" xfId="0" applyNumberFormat="1" applyFont="1" applyFill="1" applyAlignment="1">
      <alignment horizontal="right" vertical="center"/>
    </xf>
    <xf numFmtId="172" fontId="131" fillId="0" borderId="0" xfId="162" applyNumberFormat="1" applyFont="1" applyFill="1"/>
    <xf numFmtId="169" fontId="123" fillId="29" borderId="0" xfId="545" applyNumberFormat="1" applyFont="1" applyFill="1"/>
    <xf numFmtId="170" fontId="123" fillId="0" borderId="0" xfId="162" applyNumberFormat="1" applyFont="1" applyFill="1" applyAlignment="1">
      <alignment horizontal="right" vertical="center"/>
    </xf>
    <xf numFmtId="172" fontId="123" fillId="0" borderId="0" xfId="162" applyNumberFormat="1" applyFont="1" applyFill="1" applyAlignment="1">
      <alignment horizontal="right" vertical="center"/>
    </xf>
    <xf numFmtId="43" fontId="124" fillId="0" borderId="0" xfId="162" applyFont="1" applyFill="1" applyBorder="1" applyAlignment="1">
      <alignment horizontal="right"/>
    </xf>
    <xf numFmtId="1" fontId="111" fillId="0" borderId="27" xfId="162" applyNumberFormat="1" applyFont="1" applyBorder="1" applyAlignment="1">
      <alignment horizontal="right" vertical="center"/>
    </xf>
    <xf numFmtId="169" fontId="123" fillId="0" borderId="0" xfId="545" applyNumberFormat="1" applyFont="1" applyFill="1" applyAlignment="1">
      <alignment horizontal="right"/>
    </xf>
    <xf numFmtId="172" fontId="123" fillId="0" borderId="56" xfId="162" applyNumberFormat="1" applyFont="1" applyBorder="1" applyAlignment="1">
      <alignment horizontal="right"/>
    </xf>
    <xf numFmtId="0" fontId="115" fillId="0" borderId="53" xfId="267" applyFont="1" applyBorder="1" applyAlignment="1">
      <alignment horizontal="right"/>
    </xf>
    <xf numFmtId="0" fontId="115" fillId="0" borderId="41" xfId="267" applyFont="1" applyBorder="1" applyAlignment="1">
      <alignment horizontal="right"/>
    </xf>
    <xf numFmtId="0" fontId="108" fillId="0" borderId="0" xfId="0" applyFont="1"/>
    <xf numFmtId="0" fontId="115" fillId="28" borderId="57" xfId="268" applyFont="1" applyFill="1" applyBorder="1"/>
    <xf numFmtId="258" fontId="115" fillId="28" borderId="58" xfId="268" applyNumberFormat="1" applyFont="1" applyFill="1" applyBorder="1"/>
    <xf numFmtId="0" fontId="111" fillId="28" borderId="21" xfId="268" applyFont="1" applyFill="1" applyBorder="1"/>
    <xf numFmtId="258" fontId="111" fillId="28" borderId="27" xfId="268" applyNumberFormat="1" applyFont="1" applyFill="1" applyBorder="1"/>
    <xf numFmtId="0" fontId="115" fillId="27" borderId="27" xfId="267" applyFont="1" applyFill="1" applyBorder="1" applyAlignment="1">
      <alignment horizontal="right" wrapText="1"/>
    </xf>
    <xf numFmtId="0" fontId="115" fillId="28" borderId="21" xfId="268" applyFont="1" applyFill="1" applyBorder="1"/>
    <xf numFmtId="258" fontId="115" fillId="28" borderId="27" xfId="268" applyNumberFormat="1" applyFont="1" applyFill="1" applyBorder="1"/>
    <xf numFmtId="172" fontId="115" fillId="0" borderId="10" xfId="162" applyNumberFormat="1" applyFont="1" applyFill="1" applyBorder="1"/>
    <xf numFmtId="0" fontId="111" fillId="0" borderId="9" xfId="267" applyFont="1" applyBorder="1"/>
    <xf numFmtId="0" fontId="111" fillId="0" borderId="20" xfId="267" applyFont="1" applyBorder="1"/>
    <xf numFmtId="0" fontId="115" fillId="29" borderId="59" xfId="267" applyFont="1" applyFill="1" applyBorder="1"/>
    <xf numFmtId="17" fontId="115" fillId="27" borderId="40" xfId="267" applyNumberFormat="1" applyFont="1" applyFill="1" applyBorder="1" applyAlignment="1">
      <alignment horizontal="left" wrapText="1"/>
    </xf>
    <xf numFmtId="0" fontId="115" fillId="27" borderId="60" xfId="267" applyFont="1" applyFill="1" applyBorder="1" applyAlignment="1">
      <alignment horizontal="right" wrapText="1"/>
    </xf>
    <xf numFmtId="0" fontId="115" fillId="27" borderId="41" xfId="267" applyFont="1" applyFill="1" applyBorder="1" applyAlignment="1">
      <alignment horizontal="right" wrapText="1"/>
    </xf>
    <xf numFmtId="258" fontId="115" fillId="27" borderId="27" xfId="268" applyNumberFormat="1" applyFont="1" applyFill="1" applyBorder="1"/>
    <xf numFmtId="0" fontId="111" fillId="27" borderId="21" xfId="268" applyFont="1" applyFill="1" applyBorder="1"/>
    <xf numFmtId="258" fontId="111" fillId="27" borderId="27" xfId="268" applyNumberFormat="1" applyFont="1" applyFill="1" applyBorder="1"/>
    <xf numFmtId="0" fontId="111" fillId="28" borderId="21" xfId="267" applyFont="1" applyFill="1" applyBorder="1" applyAlignment="1">
      <alignment horizontal="center" wrapText="1"/>
    </xf>
    <xf numFmtId="0" fontId="111" fillId="28" borderId="0" xfId="267" applyFont="1" applyFill="1" applyAlignment="1">
      <alignment horizontal="center" wrapText="1"/>
    </xf>
    <xf numFmtId="0" fontId="111" fillId="28" borderId="27" xfId="267" applyFont="1" applyFill="1" applyBorder="1" applyAlignment="1">
      <alignment horizontal="center" wrapText="1"/>
    </xf>
    <xf numFmtId="0" fontId="115" fillId="28" borderId="42" xfId="268" applyFont="1" applyFill="1" applyBorder="1"/>
    <xf numFmtId="172" fontId="115" fillId="28" borderId="52" xfId="162" applyNumberFormat="1" applyFont="1" applyFill="1" applyBorder="1"/>
    <xf numFmtId="258" fontId="115" fillId="28" borderId="47" xfId="268" applyNumberFormat="1" applyFont="1" applyFill="1" applyBorder="1"/>
    <xf numFmtId="0" fontId="111" fillId="27" borderId="21" xfId="267" applyFont="1" applyFill="1" applyBorder="1" applyAlignment="1">
      <alignment horizontal="left" wrapText="1"/>
    </xf>
    <xf numFmtId="0" fontId="111" fillId="27" borderId="27" xfId="267" applyFont="1" applyFill="1" applyBorder="1" applyAlignment="1">
      <alignment horizontal="right" wrapText="1"/>
    </xf>
    <xf numFmtId="0" fontId="115" fillId="27" borderId="21" xfId="267" applyFont="1" applyFill="1" applyBorder="1" applyAlignment="1">
      <alignment horizontal="left" wrapText="1"/>
    </xf>
    <xf numFmtId="0" fontId="115" fillId="27" borderId="57" xfId="268" applyFont="1" applyFill="1" applyBorder="1"/>
    <xf numFmtId="258" fontId="115" fillId="27" borderId="58" xfId="268" applyNumberFormat="1" applyFont="1" applyFill="1" applyBorder="1"/>
    <xf numFmtId="264" fontId="115" fillId="27" borderId="27" xfId="268" applyNumberFormat="1" applyFont="1" applyFill="1" applyBorder="1"/>
    <xf numFmtId="0" fontId="115" fillId="28" borderId="22" xfId="268" applyFont="1" applyFill="1" applyBorder="1"/>
    <xf numFmtId="3" fontId="115" fillId="28" borderId="10" xfId="268" applyNumberFormat="1" applyFont="1" applyFill="1" applyBorder="1"/>
    <xf numFmtId="0" fontId="111" fillId="28" borderId="28" xfId="268" applyFont="1" applyFill="1" applyBorder="1"/>
    <xf numFmtId="0" fontId="111" fillId="0" borderId="23" xfId="267" applyFont="1" applyBorder="1"/>
    <xf numFmtId="3" fontId="111" fillId="0" borderId="24" xfId="267" applyNumberFormat="1" applyFont="1" applyBorder="1"/>
    <xf numFmtId="170" fontId="111" fillId="0" borderId="26" xfId="267" applyNumberFormat="1" applyFont="1" applyBorder="1"/>
    <xf numFmtId="0" fontId="111" fillId="0" borderId="21" xfId="267" applyFont="1" applyBorder="1"/>
    <xf numFmtId="170" fontId="111" fillId="0" borderId="27" xfId="162" applyNumberFormat="1" applyFont="1" applyBorder="1"/>
    <xf numFmtId="0" fontId="115" fillId="0" borderId="57" xfId="267" applyFont="1" applyBorder="1"/>
    <xf numFmtId="0" fontId="111" fillId="0" borderId="27" xfId="267" applyFont="1" applyBorder="1"/>
    <xf numFmtId="0" fontId="111" fillId="0" borderId="22" xfId="267" applyFont="1" applyBorder="1"/>
    <xf numFmtId="3" fontId="111" fillId="0" borderId="10" xfId="267" applyNumberFormat="1" applyFont="1" applyBorder="1"/>
    <xf numFmtId="170" fontId="111" fillId="0" borderId="28" xfId="267" applyNumberFormat="1" applyFont="1" applyBorder="1"/>
    <xf numFmtId="37" fontId="115" fillId="0" borderId="0" xfId="162" applyNumberFormat="1" applyFont="1" applyFill="1"/>
    <xf numFmtId="259" fontId="115" fillId="0" borderId="0" xfId="0" applyNumberFormat="1" applyFont="1" applyAlignment="1">
      <alignment horizontal="right"/>
    </xf>
    <xf numFmtId="43" fontId="111" fillId="0" borderId="28" xfId="267" applyNumberFormat="1" applyFont="1" applyBorder="1"/>
    <xf numFmtId="172" fontId="111" fillId="0" borderId="55" xfId="162" applyNumberFormat="1" applyFont="1" applyBorder="1" applyAlignment="1">
      <alignment horizontal="right"/>
    </xf>
    <xf numFmtId="0" fontId="115" fillId="0" borderId="22" xfId="267" applyFont="1" applyBorder="1"/>
    <xf numFmtId="172" fontId="115" fillId="0" borderId="28" xfId="162" applyNumberFormat="1" applyFont="1" applyFill="1" applyBorder="1"/>
    <xf numFmtId="172" fontId="115" fillId="0" borderId="20" xfId="162" applyNumberFormat="1" applyFont="1" applyFill="1" applyBorder="1"/>
    <xf numFmtId="172" fontId="123" fillId="0" borderId="55" xfId="162" applyNumberFormat="1" applyFont="1" applyBorder="1" applyAlignment="1">
      <alignment horizontal="right"/>
    </xf>
    <xf numFmtId="172" fontId="111" fillId="0" borderId="56" xfId="162" applyNumberFormat="1" applyFont="1" applyBorder="1" applyAlignment="1">
      <alignment horizontal="right"/>
    </xf>
    <xf numFmtId="172" fontId="114" fillId="0" borderId="0" xfId="0" applyNumberFormat="1" applyFont="1"/>
    <xf numFmtId="172" fontId="123" fillId="0" borderId="0" xfId="162" applyNumberFormat="1" applyFont="1" applyFill="1" applyBorder="1" applyAlignment="1">
      <alignment horizontal="right" wrapText="1"/>
    </xf>
    <xf numFmtId="172" fontId="115" fillId="0" borderId="0" xfId="162" applyNumberFormat="1" applyFont="1" applyFill="1" applyBorder="1" applyAlignment="1">
      <alignment horizontal="right" wrapText="1"/>
    </xf>
    <xf numFmtId="172" fontId="123" fillId="0" borderId="55" xfId="162" applyNumberFormat="1" applyFont="1" applyFill="1" applyBorder="1" applyAlignment="1">
      <alignment horizontal="right"/>
    </xf>
    <xf numFmtId="0" fontId="111" fillId="0" borderId="0" xfId="0" applyFont="1" applyAlignment="1">
      <alignment horizontal="right"/>
    </xf>
    <xf numFmtId="258" fontId="115" fillId="27" borderId="0" xfId="0" applyNumberFormat="1" applyFont="1" applyFill="1" applyAlignment="1">
      <alignment horizontal="right"/>
    </xf>
    <xf numFmtId="258" fontId="111" fillId="27" borderId="0" xfId="0" applyNumberFormat="1" applyFont="1" applyFill="1" applyAlignment="1">
      <alignment horizontal="right"/>
    </xf>
    <xf numFmtId="2" fontId="111" fillId="27" borderId="0" xfId="0" applyNumberFormat="1" applyFont="1" applyFill="1"/>
    <xf numFmtId="259" fontId="111" fillId="27" borderId="0" xfId="0" applyNumberFormat="1" applyFont="1" applyFill="1"/>
    <xf numFmtId="0" fontId="111" fillId="0" borderId="0" xfId="0" applyFont="1" applyAlignment="1">
      <alignment horizontal="center"/>
    </xf>
    <xf numFmtId="9" fontId="113" fillId="0" borderId="0" xfId="545" applyFont="1" applyFill="1" applyBorder="1"/>
    <xf numFmtId="266" fontId="113" fillId="0" borderId="0" xfId="0" applyNumberFormat="1" applyFont="1"/>
    <xf numFmtId="0" fontId="115" fillId="0" borderId="0" xfId="0" applyFont="1" applyAlignment="1">
      <alignment horizontal="centerContinuous"/>
    </xf>
    <xf numFmtId="165" fontId="114" fillId="34" borderId="0" xfId="0" applyNumberFormat="1" applyFont="1" applyFill="1"/>
    <xf numFmtId="0" fontId="115" fillId="34" borderId="0" xfId="0" applyFont="1" applyFill="1"/>
    <xf numFmtId="0" fontId="120" fillId="34" borderId="0" xfId="0" applyFont="1" applyFill="1" applyAlignment="1">
      <alignment horizontal="left"/>
    </xf>
    <xf numFmtId="165" fontId="111" fillId="34" borderId="0" xfId="0" applyNumberFormat="1" applyFont="1" applyFill="1"/>
    <xf numFmtId="0" fontId="127" fillId="0" borderId="0" xfId="0" applyFont="1" applyAlignment="1">
      <alignment horizontal="left"/>
    </xf>
    <xf numFmtId="39" fontId="127" fillId="0" borderId="0" xfId="0" applyNumberFormat="1" applyFont="1"/>
    <xf numFmtId="0" fontId="115" fillId="34" borderId="0" xfId="0" applyFont="1" applyFill="1" applyAlignment="1">
      <alignment horizontal="left"/>
    </xf>
    <xf numFmtId="165" fontId="123" fillId="34" borderId="0" xfId="0" applyNumberFormat="1" applyFont="1" applyFill="1"/>
    <xf numFmtId="165" fontId="131" fillId="34" borderId="0" xfId="0" applyNumberFormat="1" applyFont="1" applyFill="1"/>
    <xf numFmtId="0" fontId="111" fillId="34" borderId="0" xfId="0" applyFont="1" applyFill="1"/>
    <xf numFmtId="0" fontId="115" fillId="35" borderId="0" xfId="0" applyFont="1" applyFill="1"/>
    <xf numFmtId="0" fontId="115" fillId="35" borderId="3" xfId="0" applyFont="1" applyFill="1" applyBorder="1"/>
    <xf numFmtId="168" fontId="115" fillId="26" borderId="0" xfId="0" applyNumberFormat="1" applyFont="1" applyFill="1" applyAlignment="1">
      <alignment horizontal="left"/>
    </xf>
    <xf numFmtId="168" fontId="117" fillId="0" borderId="0" xfId="0" applyNumberFormat="1" applyFont="1" applyAlignment="1">
      <alignment horizontal="center"/>
    </xf>
    <xf numFmtId="0" fontId="132" fillId="0" borderId="0" xfId="0" applyFont="1"/>
    <xf numFmtId="172" fontId="127" fillId="0" borderId="0" xfId="162" applyNumberFormat="1" applyFont="1" applyFill="1" applyBorder="1"/>
    <xf numFmtId="172" fontId="113" fillId="0" borderId="0" xfId="0" applyNumberFormat="1" applyFont="1"/>
    <xf numFmtId="168" fontId="115" fillId="0" borderId="0" xfId="0" applyNumberFormat="1" applyFont="1" applyAlignment="1">
      <alignment horizontal="center" vertical="center"/>
    </xf>
    <xf numFmtId="17" fontId="115" fillId="26" borderId="40" xfId="267" applyNumberFormat="1" applyFont="1" applyFill="1" applyBorder="1" applyAlignment="1">
      <alignment horizontal="left" wrapText="1"/>
    </xf>
    <xf numFmtId="0" fontId="115" fillId="26" borderId="60" xfId="267" applyFont="1" applyFill="1" applyBorder="1" applyAlignment="1">
      <alignment horizontal="center" wrapText="1"/>
    </xf>
    <xf numFmtId="0" fontId="115" fillId="26" borderId="41" xfId="267" applyFont="1" applyFill="1" applyBorder="1" applyAlignment="1">
      <alignment horizontal="center" wrapText="1"/>
    </xf>
    <xf numFmtId="172" fontId="111" fillId="0" borderId="0" xfId="162" applyNumberFormat="1" applyFont="1" applyFill="1" applyBorder="1" applyAlignment="1">
      <alignment horizontal="right" wrapText="1"/>
    </xf>
    <xf numFmtId="0" fontId="111" fillId="0" borderId="27" xfId="267" applyFont="1" applyBorder="1" applyAlignment="1">
      <alignment horizontal="right" wrapText="1"/>
    </xf>
    <xf numFmtId="0" fontId="115" fillId="0" borderId="21" xfId="267" applyFont="1" applyBorder="1" applyAlignment="1">
      <alignment horizontal="left" wrapText="1"/>
    </xf>
    <xf numFmtId="0" fontId="115" fillId="0" borderId="27" xfId="267" applyFont="1" applyBorder="1" applyAlignment="1">
      <alignment horizontal="right" wrapText="1"/>
    </xf>
    <xf numFmtId="0" fontId="115" fillId="0" borderId="57" xfId="268" applyFont="1" applyBorder="1"/>
    <xf numFmtId="258" fontId="115" fillId="0" borderId="58" xfId="268" applyNumberFormat="1" applyFont="1" applyBorder="1"/>
    <xf numFmtId="0" fontId="111" fillId="0" borderId="21" xfId="268" applyFont="1" applyBorder="1"/>
    <xf numFmtId="258" fontId="111" fillId="0" borderId="27" xfId="268" applyNumberFormat="1" applyFont="1" applyBorder="1"/>
    <xf numFmtId="0" fontId="115" fillId="0" borderId="21" xfId="268" applyFont="1" applyBorder="1"/>
    <xf numFmtId="0" fontId="115" fillId="0" borderId="0" xfId="268" applyFont="1"/>
    <xf numFmtId="258" fontId="115" fillId="0" borderId="27" xfId="268" applyNumberFormat="1" applyFont="1" applyBorder="1"/>
    <xf numFmtId="3" fontId="111" fillId="0" borderId="0" xfId="268" applyNumberFormat="1" applyFont="1"/>
    <xf numFmtId="264" fontId="115" fillId="0" borderId="27" xfId="268" applyNumberFormat="1" applyFont="1" applyBorder="1"/>
    <xf numFmtId="0" fontId="115" fillId="26" borderId="23" xfId="267" applyFont="1" applyFill="1" applyBorder="1"/>
    <xf numFmtId="3" fontId="111" fillId="26" borderId="26" xfId="267" applyNumberFormat="1" applyFont="1" applyFill="1" applyBorder="1"/>
    <xf numFmtId="3" fontId="111" fillId="0" borderId="28" xfId="267" applyNumberFormat="1" applyFont="1" applyBorder="1"/>
    <xf numFmtId="0" fontId="115" fillId="0" borderId="21" xfId="267" applyFont="1" applyBorder="1"/>
    <xf numFmtId="0" fontId="115" fillId="26" borderId="49" xfId="267" applyFont="1" applyFill="1" applyBorder="1" applyAlignment="1">
      <alignment horizontal="left" wrapText="1"/>
    </xf>
    <xf numFmtId="0" fontId="115" fillId="26" borderId="53" xfId="267" applyFont="1" applyFill="1" applyBorder="1" applyAlignment="1">
      <alignment horizontal="center" wrapText="1"/>
    </xf>
    <xf numFmtId="0" fontId="115" fillId="26" borderId="54" xfId="267" applyFont="1" applyFill="1" applyBorder="1" applyAlignment="1">
      <alignment horizontal="center" wrapText="1"/>
    </xf>
    <xf numFmtId="0" fontId="115" fillId="26" borderId="40" xfId="267" applyFont="1" applyFill="1" applyBorder="1"/>
    <xf numFmtId="0" fontId="115" fillId="0" borderId="19" xfId="267" applyFont="1" applyBorder="1"/>
    <xf numFmtId="170" fontId="123" fillId="0" borderId="32" xfId="162" applyNumberFormat="1" applyFont="1" applyFill="1" applyBorder="1" applyAlignment="1">
      <alignment horizontal="right"/>
    </xf>
    <xf numFmtId="170" fontId="111" fillId="0" borderId="56" xfId="162" applyNumberFormat="1" applyFont="1" applyBorder="1" applyAlignment="1">
      <alignment horizontal="right"/>
    </xf>
    <xf numFmtId="170" fontId="115" fillId="0" borderId="9" xfId="162" applyNumberFormat="1" applyFont="1" applyFill="1" applyBorder="1"/>
    <xf numFmtId="170" fontId="115" fillId="0" borderId="20" xfId="162" applyNumberFormat="1" applyFont="1" applyFill="1" applyBorder="1"/>
    <xf numFmtId="17" fontId="117" fillId="26" borderId="40" xfId="267" applyNumberFormat="1" applyFont="1" applyFill="1" applyBorder="1" applyAlignment="1">
      <alignment horizontal="left" wrapText="1"/>
    </xf>
    <xf numFmtId="172" fontId="111" fillId="28" borderId="0" xfId="162" applyNumberFormat="1" applyFont="1" applyFill="1" applyBorder="1"/>
    <xf numFmtId="172" fontId="111" fillId="28" borderId="52" xfId="162" applyNumberFormat="1" applyFont="1" applyFill="1" applyBorder="1"/>
    <xf numFmtId="258" fontId="111" fillId="28" borderId="47" xfId="268" applyNumberFormat="1" applyFont="1" applyFill="1" applyBorder="1"/>
    <xf numFmtId="0" fontId="116" fillId="26" borderId="0" xfId="0" applyFont="1" applyFill="1" applyAlignment="1">
      <alignment horizontal="left" vertical="center"/>
    </xf>
    <xf numFmtId="0" fontId="115" fillId="26" borderId="0" xfId="0" applyFont="1" applyFill="1" applyAlignment="1">
      <alignment horizontal="center" vertical="center"/>
    </xf>
    <xf numFmtId="37" fontId="115" fillId="0" borderId="0" xfId="0" applyNumberFormat="1" applyFont="1" applyAlignment="1">
      <alignment horizontal="center" vertical="center"/>
    </xf>
    <xf numFmtId="0" fontId="116" fillId="26" borderId="0" xfId="0" applyFont="1" applyFill="1" applyAlignment="1">
      <alignment horizontal="center" vertical="center"/>
    </xf>
    <xf numFmtId="168" fontId="117" fillId="26" borderId="0" xfId="0" applyNumberFormat="1" applyFont="1" applyFill="1" applyAlignment="1">
      <alignment horizontal="center" vertical="center"/>
    </xf>
    <xf numFmtId="0" fontId="118" fillId="0" borderId="0" xfId="269" applyFont="1" applyAlignment="1">
      <alignment horizontal="left"/>
    </xf>
    <xf numFmtId="37" fontId="133" fillId="0" borderId="0" xfId="0" applyNumberFormat="1" applyFont="1"/>
    <xf numFmtId="165" fontId="134" fillId="0" borderId="0" xfId="0" applyNumberFormat="1" applyFont="1"/>
    <xf numFmtId="37" fontId="135" fillId="0" borderId="0" xfId="0" applyNumberFormat="1" applyFont="1"/>
    <xf numFmtId="165" fontId="133" fillId="0" borderId="0" xfId="0" applyNumberFormat="1" applyFont="1"/>
    <xf numFmtId="165" fontId="118" fillId="0" borderId="0" xfId="0" applyNumberFormat="1" applyFont="1"/>
    <xf numFmtId="165" fontId="115" fillId="0" borderId="0" xfId="162" applyNumberFormat="1" applyFont="1" applyFill="1" applyBorder="1"/>
    <xf numFmtId="165" fontId="113" fillId="27" borderId="0" xfId="0" applyNumberFormat="1" applyFont="1" applyFill="1"/>
    <xf numFmtId="257" fontId="115" fillId="0" borderId="0" xfId="0" applyNumberFormat="1" applyFont="1" applyAlignment="1">
      <alignment horizontal="left" indent="2"/>
    </xf>
    <xf numFmtId="37" fontId="113" fillId="0" borderId="0" xfId="0" applyNumberFormat="1" applyFont="1" applyAlignment="1">
      <alignment horizontal="left" indent="2"/>
    </xf>
    <xf numFmtId="1" fontId="115" fillId="0" borderId="0" xfId="0" applyNumberFormat="1" applyFont="1" applyAlignment="1">
      <alignment horizontal="right"/>
    </xf>
    <xf numFmtId="258" fontId="115" fillId="0" borderId="0" xfId="0" applyNumberFormat="1" applyFont="1"/>
    <xf numFmtId="2" fontId="115" fillId="0" borderId="0" xfId="0" applyNumberFormat="1" applyFont="1"/>
    <xf numFmtId="43" fontId="123" fillId="34" borderId="0" xfId="162" applyFont="1" applyFill="1" applyAlignment="1">
      <alignment horizontal="right"/>
    </xf>
    <xf numFmtId="43" fontId="123" fillId="34" borderId="0" xfId="162" applyFont="1" applyFill="1" applyBorder="1"/>
    <xf numFmtId="43" fontId="123" fillId="34" borderId="0" xfId="162" applyFont="1" applyFill="1" applyBorder="1" applyAlignment="1">
      <alignment horizontal="right"/>
    </xf>
    <xf numFmtId="43" fontId="111" fillId="34" borderId="0" xfId="162" applyFont="1" applyFill="1" applyBorder="1" applyAlignment="1">
      <alignment horizontal="right"/>
    </xf>
    <xf numFmtId="43" fontId="111" fillId="34" borderId="0" xfId="162" applyFont="1" applyFill="1" applyAlignment="1">
      <alignment horizontal="right"/>
    </xf>
    <xf numFmtId="0" fontId="136" fillId="34" borderId="0" xfId="0" applyFont="1" applyFill="1"/>
    <xf numFmtId="169" fontId="123" fillId="27" borderId="0" xfId="545" applyNumberFormat="1" applyFont="1" applyFill="1"/>
    <xf numFmtId="169" fontId="111" fillId="27" borderId="0" xfId="545" applyNumberFormat="1" applyFont="1" applyFill="1"/>
    <xf numFmtId="172" fontId="123" fillId="27" borderId="0" xfId="162" applyNumberFormat="1" applyFont="1" applyFill="1"/>
    <xf numFmtId="172" fontId="111" fillId="27" borderId="0" xfId="162" applyNumberFormat="1" applyFont="1" applyFill="1"/>
    <xf numFmtId="172" fontId="115" fillId="27" borderId="0" xfId="0" applyNumberFormat="1" applyFont="1" applyFill="1"/>
    <xf numFmtId="169" fontId="123" fillId="27" borderId="0" xfId="545" applyNumberFormat="1" applyFont="1" applyFill="1" applyBorder="1" applyAlignment="1">
      <alignment horizontal="right" vertical="center"/>
    </xf>
    <xf numFmtId="0" fontId="115" fillId="27" borderId="0" xfId="0" applyFont="1" applyFill="1" applyAlignment="1">
      <alignment horizontal="right" vertical="center"/>
    </xf>
    <xf numFmtId="0" fontId="111" fillId="27" borderId="0" xfId="0" applyFont="1" applyFill="1" applyAlignment="1">
      <alignment horizontal="right" vertical="center"/>
    </xf>
    <xf numFmtId="0" fontId="123" fillId="27" borderId="0" xfId="0" applyFont="1" applyFill="1" applyAlignment="1">
      <alignment horizontal="right" vertical="center"/>
    </xf>
    <xf numFmtId="172" fontId="123" fillId="27" borderId="0" xfId="162" applyNumberFormat="1" applyFont="1" applyFill="1" applyBorder="1" applyAlignment="1">
      <alignment horizontal="right" vertical="center"/>
    </xf>
    <xf numFmtId="172" fontId="111" fillId="27" borderId="0" xfId="162" applyNumberFormat="1" applyFont="1" applyFill="1" applyBorder="1" applyAlignment="1">
      <alignment horizontal="right" vertical="center"/>
    </xf>
    <xf numFmtId="259" fontId="123" fillId="27" borderId="0" xfId="0" applyNumberFormat="1" applyFont="1" applyFill="1" applyAlignment="1">
      <alignment horizontal="right" vertical="center"/>
    </xf>
    <xf numFmtId="259" fontId="111" fillId="27" borderId="0" xfId="0" applyNumberFormat="1" applyFont="1" applyFill="1" applyAlignment="1">
      <alignment horizontal="right" vertical="center"/>
    </xf>
    <xf numFmtId="3" fontId="123" fillId="27" borderId="0" xfId="0" applyNumberFormat="1" applyFont="1" applyFill="1" applyAlignment="1">
      <alignment horizontal="right" vertical="center"/>
    </xf>
    <xf numFmtId="43" fontId="115" fillId="0" borderId="0" xfId="162" applyFont="1" applyFill="1" applyBorder="1" applyAlignment="1">
      <alignment horizontal="center"/>
    </xf>
    <xf numFmtId="0" fontId="111" fillId="0" borderId="0" xfId="267" applyFont="1" applyAlignment="1">
      <alignment horizontal="left" wrapText="1"/>
    </xf>
    <xf numFmtId="0" fontId="115" fillId="0" borderId="0" xfId="267" applyFont="1" applyAlignment="1">
      <alignment horizontal="left" wrapText="1"/>
    </xf>
    <xf numFmtId="0" fontId="115" fillId="0" borderId="8" xfId="268" applyFont="1" applyBorder="1"/>
    <xf numFmtId="0" fontId="111" fillId="0" borderId="0" xfId="268" applyFont="1"/>
    <xf numFmtId="0" fontId="111" fillId="0" borderId="0" xfId="267" applyFont="1" applyAlignment="1">
      <alignment horizontal="right" wrapText="1"/>
    </xf>
    <xf numFmtId="0" fontId="115" fillId="0" borderId="0" xfId="267" applyFont="1" applyAlignment="1">
      <alignment horizontal="right" wrapText="1"/>
    </xf>
    <xf numFmtId="258" fontId="115" fillId="0" borderId="8" xfId="268" applyNumberFormat="1" applyFont="1" applyBorder="1"/>
    <xf numFmtId="258" fontId="111" fillId="0" borderId="0" xfId="268" applyNumberFormat="1" applyFont="1"/>
    <xf numFmtId="258" fontId="115" fillId="0" borderId="0" xfId="268" applyNumberFormat="1" applyFont="1"/>
    <xf numFmtId="264" fontId="115" fillId="0" borderId="0" xfId="268" applyNumberFormat="1" applyFont="1"/>
    <xf numFmtId="17" fontId="115" fillId="26" borderId="8" xfId="267" applyNumberFormat="1" applyFont="1" applyFill="1" applyBorder="1" applyAlignment="1">
      <alignment horizontal="left" wrapText="1"/>
    </xf>
    <xf numFmtId="0" fontId="115" fillId="26" borderId="8" xfId="267" applyFont="1" applyFill="1" applyBorder="1" applyAlignment="1">
      <alignment horizontal="center" wrapText="1"/>
    </xf>
    <xf numFmtId="3" fontId="111" fillId="28" borderId="0" xfId="268" applyNumberFormat="1" applyFont="1" applyFill="1"/>
    <xf numFmtId="172" fontId="111" fillId="0" borderId="8" xfId="162" applyNumberFormat="1" applyFont="1" applyFill="1" applyBorder="1"/>
    <xf numFmtId="0" fontId="115" fillId="26" borderId="8" xfId="267" applyFont="1" applyFill="1" applyBorder="1" applyAlignment="1">
      <alignment horizontal="center"/>
    </xf>
    <xf numFmtId="17" fontId="117" fillId="26" borderId="40" xfId="267" applyNumberFormat="1" applyFont="1" applyFill="1" applyBorder="1" applyAlignment="1">
      <alignment horizontal="left"/>
    </xf>
    <xf numFmtId="0" fontId="115" fillId="26" borderId="60" xfId="267" applyFont="1" applyFill="1" applyBorder="1" applyAlignment="1">
      <alignment horizontal="center"/>
    </xf>
    <xf numFmtId="258" fontId="111" fillId="28" borderId="12" xfId="268" applyNumberFormat="1" applyFont="1" applyFill="1" applyBorder="1"/>
    <xf numFmtId="258" fontId="111" fillId="28" borderId="3" xfId="268" applyNumberFormat="1" applyFont="1" applyFill="1" applyBorder="1"/>
    <xf numFmtId="258" fontId="111" fillId="28" borderId="52" xfId="268" applyNumberFormat="1" applyFont="1" applyFill="1" applyBorder="1"/>
    <xf numFmtId="0" fontId="115" fillId="26" borderId="41" xfId="267" applyFont="1" applyFill="1" applyBorder="1" applyAlignment="1">
      <alignment horizontal="center"/>
    </xf>
    <xf numFmtId="0" fontId="111" fillId="30" borderId="0" xfId="0" applyFont="1" applyFill="1" applyAlignment="1">
      <alignment horizontal="right" vertical="center"/>
    </xf>
    <xf numFmtId="0" fontId="120" fillId="0" borderId="0" xfId="0" applyFont="1"/>
    <xf numFmtId="0" fontId="127" fillId="0" borderId="0" xfId="0" applyFont="1"/>
    <xf numFmtId="37" fontId="127" fillId="0" borderId="0" xfId="0" applyNumberFormat="1" applyFont="1"/>
    <xf numFmtId="0" fontId="134" fillId="0" borderId="0" xfId="0" applyFont="1"/>
    <xf numFmtId="39" fontId="134" fillId="0" borderId="0" xfId="0" applyNumberFormat="1" applyFont="1"/>
    <xf numFmtId="0" fontId="111" fillId="27" borderId="0" xfId="0" applyFont="1" applyFill="1"/>
    <xf numFmtId="172" fontId="134" fillId="0" borderId="0" xfId="162" applyNumberFormat="1" applyFont="1" applyFill="1"/>
    <xf numFmtId="37" fontId="134" fillId="0" borderId="0" xfId="0" applyNumberFormat="1" applyFont="1"/>
    <xf numFmtId="172" fontId="127" fillId="0" borderId="0" xfId="162" applyNumberFormat="1" applyFont="1" applyFill="1"/>
    <xf numFmtId="172" fontId="127" fillId="30" borderId="0" xfId="162" applyNumberFormat="1" applyFont="1" applyFill="1"/>
    <xf numFmtId="37" fontId="127" fillId="30" borderId="0" xfId="162" applyNumberFormat="1" applyFont="1" applyFill="1"/>
    <xf numFmtId="37" fontId="137" fillId="0" borderId="0" xfId="0" applyNumberFormat="1" applyFont="1"/>
    <xf numFmtId="172" fontId="123" fillId="0" borderId="0" xfId="162" applyNumberFormat="1" applyFont="1" applyFill="1" applyAlignment="1">
      <alignment horizontal="center" vertical="center"/>
    </xf>
    <xf numFmtId="172" fontId="123" fillId="0" borderId="0" xfId="162" applyNumberFormat="1" applyFont="1" applyFill="1" applyAlignment="1">
      <alignment vertical="center" wrapText="1"/>
    </xf>
  </cellXfs>
  <cellStyles count="898">
    <cellStyle name="$" xfId="1" xr:uid="{A8F1C46A-528A-4907-BF9D-ADD1BE116006}"/>
    <cellStyle name="$_TSA Model - 1 8 06 - v2" xfId="2" xr:uid="{412123D3-07B9-4BED-92C3-AC541B112416}"/>
    <cellStyle name="%" xfId="3" xr:uid="{4DBBFE46-14F7-452A-8BFC-0CC68EA1A999}"/>
    <cellStyle name=";;;" xfId="4" xr:uid="{C28A5821-8075-4042-BA78-8238777AC55D}"/>
    <cellStyle name="_%(SignOnly)" xfId="5" xr:uid="{9FD48D5E-54CF-435F-8EF9-34210BD1A043}"/>
    <cellStyle name="_%(SignSpaceOnly)" xfId="6" xr:uid="{DDC3DE1B-5A7B-440B-87D6-638C179ECEB8}"/>
    <cellStyle name="_0% CADR" xfId="7" xr:uid="{09490193-E1C9-44FD-83C0-D2C47277BCD2}"/>
    <cellStyle name="_0% IRR" xfId="8" xr:uid="{A57BDFC3-946A-4A02-A3D9-7DFB3395C973}"/>
    <cellStyle name="_1% CADR" xfId="9" xr:uid="{60B143C8-29F4-44B7-96D5-91EBADA52123}"/>
    <cellStyle name="_10% CADR" xfId="10" xr:uid="{071883A6-550F-4144-AF4C-E580310B0C0E}"/>
    <cellStyle name="_10% CDR" xfId="11" xr:uid="{740A06A0-07AE-4900-8955-4878EC90D1BC}"/>
    <cellStyle name="_11% CADR" xfId="12" xr:uid="{4B181422-6291-4431-9526-6B55892066C2}"/>
    <cellStyle name="_12% CADR" xfId="13" xr:uid="{15F73200-2B74-4997-AF07-A80BEDD95B6B}"/>
    <cellStyle name="_12% CDR" xfId="14" xr:uid="{F2B4CE94-C6B4-4531-A669-E26866B4925C}"/>
    <cellStyle name="_13% CADR" xfId="15" xr:uid="{BB7A0DC3-64E6-40E1-BE2B-57B33DFA0436}"/>
    <cellStyle name="_14% CADR" xfId="16" xr:uid="{AE67C7EF-6A41-4C16-AAC1-7C3FE77E9B50}"/>
    <cellStyle name="_14% CDR" xfId="17" xr:uid="{22942964-3B95-4E6D-A4D2-A03BEB680E5D}"/>
    <cellStyle name="_16% CDR" xfId="18" xr:uid="{27855034-9B5A-42C8-B7A8-BF06043588F5}"/>
    <cellStyle name="_18% CDR" xfId="19" xr:uid="{F3FD83FF-826B-4554-AB32-4D7FF34E4C57}"/>
    <cellStyle name="_19.6% CDR BBB Break In Yield" xfId="20" xr:uid="{B18B99B1-7E93-4682-A498-941A48CD33B4}"/>
    <cellStyle name="_2% CADR" xfId="21" xr:uid="{251B0F32-7097-43EA-8FCB-70326800CFE4}"/>
    <cellStyle name="_20% CDR" xfId="22" xr:uid="{EDDEC89C-D1CD-4647-BB83-7BE3E2A6851F}"/>
    <cellStyle name="_21.5% CDR BBB Break In Yield" xfId="23" xr:uid="{A8905710-772C-4ED9-9068-5C8E69B87683}"/>
    <cellStyle name="_3% CADR" xfId="24" xr:uid="{B7777D78-FAD4-4206-B3B6-FEEDF9B7A36B}"/>
    <cellStyle name="_3% CDR" xfId="25" xr:uid="{42AB293C-FA7F-45AC-AE03-C46048867F43}"/>
    <cellStyle name="_4% CADR" xfId="26" xr:uid="{7C9218E4-A93C-4EAE-8014-C5A727726730}"/>
    <cellStyle name="_5% CADR" xfId="27" xr:uid="{8684D615-4B5B-4762-9B37-84106C919375}"/>
    <cellStyle name="_5% CDR" xfId="28" xr:uid="{11344EA0-27E9-4014-994C-C9F34B9BCBAB}"/>
    <cellStyle name="_6% CADR" xfId="29" xr:uid="{44431B2D-BDA3-4A30-8216-30F529547D86}"/>
    <cellStyle name="_7% CADR" xfId="30" xr:uid="{64B3222D-7065-4463-934B-9B0A8ADC0205}"/>
    <cellStyle name="_7% CDR" xfId="31" xr:uid="{2F8592C4-7A76-4FBB-ADEA-4193165BB813}"/>
    <cellStyle name="_8% CADR" xfId="32" xr:uid="{86BD221E-65C9-4CDC-A632-A9E9372A0ED4}"/>
    <cellStyle name="_8.0% CDR BB Break In Yield" xfId="33" xr:uid="{2D4113D3-FD60-475C-93B6-5FFD366BB8FC}"/>
    <cellStyle name="_8.1% CDR BB Break In Yield" xfId="34" xr:uid="{DB44DD66-62D6-49A4-9D09-CBF0B87EBAB9}"/>
    <cellStyle name="_9% CADR" xfId="35" xr:uid="{0C0486EF-6116-4DB3-ACA2-ACEC06D3F8CC}"/>
    <cellStyle name="_Assets" xfId="36" xr:uid="{FDAC3F33-0D40-49BF-A014-420F1AA77B6A}"/>
    <cellStyle name="_Assets_1" xfId="37" xr:uid="{75610921-6F37-463E-ACD3-77FC3DF35179}"/>
    <cellStyle name="_Assets_1_COMPS - B2B Publishers" xfId="38" xr:uid="{09955D78-79E2-4818-A8F1-FD292CBE9F37}"/>
    <cellStyle name="_Assets_1_COMPS - Directories" xfId="39" xr:uid="{4C0818E5-D1FB-4B21-803A-38599619D94F}"/>
    <cellStyle name="_Assets_1_F&amp;W Servicing Model" xfId="40" xr:uid="{83F67FCC-5777-49C5-A961-15F258EFED26}"/>
    <cellStyle name="_Assets_1_F&amp;W Servicing Model v2" xfId="41" xr:uid="{E3F9A7EC-20FD-466C-B89A-646C23208866}"/>
    <cellStyle name="_Assets_1_S&amp;P Analysis" xfId="42" xr:uid="{FFA71147-48C8-4C62-9BD4-5541EB19AD63}"/>
    <cellStyle name="_Assets_1_Univision Annual Model" xfId="43" xr:uid="{D8F3744D-577A-4694-AB9F-F05F1AFF3E63}"/>
    <cellStyle name="_Assets_1_Yell Servicing Model" xfId="44" xr:uid="{A98071A5-45FA-438E-A103-B0ADA3705BA8}"/>
    <cellStyle name="_Assets_S&amp;P Analysis" xfId="45" xr:uid="{15571E34-C057-459F-AA5C-321DB5C99AFC}"/>
    <cellStyle name="_Assets_S&amp;P Analysis_COMPS - B2B Publishers" xfId="46" xr:uid="{21D2A745-D0E2-4FF0-ABF6-63D48CEE0535}"/>
    <cellStyle name="_Assets_S&amp;P Analysis_COMPS - Directories" xfId="47" xr:uid="{59C7C3D7-D669-4E99-A037-1378F9D0D7BC}"/>
    <cellStyle name="_Assets_S&amp;P Analysis_F&amp;W Servicing Model" xfId="48" xr:uid="{C8D03EF9-63DA-45B8-B477-EF0C6E7DA764}"/>
    <cellStyle name="_Assets_S&amp;P Analysis_F&amp;W Servicing Model v2" xfId="49" xr:uid="{C2AEB5F5-715B-4E83-BBF5-596F62160417}"/>
    <cellStyle name="_Assets_S&amp;P Analysis_Univision Annual Model" xfId="50" xr:uid="{4745C38D-D9F7-4D0A-BF26-B4336F15599D}"/>
    <cellStyle name="_Assets_S&amp;P Analysis_Yell Servicing Model" xfId="51" xr:uid="{6C2E8937-4F0B-4AEB-BD27-969E024449A1}"/>
    <cellStyle name="_Assumptions" xfId="52" xr:uid="{EE0ED9B5-B3E4-4E2F-8B56-E218F23AFDC3}"/>
    <cellStyle name="_Assumptions_1" xfId="53" xr:uid="{22EF7C8D-5C1C-4B21-AA7C-2F937A9981BA}"/>
    <cellStyle name="_Assumptions_1_COMPS - B2B Publishers" xfId="54" xr:uid="{C1A22B32-E831-43EA-A22A-00DA3F62CBD6}"/>
    <cellStyle name="_Assumptions_1_COMPS - Directories" xfId="55" xr:uid="{F254A4B8-C775-4EC3-82E4-FA72F2F02877}"/>
    <cellStyle name="_Assumptions_1_F&amp;W Servicing Model" xfId="56" xr:uid="{ED2D562D-4F33-4451-9BE9-DE08A4A6D972}"/>
    <cellStyle name="_Assumptions_1_F&amp;W Servicing Model v2" xfId="57" xr:uid="{7C2C481F-6FA2-411C-88F8-6A6B77BC8886}"/>
    <cellStyle name="_Assumptions_1_Univision Annual Model" xfId="58" xr:uid="{DAF9F5BC-6D3C-45F9-A00A-ABDA9D958144}"/>
    <cellStyle name="_Assumptions_1_Yell Servicing Model" xfId="59" xr:uid="{1FA4342E-DC7F-4C30-8592-1903D8FB5918}"/>
    <cellStyle name="_Blue Mountain TRS (7-5-05)" xfId="60" xr:uid="{B448C24E-C0C2-44BD-82A3-9B3DAD4DA2F3}"/>
    <cellStyle name="_Book2" xfId="61" xr:uid="{1DACCF9E-807D-4460-A2B0-D658DE8A9A0C}"/>
    <cellStyle name="_CDO of CDO" xfId="62" xr:uid="{7C76DC0B-89E0-477C-BB42-D2194B56BED8}"/>
    <cellStyle name="_CLO Portfolio 10_07_2005" xfId="63" xr:uid="{3797BB49-0799-493F-BFAA-ECED82FB2A3F}"/>
    <cellStyle name="_Comma" xfId="64" xr:uid="{4D4BD52E-5416-4A73-9552-5242A349BC29}"/>
    <cellStyle name="_Comma_dcf" xfId="65" xr:uid="{0831E508-FBE5-49FD-A72A-BD01319CF654}"/>
    <cellStyle name="_Currency" xfId="66" xr:uid="{9476EABA-00A2-4FE2-9580-6FD88D5BDE00}"/>
    <cellStyle name="_Currency_dcf" xfId="67" xr:uid="{CD82E654-3505-45CF-8F31-39531653905F}"/>
    <cellStyle name="_CurrencySpace" xfId="68" xr:uid="{96FD1BEF-7480-4CB9-910B-810B736D3CCB}"/>
    <cellStyle name="_CurrencySpace_dcf" xfId="69" xr:uid="{90216C06-EFA5-4427-9964-FE7FB28525E8}"/>
    <cellStyle name="_Euro" xfId="70" xr:uid="{BD2429B8-40D1-438F-BA99-5B90C56D3328}"/>
    <cellStyle name="_EV8 Assumption List" xfId="71" xr:uid="{5B98646F-B141-43A1-874A-72AD5670FAD6}"/>
    <cellStyle name="_Exhibit I Babson Warehouse 2006-II CLO 8 18 06" xfId="72" xr:uid="{B7C8636A-8FEC-4EF0-AB38-4952B947E4CF}"/>
    <cellStyle name="_First PIK" xfId="73" xr:uid="{E38EB5DA-5904-48F7-BAD7-4E6A27E61424}"/>
    <cellStyle name="_Galaxy VI CLO - WestLB Request" xfId="74" xr:uid="{6A37FE2B-4DC0-43CD-AFB3-39FD8B9B2E8E}"/>
    <cellStyle name="_Heading" xfId="75" xr:uid="{53959608-0EEF-4FC0-8818-A9385DD32887}"/>
    <cellStyle name="_Heading_prestemp" xfId="76" xr:uid="{747E1B21-F467-4C94-B439-256748BE8C1F}"/>
    <cellStyle name="_Highlight" xfId="77" xr:uid="{B4EEB596-7A42-452A-B95C-7BB3CDBAC743}"/>
    <cellStyle name="_Model FINAL (2)" xfId="78" xr:uid="{57E188C2-037E-4594-A244-482C72A41B00}"/>
    <cellStyle name="_Multiple" xfId="79" xr:uid="{3FE6C89A-0713-4C79-9560-C748AD83673E}"/>
    <cellStyle name="_Multiple_dcf" xfId="80" xr:uid="{E1DD152E-4DD2-4611-AAB8-403DCD648884}"/>
    <cellStyle name="_MultipleSpace" xfId="81" xr:uid="{1943EB6F-3C7B-4261-ABEC-300E7039E5E3}"/>
    <cellStyle name="_MultipleSpace_dcf" xfId="82" xr:uid="{398C954C-3886-4D1D-B509-1F0C0D61B589}"/>
    <cellStyle name="_Other Defafult Scenario 1" xfId="83" xr:uid="{F08D92BF-FF90-4ECB-B834-7C8DC93EEA34}"/>
    <cellStyle name="_Other Default Scenario 2" xfId="84" xr:uid="{3D43AA57-7B89-40F5-AE78-1B6D138AD25D}"/>
    <cellStyle name="_Percent" xfId="85" xr:uid="{3EF876FB-2472-4600-9A4D-58B2FC53A657}"/>
    <cellStyle name="_PercentSpace" xfId="86" xr:uid="{E3A645B4-BF95-42FC-BD6B-0C31320AC69E}"/>
    <cellStyle name="_Port" xfId="87" xr:uid="{6770BF88-B87E-4D89-9FAA-6BA7EC79E990}"/>
    <cellStyle name="_Port For S&amp;P" xfId="88" xr:uid="{8A84973E-F791-4457-BD56-B457F231BCD4}"/>
    <cellStyle name="_Port_COMPS - B2B Publishers" xfId="89" xr:uid="{673BAD41-D5B1-4D64-A33D-84FB642A812F}"/>
    <cellStyle name="_Port_COMPS - Directories" xfId="90" xr:uid="{A1877E18-67F8-4570-BB24-A71E94C29E14}"/>
    <cellStyle name="_Port_F&amp;W Servicing Model" xfId="91" xr:uid="{5AE1007C-3420-45AE-8A54-B9C06EAE74BB}"/>
    <cellStyle name="_Port_F&amp;W Servicing Model v2" xfId="92" xr:uid="{12DA9988-C160-4DDE-8DE4-FFB2D2A5F656}"/>
    <cellStyle name="_Port_Univision Annual Model" xfId="93" xr:uid="{3F736A55-7298-4CCB-A686-0AFBD20B784A}"/>
    <cellStyle name="_Port_Yell Servicing Model" xfId="94" xr:uid="{F54A25B4-1C7D-4ED1-8CD7-17C09DB967F4}"/>
    <cellStyle name="_Pro Forma TTM 9.30.07 (CW NEIRB Acquisition)" xfId="95" xr:uid="{6447DDA9-A393-420E-A395-0576552DA6D4}"/>
    <cellStyle name="_S&amp;P Analysis" xfId="96" xr:uid="{47FB4995-C3D8-483D-964C-BC306A6A9E72}"/>
    <cellStyle name="_S&amp;P Analysis_COMPS - B2B Publishers" xfId="97" xr:uid="{77A14A14-BFEB-46A6-8E4E-C9C5B9FCB070}"/>
    <cellStyle name="_S&amp;P Analysis_COMPS - Directories" xfId="98" xr:uid="{9D0DC00C-EDF4-46DF-B7EF-7123D33405EB}"/>
    <cellStyle name="_S&amp;P Analysis_F&amp;W Servicing Model" xfId="99" xr:uid="{BE427493-D4D7-426E-B758-CE9A28A78378}"/>
    <cellStyle name="_S&amp;P Analysis_F&amp;W Servicing Model v2" xfId="100" xr:uid="{88490BAC-6E6B-4B6A-9F44-CC3CC223508E}"/>
    <cellStyle name="_S&amp;P Analysis_Univision Annual Model" xfId="101" xr:uid="{99703A92-BA72-4C4D-AE71-D8161E30B1DA}"/>
    <cellStyle name="_S&amp;P Analysis_Yell Servicing Model" xfId="102" xr:uid="{68B4CAEA-AB57-4679-BF21-0EFD008BCCF9}"/>
    <cellStyle name="_S&amp;P Hypothetical Port Summary" xfId="103" xr:uid="{DDC231B8-CD39-4B1A-829B-61D20B23DF7C}"/>
    <cellStyle name="_S&amp;P Port 80Div_2099WARF" xfId="104" xr:uid="{0AAD249A-B8FD-4004-A424-105535AE33A8}"/>
    <cellStyle name="_S&amp;P Stress Scenarios" xfId="105" xr:uid="{12B27468-1D12-43DE-98B3-7C707A1671C0}"/>
    <cellStyle name="_Sources and Uses" xfId="106" xr:uid="{0BAE8357-D1B6-4D28-A651-3C0E38C012D1}"/>
    <cellStyle name="_SubHeading" xfId="107" xr:uid="{4F02CF0A-3570-4227-B59E-28112ED83F4B}"/>
    <cellStyle name="_SubHeading_prestemp" xfId="108" xr:uid="{2893FDF9-885D-473F-9DAF-7D1FE047CF23}"/>
    <cellStyle name="_Table" xfId="109" xr:uid="{8796B586-9BA2-4434-85E0-378FF2B77E3C}"/>
    <cellStyle name="_TableHead" xfId="110" xr:uid="{A31EDDFB-2B8B-4C40-9035-B48DBBC016AA}"/>
    <cellStyle name="_TableRowHead" xfId="111" xr:uid="{D126FD38-FD15-4CC8-BDB2-B3C3FAEE7641}"/>
    <cellStyle name="_TableSuperHead" xfId="112" xr:uid="{15895160-FB80-499B-B88A-C5B1A5E798AE}"/>
    <cellStyle name="£Currency [0]" xfId="113" xr:uid="{51A1F828-651F-4222-9248-B5C55FBB1E2E}"/>
    <cellStyle name="£Currency [1]" xfId="114" xr:uid="{3C4730BA-D049-468B-B6D0-4B5D1F3AD5FA}"/>
    <cellStyle name="£Currency [2]" xfId="115" xr:uid="{43FDCA1D-A869-4244-AD35-E920511B1A4A}"/>
    <cellStyle name="£Currency [p]" xfId="116" xr:uid="{5F2C0ABF-4A18-4707-93BC-A8B455EC62F0}"/>
    <cellStyle name="£Currency [p2]" xfId="117" xr:uid="{877BCA95-FE1E-4B56-BD61-1469B2C1B122}"/>
    <cellStyle name="£Pounds" xfId="118" xr:uid="{0CE2B46E-250E-49AA-B503-7CCE87DA1D0C}"/>
    <cellStyle name="Accounting $" xfId="119" xr:uid="{E0C81501-E1F2-4D46-97E7-A55296887B1C}"/>
    <cellStyle name="Across" xfId="120" xr:uid="{6597D3E3-D714-4C91-9A58-0AAAF88DE7BD}"/>
    <cellStyle name="Adjustable" xfId="121" xr:uid="{13C8CFCE-B6D4-4D24-80EA-DD2AF2ABD893}"/>
    <cellStyle name="AFE" xfId="122" xr:uid="{C0B58BBF-3447-4486-8764-389B4D6C88D5}"/>
    <cellStyle name="Andre's Title" xfId="123" xr:uid="{4EDA8E1D-0728-413F-ADEA-F82B1F00BAEC}"/>
    <cellStyle name="args.style" xfId="124" xr:uid="{364E7E1D-1E89-48A6-81AE-3ECE4815B598}"/>
    <cellStyle name="Arial 10" xfId="125" xr:uid="{D403A38B-84B6-4FD8-8B9A-19AF09051082}"/>
    <cellStyle name="Arial 12" xfId="126" xr:uid="{69FBA627-1071-474E-AE60-592F96C0E51C}"/>
    <cellStyle name="Best" xfId="127" xr:uid="{3BA398B8-511C-4A1B-A339-D1F9E28D2127}"/>
    <cellStyle name="Blank [$]" xfId="128" xr:uid="{025C73AC-1513-4E71-B2F4-789E381CCD25}"/>
    <cellStyle name="Blank [,]" xfId="129" xr:uid="{D62A614D-3B46-4DA1-AF29-D1C96646E7FD}"/>
    <cellStyle name="BlankedZeros" xfId="130" xr:uid="{1F01D4EC-20F5-40FD-999B-776088E76069}"/>
    <cellStyle name="blp_column_header" xfId="131" xr:uid="{FFD21F4F-8CD3-47A5-9733-652CCBADA7DD}"/>
    <cellStyle name="Blue" xfId="132" xr:uid="{3CE4598F-D604-48D8-A07E-992060587FC8}"/>
    <cellStyle name="bluepercent" xfId="133" xr:uid="{95918758-E71B-44E7-8765-61FA152A7022}"/>
    <cellStyle name="Body" xfId="134" xr:uid="{8A97D8F5-78BE-46E5-B99E-F24E19FB5ABB}"/>
    <cellStyle name="Bold" xfId="135" xr:uid="{DAFFA227-87FF-45BD-ACAE-CD68C4097E24}"/>
    <cellStyle name="BoldItalic" xfId="136" xr:uid="{B2F2FCB4-5BD0-4349-9F00-47BED05EAEEB}"/>
    <cellStyle name="Bottom" xfId="137" xr:uid="{EFC47A8A-4213-4AFA-8539-3F17A81BF146}"/>
    <cellStyle name="Bottom Edge" xfId="138" xr:uid="{71396970-BBC1-4315-AE15-6F2C64A2EE76}"/>
    <cellStyle name="British Pound" xfId="139" xr:uid="{D7F5DA5B-A02D-4488-9C9D-F92C9567031E}"/>
    <cellStyle name="Business Description" xfId="140" xr:uid="{CE37227A-EF15-4F4A-A443-1533561167D2}"/>
    <cellStyle name="c" xfId="141" xr:uid="{AF434D92-C59F-4D81-A313-507D758CB339}"/>
    <cellStyle name="Calc Currency (0)" xfId="142" xr:uid="{4EBD4911-D1B0-4B8A-996C-81164D7BD885}"/>
    <cellStyle name="Calc Currency (2)" xfId="143" xr:uid="{DFD442DC-F9F7-44DC-9547-38D69A1C5101}"/>
    <cellStyle name="Calc Percent (0)" xfId="144" xr:uid="{F1045821-5460-490E-ACEC-0299F5D6CAC7}"/>
    <cellStyle name="Calc Percent (1)" xfId="145" xr:uid="{C9B685DD-DA80-455D-BAF6-9D9129F0D534}"/>
    <cellStyle name="Calc Percent (2)" xfId="146" xr:uid="{A287C99A-1A95-4E69-BD5E-A0EB4479F4F9}"/>
    <cellStyle name="Calc Units (0)" xfId="147" xr:uid="{C40ED97D-4099-407E-858C-9609569DEDCF}"/>
    <cellStyle name="Calc Units (1)" xfId="148" xr:uid="{19BC61DA-C7FF-4D42-A525-991FFA4834E9}"/>
    <cellStyle name="Calc Units (2)" xfId="149" xr:uid="{D8344B43-57C4-4F37-A77A-A0082C6CF621}"/>
    <cellStyle name="Case" xfId="150" xr:uid="{D7478501-8D8D-47F2-A9D5-12430D833C21}"/>
    <cellStyle name="cc" xfId="151" xr:uid="{FB55B5AF-8551-4C66-A189-1D1E04558E52}"/>
    <cellStyle name="Center" xfId="152" xr:uid="{4821B48E-481F-4712-BEC3-0E6B9203DE11}"/>
    <cellStyle name="CenterBold" xfId="153" xr:uid="{9ADEDECF-BA67-49CA-92FF-9A27882E4258}"/>
    <cellStyle name="CenterItalic" xfId="154" xr:uid="{5D8D7B0C-2CF2-414F-8C2B-75FE563394BB}"/>
    <cellStyle name="Cents" xfId="155" xr:uid="{7FF50645-0655-4FAC-9A68-3714C248D740}"/>
    <cellStyle name="ChartingText" xfId="156" xr:uid="{99D7B2D6-8300-4D1F-AE82-CAA7E89A5619}"/>
    <cellStyle name="Co. Names" xfId="157" xr:uid="{A2845866-F9E0-4B8D-8B39-81A54E11EA7A}"/>
    <cellStyle name="Co. Names - Bold" xfId="158" xr:uid="{A7DFBB46-F946-49AD-85EF-DB6007137605}"/>
    <cellStyle name="Co. Names_Break-Up" xfId="159" xr:uid="{D68FDEBE-B982-483D-B0DC-7C8D7D728D2E}"/>
    <cellStyle name="COL HEADINGS" xfId="160" xr:uid="{222AB916-4268-455C-955E-1D122269199E}"/>
    <cellStyle name="ColumnHeaderNormal" xfId="161" xr:uid="{F74B3C3A-87C2-4B97-A758-ADABA74F4D04}"/>
    <cellStyle name="Comma" xfId="162" builtinId="3"/>
    <cellStyle name="Comma  - Style1" xfId="163" xr:uid="{D15D6F17-7C78-4A9B-A68C-8F440BA6390E}"/>
    <cellStyle name="Comma  - Style2" xfId="164" xr:uid="{DAE4E054-8F81-4380-A8E8-DFBE7E6BC3D4}"/>
    <cellStyle name="Comma  - Style3" xfId="165" xr:uid="{AC0FFA5E-F13F-43E6-9CC0-B18ADA7B5332}"/>
    <cellStyle name="Comma  - Style4" xfId="166" xr:uid="{19F5A963-501A-4BE5-8209-1FE584A1EFED}"/>
    <cellStyle name="Comma  - Style5" xfId="167" xr:uid="{8FCAC4D2-56C2-4618-9200-BA6A2231DEE3}"/>
    <cellStyle name="Comma  - Style6" xfId="168" xr:uid="{15E867E5-564B-45AB-99E9-FA8F6B856C33}"/>
    <cellStyle name="Comma  - Style7" xfId="169" xr:uid="{D5612377-7C20-4840-9EEF-DE9F4CF5E448}"/>
    <cellStyle name="Comma  - Style8" xfId="170" xr:uid="{439D2C45-1EA1-45D5-9FC8-55F6395A3646}"/>
    <cellStyle name="Comma [0]; --" xfId="171" xr:uid="{849A6511-F775-4888-994B-0810727D0537}"/>
    <cellStyle name="Comma [00]" xfId="172" xr:uid="{483C6C03-95BC-4323-B684-3069B10E28D6}"/>
    <cellStyle name="Comma [1]" xfId="173" xr:uid="{2CFC765A-7510-4043-8C46-1AE1EA763AA4}"/>
    <cellStyle name="Comma Cents" xfId="174" xr:uid="{522D341A-D534-459E-AA07-9E67A63DE54B}"/>
    <cellStyle name="Comma0" xfId="175" xr:uid="{F4EE4453-BF6C-4ABE-B245-5138FB9F2567}"/>
    <cellStyle name="Commas" xfId="176" xr:uid="{A71FB6F5-9C1B-48D5-B21C-80E9639CCC00}"/>
    <cellStyle name="CommasBold" xfId="177" xr:uid="{A847660C-CCD4-4EA2-A3AF-2D1A0EA72302}"/>
    <cellStyle name="CompanyTitle" xfId="178" xr:uid="{7467129F-5081-437F-9FDF-C72AF2790F01}"/>
    <cellStyle name="Copied" xfId="179" xr:uid="{62A0F75D-1B29-4AB8-A4B0-F147AD9AE4EB}"/>
    <cellStyle name="Currency $" xfId="180" xr:uid="{98651B64-36E8-4AF2-8713-AA2A84C3ECB4}"/>
    <cellStyle name="Currency [0]; --" xfId="181" xr:uid="{43EA14CA-AF89-4139-868D-45C5BE44BEA2}"/>
    <cellStyle name="Currency [00]" xfId="182" xr:uid="{A8157C41-505D-4477-B723-BBEA1425D6A1}"/>
    <cellStyle name="Currency [1]" xfId="183" xr:uid="{B388D745-A1CA-4AC0-949A-2847ABC7B547}"/>
    <cellStyle name="Currency [2]" xfId="184" xr:uid="{D85BA4E8-E138-4020-A62E-9B20781D779B}"/>
    <cellStyle name="data" xfId="185" xr:uid="{1C7833E5-1421-4963-8FAE-5B2ACF47D944}"/>
    <cellStyle name="Date" xfId="186" xr:uid="{6FCAD8DB-FF0E-41EE-9F4D-3E4A19A5B4AE}"/>
    <cellStyle name="Date Short" xfId="187" xr:uid="{CA52CC82-AE5F-4E96-88FA-12A4B0F80EDB}"/>
    <cellStyle name="Date_COMPS - Directories" xfId="188" xr:uid="{00428BA5-44E1-4F1F-B3B5-E9669698E628}"/>
    <cellStyle name="DateLeftBold" xfId="189" xr:uid="{34489EF7-0E40-4176-9F76-1B96356D5506}"/>
    <cellStyle name="Default" xfId="190" xr:uid="{46EF00E2-5B92-435E-B74E-CD0D317CDD5F}"/>
    <cellStyle name="DELTA" xfId="191" xr:uid="{AB477029-5E0C-4B6B-A489-78E1177BD3B3}"/>
    <cellStyle name="Dollars" xfId="192" xr:uid="{AA67F644-2E00-4C1D-A545-221DA967A964}"/>
    <cellStyle name="Dollars []" xfId="193" xr:uid="{F4BEB6AD-F532-4F07-B06F-00A09087A44B}"/>
    <cellStyle name="Dollars_Pro Forma TTM 9.30.07 (CW NEIRB Acquisition)" xfId="194" xr:uid="{E9FA4DFD-64A8-45E9-98AF-2DFE987DFC63}"/>
    <cellStyle name="Double" xfId="195" xr:uid="{2CA71F62-F693-450C-9124-78B668DA775E}"/>
    <cellStyle name="Double Accounting" xfId="196" xr:uid="{E32F42C4-DEAD-4261-A724-FBB10DAC2D0D}"/>
    <cellStyle name="Enter Currency (0)" xfId="197" xr:uid="{1EBD2EE8-15A5-4D5E-9CEA-14D1A30C36DB}"/>
    <cellStyle name="Enter Currency (2)" xfId="198" xr:uid="{FFBAD73A-61A4-4547-B04E-38F85CC56FE2}"/>
    <cellStyle name="Enter Units (0)" xfId="199" xr:uid="{E00621D8-D1E8-408A-AB84-5A92BF47A83D}"/>
    <cellStyle name="Enter Units (1)" xfId="200" xr:uid="{B4F1603D-3F4A-4DAE-8ADB-7EBC259918BB}"/>
    <cellStyle name="Enter Units (2)" xfId="201" xr:uid="{87C9F972-F9FB-41FE-AA86-4EE52754462E}"/>
    <cellStyle name="Entered" xfId="202" xr:uid="{8D9B01BF-BAD4-429D-84A1-C2B9BC85917A}"/>
    <cellStyle name="Euro" xfId="203" xr:uid="{0CB5515F-4690-4704-9DC4-E224DFA02DF2}"/>
    <cellStyle name="Fit" xfId="204" xr:uid="{03C548CA-FC42-459F-B858-933EF637453F}"/>
    <cellStyle name="Footer" xfId="205" xr:uid="{4BB435C5-6643-4E9A-9C64-C5DF1457C617}"/>
    <cellStyle name="Footnotes" xfId="206" xr:uid="{BB11B60B-3153-4A84-9D4E-CB8CADC775C2}"/>
    <cellStyle name="Grey" xfId="207" xr:uid="{2F3677C9-9ED3-45C2-BCC2-A7F9FC71102D}"/>
    <cellStyle name="GreybarHeader" xfId="208" xr:uid="{59CC4CBE-0375-44EC-9DAA-2413A4717D2B}"/>
    <cellStyle name="Grouped Head" xfId="209" xr:uid="{EFC4B02D-14AA-4B07-BE19-95DB90D41C50}"/>
    <cellStyle name="h" xfId="210" xr:uid="{0CA179BA-987F-465E-AF5C-B201FDADB32E}"/>
    <cellStyle name="HAlignCenter" xfId="211" xr:uid="{BBF76E76-D8C4-4D1A-926C-B153E16B413E}"/>
    <cellStyle name="HAlignLeft" xfId="212" xr:uid="{A55B524C-63E2-4EF9-B567-77C44A38AE06}"/>
    <cellStyle name="HAlignRight" xfId="213" xr:uid="{D5C38229-A487-4908-A3C8-CA0071D4CAB9}"/>
    <cellStyle name="Head 1" xfId="214" xr:uid="{40324CCA-B0D0-432A-928F-803BD9785262}"/>
    <cellStyle name="Header" xfId="215" xr:uid="{EB99BED7-100B-4E40-B9B7-13FFD792950C}"/>
    <cellStyle name="Header1" xfId="216" xr:uid="{AC488D31-CEFB-4A38-A199-36675CD48372}"/>
    <cellStyle name="Header2" xfId="217" xr:uid="{F761FB2E-CA78-4B22-9215-6D3B4417D432}"/>
    <cellStyle name="headers" xfId="218" xr:uid="{6FE90D6C-3B0F-4929-B763-C8C1B1A357C8}"/>
    <cellStyle name="Heading" xfId="219" xr:uid="{4F4F6C62-8D0A-4DF4-8554-1CDA36826FCB}"/>
    <cellStyle name="HEADINGS" xfId="220" xr:uid="{85C3F300-B678-442E-ACED-0BB96490345E}"/>
    <cellStyle name="HEADINGSTOP" xfId="221" xr:uid="{52E0830B-7472-4B6B-BE08-68FDA6ED7B5C}"/>
    <cellStyle name="imput" xfId="222" xr:uid="{EA6A23FE-A974-4416-BA33-EA72F8B2DF7A}"/>
    <cellStyle name="Input [yellow]" xfId="223" xr:uid="{8308D01D-4168-4E14-8EA0-A1E49638F19A}"/>
    <cellStyle name="Invisible" xfId="224" xr:uid="{098D22BF-3326-4D1F-94B8-85A3D071B6ED}"/>
    <cellStyle name="ItalicHeader" xfId="225" xr:uid="{C0EA42D5-D574-423A-AB81-731373EE6495}"/>
    <cellStyle name="Item Descriptions" xfId="226" xr:uid="{D503D759-AEB5-42D7-8C66-6C3C5BE5F878}"/>
    <cellStyle name="Item Descriptions - Bold" xfId="227" xr:uid="{125F0EB2-C13A-439B-818F-E44B4BE597F1}"/>
    <cellStyle name="Item Descriptions_6079BX" xfId="228" xr:uid="{BD5CBA60-9F89-4624-9858-506EC0E27ADF}"/>
    <cellStyle name="Left" xfId="229" xr:uid="{39BB0B58-FD63-48D3-8AAC-2D82DB07B934}"/>
    <cellStyle name="LeftBold" xfId="230" xr:uid="{5A3CFFBE-4EB2-46CB-A354-4B132B8C30D9}"/>
    <cellStyle name="LeftBoldBottomRule" xfId="231" xr:uid="{473FBD83-9B8F-4D62-BB4D-137A1110161F}"/>
    <cellStyle name="LeftBoldCenterRule" xfId="232" xr:uid="{03FA7E98-3D70-44EC-BA23-DB9597E8437E}"/>
    <cellStyle name="Line" xfId="233" xr:uid="{8F05925F-6584-4699-8FAC-E00A274BEE1F}"/>
    <cellStyle name="Link Currency (0)" xfId="234" xr:uid="{934D0540-6FC2-4417-A074-A57EF29C03BA}"/>
    <cellStyle name="Link Currency (2)" xfId="235" xr:uid="{3194A936-480D-4FF7-A47A-6AD0C2498E0C}"/>
    <cellStyle name="Link Units (0)" xfId="236" xr:uid="{2E54EC64-D017-4549-A9AA-3CD6FB4910FA}"/>
    <cellStyle name="Link Units (1)" xfId="237" xr:uid="{A3291745-589B-4794-A9A1-6D0D34DF092C}"/>
    <cellStyle name="Link Units (2)" xfId="238" xr:uid="{31C5BB09-9A4C-451F-AE96-BF6160EE53A4}"/>
    <cellStyle name="locked" xfId="239" xr:uid="{4503B13F-DCCE-45B8-82E5-97AEF590BB33}"/>
    <cellStyle name="m&amp;a" xfId="240" xr:uid="{9030B289-E995-4CCA-AB01-2333015682A8}"/>
    <cellStyle name="Map Labels" xfId="241" xr:uid="{C245F991-B6E3-49A0-B906-7BDA12D215CE}"/>
    <cellStyle name="Map Legend" xfId="242" xr:uid="{D5E94462-A8DA-41E2-8A64-5905EBA8A3B3}"/>
    <cellStyle name="Merrill" xfId="243" xr:uid="{E65CDA96-722D-476A-B47C-E4271937B38B}"/>
    <cellStyle name="Millares 2 2 2 2" xfId="244" xr:uid="{40FCB84A-2710-4B8D-8A76-46C5C4964FEC}"/>
    <cellStyle name="Millares_Inv Detail A7" xfId="245" xr:uid="{64E624E1-A680-4483-B884-C32138B809BC}"/>
    <cellStyle name="Milliers [0]_r00SC" xfId="246" xr:uid="{31FC60F3-66D0-421E-91DE-90540BD01725}"/>
    <cellStyle name="Milliers_r00SC" xfId="247" xr:uid="{0FAB0765-D478-4058-95C3-5AF084231979}"/>
    <cellStyle name="Mix" xfId="248" xr:uid="{162780C0-D48E-4034-9F66-E7FA59A0ED6B}"/>
    <cellStyle name="mon" xfId="249" xr:uid="{94880A3B-2BD8-4507-B0FB-23E125F1A0C1}"/>
    <cellStyle name="Monétaire [0]_r00SC" xfId="250" xr:uid="{861D4B23-430F-454E-822F-70AC3182F306}"/>
    <cellStyle name="Monétaire_r00SC" xfId="251" xr:uid="{A3E78633-6E05-44B7-9F0D-31CCEB0AD5B2}"/>
    <cellStyle name="Money" xfId="252" xr:uid="{8A600392-4A3F-4A7E-919C-1EF2D8A84D36}"/>
    <cellStyle name="Multiple" xfId="253" xr:uid="{DC1263A6-880D-461F-A37A-92D1F5AD8B65}"/>
    <cellStyle name="Multiple []" xfId="254" xr:uid="{D24770F8-0816-4B94-BDC9-2B4FBA82706D}"/>
    <cellStyle name="Multiple [0]" xfId="255" xr:uid="{962DC0B3-3D2F-4D98-A0D5-D40424E12808}"/>
    <cellStyle name="Multiple [0] []" xfId="256" xr:uid="{D696754E-3FFA-4E33-A850-38DCB9136C95}"/>
    <cellStyle name="Multiple [0]_New MA Public Comps and WACC Model" xfId="257" xr:uid="{5C17B8B3-5402-48B1-9B7B-694EDBB1CB2F}"/>
    <cellStyle name="Multiple [1]" xfId="258" xr:uid="{A7BB1588-BF50-4BBA-9169-D89DBB8E65CE}"/>
    <cellStyle name="Multiple [1] []" xfId="259" xr:uid="{7D13DFB4-C0F6-4FA7-B0C0-A9DBCA0D968C}"/>
    <cellStyle name="Multiple [1]_New MA Public Comps and WACC Model" xfId="260" xr:uid="{078D1ACA-E001-4EF0-913A-8B36F90E075D}"/>
    <cellStyle name="Multiple_CapitalSum" xfId="261" xr:uid="{E649D4C3-0F82-458F-B373-B43A9AB9CA47}"/>
    <cellStyle name="N2Style" xfId="262" xr:uid="{9444EC1F-B2B8-46A7-A14F-A30829C59059}"/>
    <cellStyle name="NewColumnHeaderNormal" xfId="263" xr:uid="{70A6BC39-164A-4220-9B15-B15A813B7CE7}"/>
    <cellStyle name="NewSectionHeaderNormal" xfId="264" xr:uid="{6A0B8511-D89A-4847-8E47-DF5109DA5299}"/>
    <cellStyle name="NewTitleNormal" xfId="265" xr:uid="{08273A93-D161-4C36-A413-3F6EDB35352B}"/>
    <cellStyle name="Normal" xfId="0" builtinId="0"/>
    <cellStyle name="Normal - Style1" xfId="266" xr:uid="{135BFDE9-3652-4C90-9018-EAB897CD49B6}"/>
    <cellStyle name="Normal 2" xfId="267" xr:uid="{111419D6-61D7-40CD-98F7-D9A5190B0E0D}"/>
    <cellStyle name="Normal 2 2" xfId="268" xr:uid="{261FA42B-2A35-4D48-A14E-B762A47F72F1}"/>
    <cellStyle name="Normal 3" xfId="269" xr:uid="{1D827D23-754D-476F-9A63-314258D4B767}"/>
    <cellStyle name="Normal1" xfId="270" xr:uid="{AABF68F8-37D3-4592-9BAC-E47428686C2B}"/>
    <cellStyle name="Normal10" xfId="271" xr:uid="{8B686071-E53B-442A-A436-AAF98E2A15A1}"/>
    <cellStyle name="Normal100" xfId="272" xr:uid="{F3B64070-BA02-411E-8E8C-FCF79B0AD49C}"/>
    <cellStyle name="Normal101" xfId="273" xr:uid="{E1CAA1F1-BEC1-4B1E-A74E-CB75FB23B659}"/>
    <cellStyle name="Normal102" xfId="274" xr:uid="{3E622470-8A9B-4C5C-A2CF-1417AE5E7DA1}"/>
    <cellStyle name="Normal103" xfId="275" xr:uid="{B3FD6876-D9AE-4E9C-B199-88163631E8FD}"/>
    <cellStyle name="Normal104" xfId="276" xr:uid="{4D60CB1F-1D9E-47AB-81DD-C4FFC7EF609B}"/>
    <cellStyle name="Normal105" xfId="277" xr:uid="{1901C020-7C5F-4DC2-AFDF-A024E420E6A3}"/>
    <cellStyle name="Normal106" xfId="278" xr:uid="{B7ED0271-DE28-4EBE-8BE8-6D08D34F22F7}"/>
    <cellStyle name="Normal107" xfId="279" xr:uid="{47C0F1FE-44A7-4FF7-9ACF-E4D0F3D26B47}"/>
    <cellStyle name="Normal108" xfId="280" xr:uid="{F611D0CC-70E6-4508-9270-BBCEB8F0876B}"/>
    <cellStyle name="Normal109" xfId="281" xr:uid="{742E59DD-D7D1-4205-886E-6F730E836D5B}"/>
    <cellStyle name="Normal11" xfId="282" xr:uid="{E9B6799D-2B3A-4EA5-A8AF-C151ED18AE88}"/>
    <cellStyle name="Normal110" xfId="283" xr:uid="{72729A8A-C7CB-4AC8-AD45-29005B8C7894}"/>
    <cellStyle name="Normal111" xfId="284" xr:uid="{144D9CF4-8352-4D9A-A0A0-BB2064C8D2C4}"/>
    <cellStyle name="Normal112" xfId="285" xr:uid="{1A7A15B3-49CE-4E33-982A-F113AE28E7C7}"/>
    <cellStyle name="Normal113" xfId="286" xr:uid="{A16819EB-C71E-4EC7-B528-5D9486D5F202}"/>
    <cellStyle name="Normal114" xfId="287" xr:uid="{8AFBA8BC-616D-482B-B4DE-DCF0643B449A}"/>
    <cellStyle name="Normal115" xfId="288" xr:uid="{15F1908D-A970-4479-B455-F373182B1F37}"/>
    <cellStyle name="Normal116" xfId="289" xr:uid="{6E7D5265-3A7F-4D99-98DB-8081CBE1976F}"/>
    <cellStyle name="Normal117" xfId="290" xr:uid="{788405CD-D678-4623-8E9A-B4432AD415FC}"/>
    <cellStyle name="Normal118" xfId="291" xr:uid="{902F8B66-D7A4-4BFF-ADB4-BC83BF6D06DE}"/>
    <cellStyle name="Normal119" xfId="292" xr:uid="{F84DC49A-9917-4EE8-A68C-491CFF239318}"/>
    <cellStyle name="Normal12" xfId="293" xr:uid="{C07CDE75-3E43-4E95-B4C7-628ED6F50785}"/>
    <cellStyle name="Normal120" xfId="294" xr:uid="{0CE453B9-54F6-4064-BD77-6973AFF213DD}"/>
    <cellStyle name="Normal121" xfId="295" xr:uid="{179D9DFD-E6EF-4B78-A0F2-AB918D5DA1D7}"/>
    <cellStyle name="Normal122" xfId="296" xr:uid="{39A8151A-B941-4AD5-94B5-0AD7624951F0}"/>
    <cellStyle name="Normal123" xfId="297" xr:uid="{54DF0E6E-EA98-4D39-BD4E-07D10FB2FE1A}"/>
    <cellStyle name="Normal124" xfId="298" xr:uid="{0233E7C8-7B59-481C-AB36-7A34906227A5}"/>
    <cellStyle name="Normal125" xfId="299" xr:uid="{6E5D0157-66A0-4018-AC23-D1F5162485F2}"/>
    <cellStyle name="Normal126" xfId="300" xr:uid="{DE5BD1CC-B177-49E0-848C-E4D27E3D3EF2}"/>
    <cellStyle name="Normal127" xfId="301" xr:uid="{C5F8BA97-FEB7-42B0-BC38-F28EE0217280}"/>
    <cellStyle name="Normal128" xfId="302" xr:uid="{65D60FED-EE5B-4F33-986C-A80CED6EA65D}"/>
    <cellStyle name="Normal129" xfId="303" xr:uid="{738BE4B9-14CE-4AA4-9294-FDB2CE1D03A3}"/>
    <cellStyle name="Normal13" xfId="304" xr:uid="{BF69A7A5-3AE4-431E-BA83-3A2883A0E6E9}"/>
    <cellStyle name="Normal130" xfId="305" xr:uid="{5A275F7D-BF15-4591-9C05-4E8F16D065D4}"/>
    <cellStyle name="Normal131" xfId="306" xr:uid="{C7DC8FBC-D8B7-45AE-B56A-062D58F67097}"/>
    <cellStyle name="Normal132" xfId="307" xr:uid="{2F94D43A-FD2F-494B-978D-533E23990EAE}"/>
    <cellStyle name="Normal133" xfId="308" xr:uid="{86333539-3AD9-40B5-A79F-931E565F1477}"/>
    <cellStyle name="Normal134" xfId="309" xr:uid="{E4C4969D-E1E7-449D-9109-DD5C3826F933}"/>
    <cellStyle name="Normal135" xfId="310" xr:uid="{849CFB1B-C292-48DF-BBD4-39CFBE5257B2}"/>
    <cellStyle name="Normal136" xfId="311" xr:uid="{AEF396AE-374C-48BA-A069-FF8465E2F584}"/>
    <cellStyle name="Normal137" xfId="312" xr:uid="{752F361E-AAF9-4474-9174-3BF7A46EBBE9}"/>
    <cellStyle name="Normal138" xfId="313" xr:uid="{2E30F8C1-F492-407E-BB72-4F34D58254E9}"/>
    <cellStyle name="Normal139" xfId="314" xr:uid="{37964C01-A3A9-426E-82BD-B752166049D0}"/>
    <cellStyle name="Normal14" xfId="315" xr:uid="{1D831E86-F7CF-4771-91AA-F3C07791C1F9}"/>
    <cellStyle name="Normal140" xfId="316" xr:uid="{B8079812-6ADA-4CC6-863F-F65B61C88A6E}"/>
    <cellStyle name="Normal141" xfId="317" xr:uid="{47254EF0-CC9B-4D9A-BFC2-939556BCFBC9}"/>
    <cellStyle name="Normal142" xfId="318" xr:uid="{083B9787-81BA-460F-81C9-FDB240DA447A}"/>
    <cellStyle name="Normal143" xfId="319" xr:uid="{E31F4AAA-501F-4E82-B541-DDF22B0193FD}"/>
    <cellStyle name="Normal144" xfId="320" xr:uid="{00A02E48-4B30-4CAC-B229-E2622C7D6F1E}"/>
    <cellStyle name="Normal145" xfId="321" xr:uid="{55CA7E70-EC18-427E-80D2-DDCE577D635D}"/>
    <cellStyle name="Normal146" xfId="322" xr:uid="{C55F8475-9D4B-451E-AD78-7371AA186799}"/>
    <cellStyle name="Normal147" xfId="323" xr:uid="{3EF41C6A-31C1-43AC-BC7E-7E41E66574FB}"/>
    <cellStyle name="Normal148" xfId="324" xr:uid="{C9BF2067-6CCF-45CE-9DF6-6D56B209C124}"/>
    <cellStyle name="Normal149" xfId="325" xr:uid="{96E35E69-E4CA-42CB-82AE-B34350F8307A}"/>
    <cellStyle name="Normal15" xfId="326" xr:uid="{ED743606-1651-4C89-991C-786C7416F350}"/>
    <cellStyle name="Normal150" xfId="327" xr:uid="{9E2954E6-124D-45E5-8651-ADE02E86F361}"/>
    <cellStyle name="Normal151" xfId="328" xr:uid="{6AF19251-27A5-49A5-8B5A-02574A2C6D5B}"/>
    <cellStyle name="Normal152" xfId="329" xr:uid="{E445FDC7-1C47-46F0-BB31-E608D625C7B0}"/>
    <cellStyle name="Normal153" xfId="330" xr:uid="{A467B9E7-79E4-45C3-832A-659EA0DEB8E9}"/>
    <cellStyle name="Normal154" xfId="331" xr:uid="{1DF8C76E-D761-43CA-8A69-263A95F60BF5}"/>
    <cellStyle name="Normal155" xfId="332" xr:uid="{F85DE180-9877-4E25-BC58-5BDA3DB8E715}"/>
    <cellStyle name="Normal156" xfId="333" xr:uid="{131922E2-EB2E-4FA8-A09A-05CD63F7F9B7}"/>
    <cellStyle name="Normal157" xfId="334" xr:uid="{73F45EAC-3182-4D15-9566-F4049AAA48CF}"/>
    <cellStyle name="Normal158" xfId="335" xr:uid="{4B0CBDE6-45BB-48A7-ADB4-5B2E1F5D4EC6}"/>
    <cellStyle name="Normal159" xfId="336" xr:uid="{2F4FE00A-3B9E-4FD9-903A-BEFDAB6B4A24}"/>
    <cellStyle name="Normal16" xfId="337" xr:uid="{A41F14AC-8697-4A1D-8AAD-4861AB87E619}"/>
    <cellStyle name="Normal160" xfId="338" xr:uid="{EB603FE2-18AA-4497-9CDC-F2226FAAD013}"/>
    <cellStyle name="Normal161" xfId="339" xr:uid="{08F31EEE-3D95-4E5D-BD78-8E7A0474DD0D}"/>
    <cellStyle name="Normal162" xfId="340" xr:uid="{A88109C0-2396-4C60-8AD8-2AF3F307B554}"/>
    <cellStyle name="Normal163" xfId="341" xr:uid="{D6336206-6DC1-48F8-8C52-E48DBAD8FF26}"/>
    <cellStyle name="Normal164" xfId="342" xr:uid="{DC788E3B-1B79-418D-B985-F0615C3363A7}"/>
    <cellStyle name="Normal165" xfId="343" xr:uid="{ADADACBD-F6C3-47C7-92F2-DA93EFD6B029}"/>
    <cellStyle name="Normal166" xfId="344" xr:uid="{4B471829-6F1A-497D-A403-CDFEA21721DB}"/>
    <cellStyle name="Normal167" xfId="345" xr:uid="{232D4ED0-39F2-4705-86F6-6954888AE0F3}"/>
    <cellStyle name="Normal168" xfId="346" xr:uid="{1F8BBB08-2E67-4166-8C35-A28AD92CF211}"/>
    <cellStyle name="Normal169" xfId="347" xr:uid="{F55E2386-7E2B-44AB-AC7F-B30DB5EA8E1A}"/>
    <cellStyle name="Normal17" xfId="348" xr:uid="{0A3784E3-795B-4454-9E0C-B3C5111E8817}"/>
    <cellStyle name="Normal170" xfId="349" xr:uid="{21301ED4-954D-4DF2-914A-6B6CB75047F9}"/>
    <cellStyle name="Normal171" xfId="350" xr:uid="{C144437F-D4EC-4269-9F1B-603BD4EA0099}"/>
    <cellStyle name="Normal172" xfId="351" xr:uid="{D74945DC-5310-4253-AC43-F4037DEC8004}"/>
    <cellStyle name="Normal173" xfId="352" xr:uid="{4F4DA91F-76F7-4980-820B-D2901374CB89}"/>
    <cellStyle name="Normal174" xfId="353" xr:uid="{C6D8814F-5894-4C5D-9364-584D1BABAAC9}"/>
    <cellStyle name="Normal175" xfId="354" xr:uid="{52442EC7-BB14-4EC5-9462-30B951DD320C}"/>
    <cellStyle name="Normal176" xfId="355" xr:uid="{B15A965F-4656-47B0-965C-9AFBA687D2F6}"/>
    <cellStyle name="Normal177" xfId="356" xr:uid="{807C12F3-919D-4D70-8569-5E90ABBEBCDD}"/>
    <cellStyle name="Normal178" xfId="357" xr:uid="{AAAA758C-6868-4C5A-8614-D44997E599A7}"/>
    <cellStyle name="Normal179" xfId="358" xr:uid="{A53D0B85-D245-4C7D-81BB-16D76653F511}"/>
    <cellStyle name="Normal18" xfId="359" xr:uid="{A8CE441F-B40D-4C4D-BCF4-CE3DD1146610}"/>
    <cellStyle name="Normal180" xfId="360" xr:uid="{FD5F2B1D-2C06-45CF-92D5-15C87CF494D9}"/>
    <cellStyle name="Normal181" xfId="361" xr:uid="{7752B2C8-F206-4B15-AB90-BAFC7473DEF4}"/>
    <cellStyle name="Normal182" xfId="362" xr:uid="{7B10D1F4-3FEC-4D63-ABC5-BA9601891F88}"/>
    <cellStyle name="Normal183" xfId="363" xr:uid="{8F2E9773-31D4-468C-827F-D89C8170CCB8}"/>
    <cellStyle name="Normal184" xfId="364" xr:uid="{58B5DEF6-BB22-4E49-9061-C94294C6F6CC}"/>
    <cellStyle name="Normal185" xfId="365" xr:uid="{C9CDBC26-419F-455B-B7C1-A116B45A694B}"/>
    <cellStyle name="Normal186" xfId="366" xr:uid="{9976792C-3E1C-4A5C-AF27-7A12FB14AA52}"/>
    <cellStyle name="Normal187" xfId="367" xr:uid="{D3918F6E-66F1-4741-8EC0-A1AE730BB729}"/>
    <cellStyle name="Normal188" xfId="368" xr:uid="{D67A7336-739D-420E-B1A4-38BDFC5C88B5}"/>
    <cellStyle name="Normal189" xfId="369" xr:uid="{BA612D95-1D3B-49C1-ABEB-CD47ABD8B5E6}"/>
    <cellStyle name="Normal19" xfId="370" xr:uid="{E1FC2CC6-8D97-4267-A11D-B0515B719648}"/>
    <cellStyle name="Normal190" xfId="371" xr:uid="{74815AE9-4002-4F14-8109-79782FA8C3FC}"/>
    <cellStyle name="Normal191" xfId="372" xr:uid="{6425DB44-6D0D-42D1-936E-875967AEDEE1}"/>
    <cellStyle name="Normal192" xfId="373" xr:uid="{7B0CD3D1-3471-4638-8AE9-42DC93FD06B4}"/>
    <cellStyle name="Normal193" xfId="374" xr:uid="{ECFD950F-83EE-4910-B560-F7EE96B0CC55}"/>
    <cellStyle name="Normal194" xfId="375" xr:uid="{CC378708-42E3-4844-8309-CD4A70271089}"/>
    <cellStyle name="Normal195" xfId="376" xr:uid="{5DE5852E-0E18-43D7-B067-A5D7C3DD01EA}"/>
    <cellStyle name="Normal196" xfId="377" xr:uid="{759C290A-12D9-445B-8109-DC6B4A421B62}"/>
    <cellStyle name="Normal197" xfId="378" xr:uid="{C360717A-62E6-4954-9EC4-4267CCEC762D}"/>
    <cellStyle name="Normal198" xfId="379" xr:uid="{59C80BBD-B97C-4FE4-80EF-1C1F15E594BB}"/>
    <cellStyle name="Normal199" xfId="380" xr:uid="{A9F23D60-C0CC-4758-8406-643DA44165AE}"/>
    <cellStyle name="Normal2" xfId="381" xr:uid="{0752D330-8669-45A2-83A7-4C3BD0DF8AA3}"/>
    <cellStyle name="Normal20" xfId="382" xr:uid="{079BB220-9D33-45E2-BBA6-C6DDE6F1BF26}"/>
    <cellStyle name="Normal200" xfId="383" xr:uid="{C7BA10DF-1A0C-4867-A392-19B30C638CF8}"/>
    <cellStyle name="Normal201" xfId="384" xr:uid="{F821603A-2D57-404B-9C2C-8869A5B8B0D4}"/>
    <cellStyle name="Normal202" xfId="385" xr:uid="{FB16FB75-F911-4454-B2EF-B2C84BD46677}"/>
    <cellStyle name="Normal203" xfId="386" xr:uid="{C28EC218-6840-4BA0-9C59-9DF972BA43D5}"/>
    <cellStyle name="Normal204" xfId="387" xr:uid="{898C34D6-E0DA-47CB-8CC5-87CCE972B445}"/>
    <cellStyle name="Normal205" xfId="388" xr:uid="{7EA43F53-71EF-4753-ADCB-559D0A14AA21}"/>
    <cellStyle name="Normal206" xfId="389" xr:uid="{AEA80B7A-943E-4E65-B570-96CFF6301561}"/>
    <cellStyle name="Normal207" xfId="390" xr:uid="{34A02DF6-F5F4-47B8-AC58-6A52C7B6444F}"/>
    <cellStyle name="Normal208" xfId="391" xr:uid="{90E70EBA-B5DE-4B9B-AF10-1D1D410B6B42}"/>
    <cellStyle name="Normal209" xfId="392" xr:uid="{73740651-1F0E-4501-80CD-5C2318D4D3F0}"/>
    <cellStyle name="Normal21" xfId="393" xr:uid="{47E4AE7D-56F7-45DC-B0D7-219F9DBFB736}"/>
    <cellStyle name="Normal210" xfId="394" xr:uid="{CF41DCE1-9479-420B-9574-65B1AD9B9EDB}"/>
    <cellStyle name="Normal211" xfId="395" xr:uid="{F5DF7D71-94E9-4FD2-BBD9-ED14E711C596}"/>
    <cellStyle name="Normal212" xfId="396" xr:uid="{7F0C970B-5F87-4DBB-9AFD-617DF34CF03D}"/>
    <cellStyle name="Normal213" xfId="397" xr:uid="{DF27F4DF-C3BA-4635-A678-035B8684AE43}"/>
    <cellStyle name="Normal214" xfId="398" xr:uid="{4FAD0370-138B-4E05-B431-78CC7DE167E8}"/>
    <cellStyle name="Normal215" xfId="399" xr:uid="{419FBDBB-8AEF-4E48-A7F7-739EF194D8AE}"/>
    <cellStyle name="Normal216" xfId="400" xr:uid="{72FC5B21-C883-4622-9E19-7D4FFC163BA5}"/>
    <cellStyle name="Normal217" xfId="401" xr:uid="{DCBF7A0C-B81C-4517-BB82-3A12501E6E1F}"/>
    <cellStyle name="Normal218" xfId="402" xr:uid="{1172AFBD-EBA7-40B2-8CCB-1A8744ACA78E}"/>
    <cellStyle name="Normal219" xfId="403" xr:uid="{ED0F3C57-E4A5-46DB-BF74-F39ECE6A110B}"/>
    <cellStyle name="Normal22" xfId="404" xr:uid="{D1A73AD0-104C-4969-A19C-AD2A7E8E2A19}"/>
    <cellStyle name="Normal220" xfId="405" xr:uid="{6BFFE4F9-481C-4C9B-BAF8-8EC3DEF26273}"/>
    <cellStyle name="Normal221" xfId="406" xr:uid="{4957F4D3-B380-4577-8306-8C2255F86FFB}"/>
    <cellStyle name="Normal222" xfId="407" xr:uid="{C36B2995-9290-423A-ADAC-681CC3AF68B1}"/>
    <cellStyle name="Normal223" xfId="408" xr:uid="{2D4C461B-8E4F-421A-8974-8749AACB75F6}"/>
    <cellStyle name="Normal224" xfId="409" xr:uid="{F00B9B51-0E8D-4837-8251-6024C8EE384C}"/>
    <cellStyle name="Normal225" xfId="410" xr:uid="{081CE3B6-54EB-4721-9601-4507D028265E}"/>
    <cellStyle name="Normal226" xfId="411" xr:uid="{0A79A2CE-207F-471B-8978-7B38EB28C793}"/>
    <cellStyle name="Normal227" xfId="412" xr:uid="{BA80E950-0E96-4FCC-9201-08F28E2D3594}"/>
    <cellStyle name="Normal228" xfId="413" xr:uid="{A61AF376-68F5-48ED-AF12-5D816E1A5E76}"/>
    <cellStyle name="Normal229" xfId="414" xr:uid="{5516FEEB-4A4B-447B-9F86-EDE0D278650B}"/>
    <cellStyle name="Normal23" xfId="415" xr:uid="{7990F584-D999-4495-845F-CCA10D354320}"/>
    <cellStyle name="Normal230" xfId="416" xr:uid="{1B9DFAAB-B455-4DE9-825F-B495ED7E1CFA}"/>
    <cellStyle name="Normal231" xfId="417" xr:uid="{6BB9881A-16A7-44A4-9E0B-F3947721284C}"/>
    <cellStyle name="Normal232" xfId="418" xr:uid="{1D942616-CA35-4FC3-81A0-AD02C12FF532}"/>
    <cellStyle name="Normal233" xfId="419" xr:uid="{87A5BC2B-BF81-4136-9ABE-041B7F5EAFAB}"/>
    <cellStyle name="Normal234" xfId="420" xr:uid="{21790B3E-082B-4FB1-9F90-A10B10F199ED}"/>
    <cellStyle name="Normal235" xfId="421" xr:uid="{DB611093-82B0-4DF8-924B-F593A3D1D73E}"/>
    <cellStyle name="Normal236" xfId="422" xr:uid="{585E58C8-ABB2-47E6-BAA3-40BC2AF38BA4}"/>
    <cellStyle name="Normal237" xfId="423" xr:uid="{0B3AE515-4DA6-4CB8-94AE-F48B4A0B5CFD}"/>
    <cellStyle name="Normal238" xfId="424" xr:uid="{CDA0082C-7336-4D7C-8A23-D1689159C80B}"/>
    <cellStyle name="Normal239" xfId="425" xr:uid="{01664693-06BB-49A8-A853-83F358BECE7A}"/>
    <cellStyle name="Normal24" xfId="426" xr:uid="{E61D6B1B-FCCE-42A8-ADE6-2E9E0FE64DD2}"/>
    <cellStyle name="Normal240" xfId="427" xr:uid="{5E882E04-E48D-45DB-8C0E-9101EAC711D4}"/>
    <cellStyle name="Normal241" xfId="428" xr:uid="{A1632063-B2DB-4EEE-88CE-8E008D2B71C6}"/>
    <cellStyle name="Normal242" xfId="429" xr:uid="{ACE7AD65-AAD9-42FB-B930-41D652D99059}"/>
    <cellStyle name="Normal243" xfId="430" xr:uid="{531084BE-C16D-4C77-A457-DC4016DF703B}"/>
    <cellStyle name="Normal244" xfId="431" xr:uid="{9BBBD96F-BE21-4EBC-8591-8CF145D9CCAD}"/>
    <cellStyle name="Normal245" xfId="432" xr:uid="{53B5A76D-ACC2-41F6-9D19-EC5618986115}"/>
    <cellStyle name="Normal246" xfId="433" xr:uid="{4B02653F-3761-4DCC-B09A-DF57DFE65D81}"/>
    <cellStyle name="Normal247" xfId="434" xr:uid="{A66C0618-A360-493D-A6B6-A115E770F773}"/>
    <cellStyle name="Normal248" xfId="435" xr:uid="{327F9679-665A-49A4-A1AC-4A5DFABFDCE4}"/>
    <cellStyle name="Normal249" xfId="436" xr:uid="{BC6BC9A4-A772-4FFB-BCA9-37654295FC1B}"/>
    <cellStyle name="Normal25" xfId="437" xr:uid="{89ADF6A9-8942-4261-AE84-72A842D08A9E}"/>
    <cellStyle name="Normal250" xfId="438" xr:uid="{F1E6FCA1-71A1-4DED-92A1-53731E761593}"/>
    <cellStyle name="Normal251" xfId="439" xr:uid="{DFE6EBD6-33BF-43EE-8D6D-AAC74AF51E9D}"/>
    <cellStyle name="Normal252" xfId="440" xr:uid="{55308044-93E3-48AD-98F6-4C5CF685D78F}"/>
    <cellStyle name="Normal253" xfId="441" xr:uid="{DCC8584D-974B-4C85-B35A-9CE465EE05FD}"/>
    <cellStyle name="Normal26" xfId="442" xr:uid="{0E2BD07F-0801-44F1-AA60-37A133C2CCB4}"/>
    <cellStyle name="Normal27" xfId="443" xr:uid="{E3161D94-FBAA-409C-9B2B-3B924F4F8B6C}"/>
    <cellStyle name="Normal28" xfId="444" xr:uid="{789E7DAB-2671-4B24-8FB7-41F733BAF8FC}"/>
    <cellStyle name="Normal29" xfId="445" xr:uid="{71295879-E985-4F57-93FD-F821A91D195B}"/>
    <cellStyle name="Normal3" xfId="446" xr:uid="{2C18C1B4-35A9-4F7E-8391-2AC697AF1D0A}"/>
    <cellStyle name="Normal30" xfId="447" xr:uid="{AFA97813-38F0-418B-91F2-E98851A3C58D}"/>
    <cellStyle name="Normal31" xfId="448" xr:uid="{60D49257-EEAD-45F5-AB9D-CC68DB2D3B2E}"/>
    <cellStyle name="Normal32" xfId="449" xr:uid="{EE0ED44D-76B4-4C70-AB5E-EA072298993D}"/>
    <cellStyle name="Normal33" xfId="450" xr:uid="{41D11890-1942-4916-B269-1B3B12AA7BA3}"/>
    <cellStyle name="Normal34" xfId="451" xr:uid="{D356B848-F0E6-4712-BAFF-DFFA2BF7024A}"/>
    <cellStyle name="Normal35" xfId="452" xr:uid="{60430A62-DECB-4A51-83C3-9E04A0966DAB}"/>
    <cellStyle name="Normal36" xfId="453" xr:uid="{A11B361C-730B-4D67-82B1-D5817263C075}"/>
    <cellStyle name="Normal37" xfId="454" xr:uid="{0DEDA40C-808C-4AAD-BEDC-056DDD53F6D6}"/>
    <cellStyle name="Normal38" xfId="455" xr:uid="{89E325CE-52D3-4545-A289-CFB2BD00D238}"/>
    <cellStyle name="Normal39" xfId="456" xr:uid="{7A33EEC4-AFCF-4EB3-BD88-86EE4F956B8D}"/>
    <cellStyle name="Normal4" xfId="457" xr:uid="{0A5494C0-F669-4169-A8AF-95C5D0819A65}"/>
    <cellStyle name="Normal40" xfId="458" xr:uid="{927FDA73-C92B-4B61-A59E-4ED4A55AEA5E}"/>
    <cellStyle name="Normal41" xfId="459" xr:uid="{F16FF954-9A1D-486C-834E-466D8CEEBDAA}"/>
    <cellStyle name="Normal42" xfId="460" xr:uid="{2BF2B1CF-F1BE-4CD7-8E3A-79BA268A6366}"/>
    <cellStyle name="Normal43" xfId="461" xr:uid="{AEB3EF6A-1013-4EA8-9AE4-8DAB37399AB6}"/>
    <cellStyle name="Normal44" xfId="462" xr:uid="{A4011A25-45EA-4D23-AF7F-8962511FA0FA}"/>
    <cellStyle name="Normal45" xfId="463" xr:uid="{0640A114-8B12-48F1-BD7D-56678F162497}"/>
    <cellStyle name="Normal46" xfId="464" xr:uid="{20876DAB-2ACA-45D7-88CE-14984879573E}"/>
    <cellStyle name="Normal47" xfId="465" xr:uid="{D37A199A-E952-43E8-8E2D-651B0D521D23}"/>
    <cellStyle name="Normal48" xfId="466" xr:uid="{7D05EA9C-EAA9-44C1-B2A3-48C235746CDF}"/>
    <cellStyle name="Normal49" xfId="467" xr:uid="{202A3B80-CECD-4682-B3BA-BE5E3351AE86}"/>
    <cellStyle name="Normal5" xfId="468" xr:uid="{47E4A638-1723-4A88-B156-E0C381EEF600}"/>
    <cellStyle name="Normal50" xfId="469" xr:uid="{A1D20334-47A3-4441-ADAA-59692FE70428}"/>
    <cellStyle name="Normal51" xfId="470" xr:uid="{EA6A0AA5-E0CB-41EF-8489-8853F5E0F16C}"/>
    <cellStyle name="Normal52" xfId="471" xr:uid="{9A3EC0EF-CAAD-4865-A21F-38A27D7E933F}"/>
    <cellStyle name="Normal53" xfId="472" xr:uid="{2B9EB3B8-D694-42EC-A7A5-FBFF5B6FCD4F}"/>
    <cellStyle name="Normal54" xfId="473" xr:uid="{892C2B16-5156-478C-99E5-4BCAF63CB9B2}"/>
    <cellStyle name="Normal55" xfId="474" xr:uid="{8D2A4EEA-19A9-4D53-9071-44FF392A51BE}"/>
    <cellStyle name="Normal56" xfId="475" xr:uid="{04EA7C92-8893-4CAB-94D3-C1CE9A5200E8}"/>
    <cellStyle name="Normal57" xfId="476" xr:uid="{1954D858-E328-410A-8337-AA720DD74A40}"/>
    <cellStyle name="Normal58" xfId="477" xr:uid="{14C09C93-C182-4E1C-8FBD-68B20ECAC9BA}"/>
    <cellStyle name="Normal59" xfId="478" xr:uid="{E359585A-AA50-4DE2-9D0F-3AEBF4F1BA4D}"/>
    <cellStyle name="Normal6" xfId="479" xr:uid="{07BD0C5B-E42A-46B7-AF4C-382B8EDFEE51}"/>
    <cellStyle name="Normal60" xfId="480" xr:uid="{290C2359-87C6-48BA-8C46-3FA2F4B335F8}"/>
    <cellStyle name="Normal61" xfId="481" xr:uid="{9C08BFBC-2622-433A-BDAC-BA30C7C7C680}"/>
    <cellStyle name="Normal62" xfId="482" xr:uid="{FD906A88-03ED-40F3-87D6-47DB344BF365}"/>
    <cellStyle name="Normal63" xfId="483" xr:uid="{6499DA2C-8E42-42C4-BA74-98213AA688A1}"/>
    <cellStyle name="Normal64" xfId="484" xr:uid="{EF5FB9F1-CDDA-4D48-8D27-84F44869FD78}"/>
    <cellStyle name="Normal65" xfId="485" xr:uid="{DA919FCA-AEB6-4A3E-9D0B-BED842AA505E}"/>
    <cellStyle name="Normal66" xfId="486" xr:uid="{5B4030DB-7CF5-42F2-AE4D-3CD6A3A5EFAF}"/>
    <cellStyle name="Normal67" xfId="487" xr:uid="{F55ECB76-C647-48C9-85CA-960DE54B4680}"/>
    <cellStyle name="Normal68" xfId="488" xr:uid="{6F1BC745-F9F1-4381-96A4-752E5A68BE79}"/>
    <cellStyle name="Normal69" xfId="489" xr:uid="{90BBD7CB-FD65-4DC9-87D3-239A5F783622}"/>
    <cellStyle name="Normal7" xfId="490" xr:uid="{C635256C-DEE9-465F-8C50-33C4B922F0E2}"/>
    <cellStyle name="Normal70" xfId="491" xr:uid="{6670784B-03D8-423D-9A56-11F5FAFE6203}"/>
    <cellStyle name="Normal71" xfId="492" xr:uid="{72F0294A-8CBC-4613-AC31-7620619847B9}"/>
    <cellStyle name="Normal72" xfId="493" xr:uid="{6CEA05B5-4958-4814-B2C3-96583CA507D7}"/>
    <cellStyle name="Normal73" xfId="494" xr:uid="{F564708F-B767-41F8-9F17-41DCC15EEC57}"/>
    <cellStyle name="Normal74" xfId="495" xr:uid="{71C84B80-F588-48DD-80D6-19531C9060F0}"/>
    <cellStyle name="Normal75" xfId="496" xr:uid="{71422680-1FB8-4585-90E7-59139E165F81}"/>
    <cellStyle name="Normal76" xfId="497" xr:uid="{789714E3-C013-4545-923D-2F7406EAB889}"/>
    <cellStyle name="Normal77" xfId="498" xr:uid="{D9D97736-914F-4DD4-8466-F614814F0DCF}"/>
    <cellStyle name="Normal78" xfId="499" xr:uid="{147A1A57-058D-4347-8872-BD5AD8E9CB09}"/>
    <cellStyle name="Normal79" xfId="500" xr:uid="{106D9B3E-544F-4EA6-8BDC-F973E1E6DCD1}"/>
    <cellStyle name="Normal8" xfId="501" xr:uid="{FC0AF3E5-E914-4542-9D4F-E8E349245FFA}"/>
    <cellStyle name="Normal80" xfId="502" xr:uid="{E7DC6DB7-01A3-44CB-817D-CBC0E679517E}"/>
    <cellStyle name="Normal81" xfId="503" xr:uid="{5E50B561-D031-4D73-9E13-7CD22D7B0F2F}"/>
    <cellStyle name="Normal82" xfId="504" xr:uid="{A54CCE16-4E4F-407A-ABB5-8F2BCCDBF3E2}"/>
    <cellStyle name="Normal83" xfId="505" xr:uid="{C87829A2-783E-4B9F-8DD4-0DFA1D7828E9}"/>
    <cellStyle name="Normal84" xfId="506" xr:uid="{B5D923EC-ACB1-4DED-B55B-BC88DA3316A7}"/>
    <cellStyle name="Normal85" xfId="507" xr:uid="{41A301A3-CF1A-487F-9D72-FC41AD00ECEC}"/>
    <cellStyle name="Normal86" xfId="508" xr:uid="{1AD615F6-9D07-415A-985A-4F34E525B665}"/>
    <cellStyle name="Normal87" xfId="509" xr:uid="{D9F0D963-896B-43F3-A54B-4C4B55972161}"/>
    <cellStyle name="Normal88" xfId="510" xr:uid="{1BEC38A1-C4B6-41DE-9641-9424979204B2}"/>
    <cellStyle name="Normal89" xfId="511" xr:uid="{50E54C4F-8AD8-4FD1-804C-DAFDB8CAFD64}"/>
    <cellStyle name="Normal9" xfId="512" xr:uid="{61EDD7E0-0FAB-42D6-AEAD-A2131A647ED4}"/>
    <cellStyle name="Normal90" xfId="513" xr:uid="{BF729820-502E-4DBC-9295-100816A03DD8}"/>
    <cellStyle name="Normal91" xfId="514" xr:uid="{E0BD1C69-7E53-48B6-96EF-70E66D22ED1E}"/>
    <cellStyle name="Normal92" xfId="515" xr:uid="{9A681146-6B10-4C0B-BD68-BE950134AFDD}"/>
    <cellStyle name="Normal93" xfId="516" xr:uid="{46E14D15-9066-4477-8D8C-9ECE9DE3DF15}"/>
    <cellStyle name="Normal94" xfId="517" xr:uid="{FDA4315F-198F-465A-9E2E-B8839EF8C513}"/>
    <cellStyle name="Normal95" xfId="518" xr:uid="{B018365A-1874-41B6-9B75-AFAE8DD7CA6E}"/>
    <cellStyle name="Normal96" xfId="519" xr:uid="{3C76BB78-2AFB-4874-9000-82DAAF63A4EF}"/>
    <cellStyle name="Normal97" xfId="520" xr:uid="{C901FDD5-8D4B-46EA-9877-1B733A12AFC7}"/>
    <cellStyle name="Normal98" xfId="521" xr:uid="{8ADC6118-68AF-451B-8037-BEE47733349D}"/>
    <cellStyle name="Normal99" xfId="522" xr:uid="{BFC14152-A28D-4A44-8943-14790DB584C2}"/>
    <cellStyle name="NotDeclared_1" xfId="523" xr:uid="{762354E4-4A7F-4B4C-857A-50473A97F406}"/>
    <cellStyle name="Numbers" xfId="524" xr:uid="{5130D274-643A-4CC3-AC4A-BA41EADBCC34}"/>
    <cellStyle name="Numbers - Bold" xfId="525" xr:uid="{8EFF82AF-7608-4339-9E7F-EB79E37173F1}"/>
    <cellStyle name="Numbers - Bold - Italic" xfId="526" xr:uid="{8C3EEBAC-8E9A-4F73-8A6A-69D3CAD0EE39}"/>
    <cellStyle name="Numbers - Bold_6079BX" xfId="527" xr:uid="{E4670F8A-D4A9-4AE4-AFF4-87689D05D880}"/>
    <cellStyle name="Numbers - Large" xfId="528" xr:uid="{F423FA49-088A-4A2B-9A2B-5D7534086FAD}"/>
    <cellStyle name="Numbers_6079BX" xfId="529" xr:uid="{261CC048-065B-4A40-B4AE-4745489222E1}"/>
    <cellStyle name="OSW_RowLabels" xfId="530" xr:uid="{D7142804-6978-4051-B92A-AA621CC63F5B}"/>
    <cellStyle name="Outline" xfId="531" xr:uid="{47723E5D-24FA-499C-AF5C-9358FEA28047}"/>
    <cellStyle name="Output Amounts" xfId="532" xr:uid="{C23DC220-7DB5-4B20-8A99-88437C07FA40}"/>
    <cellStyle name="Output Column Headings" xfId="533" xr:uid="{58C93A80-0128-4E21-8EF9-163D03FCB3C4}"/>
    <cellStyle name="Output Line Items" xfId="534" xr:uid="{F9EF5510-A49C-4ED3-B7EC-EF9E6F02345F}"/>
    <cellStyle name="Output Report Heading" xfId="535" xr:uid="{8A4487B4-4AC1-49C1-ACDD-E7CD8A182BA0}"/>
    <cellStyle name="Page" xfId="536" xr:uid="{B358E741-1CD0-4492-9E96-12B82FFF404D}"/>
    <cellStyle name="PB Table Heading" xfId="537" xr:uid="{86BC42C0-6046-42E2-B0F2-AB6127547BA9}"/>
    <cellStyle name="PB Table Highlight1" xfId="538" xr:uid="{43F48B7B-0C50-41A9-BD18-4BD33EF13985}"/>
    <cellStyle name="PB Table Highlight2" xfId="539" xr:uid="{63C27A57-C44F-46CD-A0B5-764F0D21F938}"/>
    <cellStyle name="PB Table Highlight3" xfId="540" xr:uid="{E679149E-E27A-4907-9C4A-4230FB132E71}"/>
    <cellStyle name="PB Table Standard Row" xfId="541" xr:uid="{9E7AE72D-DE34-442F-B377-ED4D23216014}"/>
    <cellStyle name="PB Table Subtotal Row" xfId="542" xr:uid="{336E7760-90C0-47A9-8C5C-50EA3C3D7A72}"/>
    <cellStyle name="PB Table Total Row" xfId="543" xr:uid="{3AE2648B-888C-4A3F-B5D6-A0F46E44DECC}"/>
    <cellStyle name="Per cent" xfId="545" builtinId="5"/>
    <cellStyle name="per.style" xfId="544" xr:uid="{F842146E-62C4-4B69-98AB-62AF7AAE1E0B}"/>
    <cellStyle name="Percent [0]" xfId="546" xr:uid="{07A269F8-360E-40DD-8CA5-80364777A392}"/>
    <cellStyle name="Percent [00]" xfId="547" xr:uid="{D2507311-6F96-435E-9160-44658E702346}"/>
    <cellStyle name="Percent [1]" xfId="548" xr:uid="{39191D08-8FF9-4E41-8EB7-8BA19EB77865}"/>
    <cellStyle name="Percent [1][]" xfId="549" xr:uid="{6D6FACC4-C279-40DE-B617-6A527A91D956}"/>
    <cellStyle name="Percent [1]_New MA Public Comps and WACC Model" xfId="550" xr:uid="{D50D0548-BF53-49F6-8732-CDC8F6AF78B7}"/>
    <cellStyle name="Percent [2]" xfId="551" xr:uid="{D94420B9-7457-43CF-8DF0-9648401BA409}"/>
    <cellStyle name="Percent Comma" xfId="552" xr:uid="{41D15E8B-EEE7-4DA2-8CA0-BFF5EF5985E1}"/>
    <cellStyle name="Percent1" xfId="553" xr:uid="{E562AE10-46D3-4F1D-80C8-A023B7EADA3C}"/>
    <cellStyle name="Percent10" xfId="554" xr:uid="{018E4FAF-AD2D-4522-A94D-A254892E41EF}"/>
    <cellStyle name="Percent100" xfId="555" xr:uid="{A56A0D0A-44AD-4791-A727-01725C511741}"/>
    <cellStyle name="Percent101" xfId="556" xr:uid="{62D012A1-397D-4B04-B647-6A64D83BD86C}"/>
    <cellStyle name="Percent102" xfId="557" xr:uid="{49D84D88-55F4-48FC-B6E8-C9785D176027}"/>
    <cellStyle name="Percent103" xfId="558" xr:uid="{7BFFAFD6-C5C8-4C94-B1A4-1571421CA7A9}"/>
    <cellStyle name="Percent104" xfId="559" xr:uid="{EA5C90C8-C16E-44B0-8F10-2F0194B88BE1}"/>
    <cellStyle name="Percent105" xfId="560" xr:uid="{DB7D1E0D-A099-4FD8-BFD6-AE81462EA2CB}"/>
    <cellStyle name="Percent106" xfId="561" xr:uid="{2487FF3E-6E58-43F7-9965-A7C0FDAFE5FD}"/>
    <cellStyle name="Percent107" xfId="562" xr:uid="{BF434EA3-FB76-4556-B5E1-ED4FB22EA930}"/>
    <cellStyle name="Percent108" xfId="563" xr:uid="{9EC83FFD-760E-49C5-B005-5247F7B01807}"/>
    <cellStyle name="Percent109" xfId="564" xr:uid="{B18C0C6E-C435-42B4-AAA1-9F1DD3F9E0F7}"/>
    <cellStyle name="Percent11" xfId="565" xr:uid="{D83969E6-BBBE-488E-8A08-110087310955}"/>
    <cellStyle name="Percent110" xfId="566" xr:uid="{35634177-884A-49E9-8828-5F277A1710A7}"/>
    <cellStyle name="Percent111" xfId="567" xr:uid="{AB8570D2-9357-4255-A50D-37ED51656E5E}"/>
    <cellStyle name="Percent112" xfId="568" xr:uid="{FE879EB5-9CC2-4243-ADAB-2CFFEABAB990}"/>
    <cellStyle name="Percent113" xfId="569" xr:uid="{A12E6995-600E-4EC9-8447-0CAFFBE1B337}"/>
    <cellStyle name="Percent114" xfId="570" xr:uid="{A40B926C-C78B-4117-AFB2-B50CF8AC40F8}"/>
    <cellStyle name="Percent115" xfId="571" xr:uid="{F6EB6CA3-3F51-4B44-A4A0-8A4BACBE46B2}"/>
    <cellStyle name="Percent116" xfId="572" xr:uid="{814A2AAF-539C-4701-BF96-B304779B110B}"/>
    <cellStyle name="Percent117" xfId="573" xr:uid="{0485D4DA-7B8B-4D28-8883-8363A8E2AA76}"/>
    <cellStyle name="Percent118" xfId="574" xr:uid="{642A8725-2CD2-4C76-80D2-8532C4C0D1A8}"/>
    <cellStyle name="Percent119" xfId="575" xr:uid="{92D84F25-F07E-41C6-BF97-03512CAAE050}"/>
    <cellStyle name="Percent12" xfId="576" xr:uid="{C4D920CE-A673-47D8-87A9-B9B96A6AB9CF}"/>
    <cellStyle name="Percent120" xfId="577" xr:uid="{00E9FACF-47E6-41BA-877D-8EDC0F4924E6}"/>
    <cellStyle name="Percent121" xfId="578" xr:uid="{769D410F-4D94-4164-B09D-C68C06D4B5F1}"/>
    <cellStyle name="Percent122" xfId="579" xr:uid="{0624FD2C-DB7F-434B-A999-E43E61DDDCA4}"/>
    <cellStyle name="Percent123" xfId="580" xr:uid="{B1E89D3B-07C6-4075-8093-D796D398A017}"/>
    <cellStyle name="Percent124" xfId="581" xr:uid="{ACA635A1-7452-46F2-BF2C-1581B1F3923B}"/>
    <cellStyle name="Percent125" xfId="582" xr:uid="{DCD09A22-C30A-493F-A724-C70E85AD5A47}"/>
    <cellStyle name="Percent126" xfId="583" xr:uid="{3D759FA6-E693-441A-9334-40B9BE9EAC45}"/>
    <cellStyle name="Percent127" xfId="584" xr:uid="{61CE6CD5-12D0-43AF-948F-5A2F4354063E}"/>
    <cellStyle name="Percent128" xfId="585" xr:uid="{832628FB-7CBA-4D16-9B91-85F4E58392AA}"/>
    <cellStyle name="Percent129" xfId="586" xr:uid="{D1D64F1E-BDDB-454B-8C08-DF083930D1F6}"/>
    <cellStyle name="Percent13" xfId="587" xr:uid="{E15D4279-E7A3-43FF-AD0F-5B97C4AC9DC1}"/>
    <cellStyle name="Percent130" xfId="588" xr:uid="{D0672814-70A7-4D69-BD4F-45F6C490528A}"/>
    <cellStyle name="Percent131" xfId="589" xr:uid="{06BCD810-F302-4E81-9A07-B9D85EA9890D}"/>
    <cellStyle name="Percent132" xfId="590" xr:uid="{537A7DE2-08E1-4764-B956-3F015809061B}"/>
    <cellStyle name="Percent133" xfId="591" xr:uid="{DF4E51F0-D9D6-4324-ADC4-625875E4597F}"/>
    <cellStyle name="Percent134" xfId="592" xr:uid="{6CEBF7ED-5BFF-418F-985E-80C2B33187D0}"/>
    <cellStyle name="Percent135" xfId="593" xr:uid="{CE7868C7-C207-4831-9484-583C299A4263}"/>
    <cellStyle name="Percent136" xfId="594" xr:uid="{664A613F-9DB4-4E62-BB4F-42C4B3158534}"/>
    <cellStyle name="Percent137" xfId="595" xr:uid="{DB748D87-35BA-4192-B10D-C596750374D3}"/>
    <cellStyle name="Percent138" xfId="596" xr:uid="{DDBE9BF5-CF5A-4181-9D1B-3C0957C0B061}"/>
    <cellStyle name="Percent139" xfId="597" xr:uid="{A18BC715-E209-4AAB-9D63-0AD260AD6842}"/>
    <cellStyle name="Percent14" xfId="598" xr:uid="{D9B76E26-CE6C-4F3F-AD6C-8E6109B530BC}"/>
    <cellStyle name="Percent140" xfId="599" xr:uid="{8E2FC379-E47C-4290-B588-D957E0E0CAB9}"/>
    <cellStyle name="Percent141" xfId="600" xr:uid="{D2D1C022-CE0B-48E2-8B78-E704D4FF53F1}"/>
    <cellStyle name="Percent142" xfId="601" xr:uid="{B7D97A4F-28C2-49C0-B463-B76449057905}"/>
    <cellStyle name="Percent143" xfId="602" xr:uid="{75A72571-492A-4A8D-B447-78D6CF7E18FA}"/>
    <cellStyle name="Percent144" xfId="603" xr:uid="{7B1D1C96-3CA5-4707-BAAB-E7F6B82CA106}"/>
    <cellStyle name="Percent145" xfId="604" xr:uid="{A61397D7-9B1C-4ACE-B5F0-13CB4B7D6C6C}"/>
    <cellStyle name="Percent146" xfId="605" xr:uid="{FDE812BD-F62D-499E-8479-0DA7AA1B3F36}"/>
    <cellStyle name="Percent147" xfId="606" xr:uid="{919A641A-304B-40C8-B533-3A26923A0BA9}"/>
    <cellStyle name="Percent148" xfId="607" xr:uid="{2FC0FEB3-D618-40E4-BDAC-3D09BECE1D1C}"/>
    <cellStyle name="Percent149" xfId="608" xr:uid="{FBD4E5AD-D845-4621-A248-AFF95A719E63}"/>
    <cellStyle name="Percent15" xfId="609" xr:uid="{74F77C77-58F6-481F-A5BC-536B808BABF4}"/>
    <cellStyle name="Percent150" xfId="610" xr:uid="{B955C882-B85C-4F3F-A4C5-E1A5B71F7BBE}"/>
    <cellStyle name="Percent151" xfId="611" xr:uid="{41933759-2CEC-46A0-AADF-360FDDA3B836}"/>
    <cellStyle name="Percent152" xfId="612" xr:uid="{0C8B2118-6CB8-4DBC-8ACA-F23A122D91B8}"/>
    <cellStyle name="Percent153" xfId="613" xr:uid="{51ADC901-DDD5-4F3A-B6FB-CEC53630D01B}"/>
    <cellStyle name="Percent154" xfId="614" xr:uid="{CDFFF3F5-9CDE-4909-8212-E596763DEA7C}"/>
    <cellStyle name="Percent155" xfId="615" xr:uid="{654C64A5-3C46-42B8-ACE7-959F5C227FEC}"/>
    <cellStyle name="Percent156" xfId="616" xr:uid="{B894203C-7B01-474C-A803-FA7DC69D1AAE}"/>
    <cellStyle name="Percent157" xfId="617" xr:uid="{53E800D9-1F52-4D38-AF0F-E2FA244AD5CE}"/>
    <cellStyle name="Percent158" xfId="618" xr:uid="{29408DF1-8F53-4B98-91D8-E7129AA5F095}"/>
    <cellStyle name="Percent159" xfId="619" xr:uid="{BF949684-A65F-46AF-86AB-ABB734FF0890}"/>
    <cellStyle name="Percent16" xfId="620" xr:uid="{FE43CCD1-FE57-4C2E-AA37-7B9349EE1BEA}"/>
    <cellStyle name="Percent160" xfId="621" xr:uid="{C3930746-A661-4FD3-BE73-BB67A135791A}"/>
    <cellStyle name="Percent161" xfId="622" xr:uid="{57853DBB-46D7-43D6-A394-6815A4FAB69E}"/>
    <cellStyle name="Percent162" xfId="623" xr:uid="{AD8AA0BB-DCC5-48DC-9EEF-1B2D5F07E4E6}"/>
    <cellStyle name="Percent163" xfId="624" xr:uid="{26F3F4D6-610C-4623-AA52-DA94616132A5}"/>
    <cellStyle name="Percent164" xfId="625" xr:uid="{5CA604A9-2080-47B0-B199-159D47EE8C8C}"/>
    <cellStyle name="Percent165" xfId="626" xr:uid="{FBEB6F37-34D9-4723-A041-A43213D655B6}"/>
    <cellStyle name="Percent166" xfId="627" xr:uid="{FC9BECBB-37DE-4AD3-BEEA-AECD4D586217}"/>
    <cellStyle name="Percent167" xfId="628" xr:uid="{A048BED8-CCA5-4818-9654-0E3C9DD7DCD2}"/>
    <cellStyle name="Percent168" xfId="629" xr:uid="{3ACE3673-9C5F-4B6F-B0F0-5E2C1F6EEAC4}"/>
    <cellStyle name="Percent169" xfId="630" xr:uid="{B0F54684-227C-4798-8CBB-A463A9C41DDC}"/>
    <cellStyle name="Percent17" xfId="631" xr:uid="{20CE66CB-A577-445B-88B7-15351962A18E}"/>
    <cellStyle name="Percent170" xfId="632" xr:uid="{BDA39796-9CB1-49FA-9517-342483B97C3B}"/>
    <cellStyle name="Percent171" xfId="633" xr:uid="{0340D100-0121-4135-A758-179B621B1A88}"/>
    <cellStyle name="Percent172" xfId="634" xr:uid="{3F741835-1D0F-48DB-8A41-F40323D1310C}"/>
    <cellStyle name="Percent173" xfId="635" xr:uid="{B004A749-5F7F-41CC-82B5-7F6418F7C707}"/>
    <cellStyle name="Percent174" xfId="636" xr:uid="{8E2F2768-6C10-41B8-820B-20B7B4175B28}"/>
    <cellStyle name="Percent175" xfId="637" xr:uid="{0089FF11-02DB-4AAD-9C0A-CDE2F2BB85A9}"/>
    <cellStyle name="Percent176" xfId="638" xr:uid="{8A44B00F-2302-4197-BCC4-1F930B11B25D}"/>
    <cellStyle name="Percent177" xfId="639" xr:uid="{0660BC57-950C-4FFB-AB04-3AA1B95673F1}"/>
    <cellStyle name="Percent178" xfId="640" xr:uid="{FD123549-8458-4572-9303-AFFF39CAC50A}"/>
    <cellStyle name="Percent179" xfId="641" xr:uid="{7BBE0E2B-E2AF-4C1D-A55B-A951E92F424B}"/>
    <cellStyle name="Percent18" xfId="642" xr:uid="{43683BBF-2332-4CBC-B0B3-15C838B87310}"/>
    <cellStyle name="Percent180" xfId="643" xr:uid="{45C60846-4263-430E-A671-9D3AC53776B0}"/>
    <cellStyle name="Percent181" xfId="644" xr:uid="{07EF39CC-C712-46E1-B028-A33DB0016306}"/>
    <cellStyle name="Percent182" xfId="645" xr:uid="{6AED5E01-DE61-4488-85DE-FEAD27F9F2C4}"/>
    <cellStyle name="Percent183" xfId="646" xr:uid="{85E873F1-3892-4804-AAC4-6B7ACFB559EC}"/>
    <cellStyle name="Percent184" xfId="647" xr:uid="{6C7D7C38-58BD-47D1-BAD0-3D4AA393AE19}"/>
    <cellStyle name="Percent185" xfId="648" xr:uid="{05689940-B239-47ED-87AF-C35A7DB43567}"/>
    <cellStyle name="Percent186" xfId="649" xr:uid="{478F68E6-9AC4-4F47-99D8-FD11A5225E74}"/>
    <cellStyle name="Percent187" xfId="650" xr:uid="{5536CE35-3443-4896-8B72-CA789C713FB3}"/>
    <cellStyle name="Percent188" xfId="651" xr:uid="{72E83E0D-39F3-42DF-91EF-8B4E0AA3FE51}"/>
    <cellStyle name="Percent189" xfId="652" xr:uid="{59C9D535-77B4-492D-A178-890F75ADA7C0}"/>
    <cellStyle name="Percent19" xfId="653" xr:uid="{FB2759DA-F7AE-432F-8BD4-E6033E04EC21}"/>
    <cellStyle name="Percent190" xfId="654" xr:uid="{7DD05F9D-37C1-422B-84F7-2291B63D7D80}"/>
    <cellStyle name="Percent191" xfId="655" xr:uid="{E4D0256C-D34E-4101-9EED-DEBAA4FEC4EC}"/>
    <cellStyle name="Percent192" xfId="656" xr:uid="{735F2E42-0DBF-4FC8-A683-294F930E72F3}"/>
    <cellStyle name="Percent193" xfId="657" xr:uid="{03225337-B4F9-4517-B719-A4956DD2C9F5}"/>
    <cellStyle name="Percent194" xfId="658" xr:uid="{04FF7F78-2A1A-41E0-BC3B-80EF2E449D7C}"/>
    <cellStyle name="Percent195" xfId="659" xr:uid="{AFA9C687-30B9-48FB-A9FD-04AC29B3A1D6}"/>
    <cellStyle name="Percent196" xfId="660" xr:uid="{B1F1579D-F8A7-4F66-A228-6948A119CD4A}"/>
    <cellStyle name="Percent197" xfId="661" xr:uid="{2C254EDB-8B44-40E7-85E4-5FB949F1F11F}"/>
    <cellStyle name="Percent198" xfId="662" xr:uid="{66154F28-9344-4849-8D04-4E1B693BC793}"/>
    <cellStyle name="Percent199" xfId="663" xr:uid="{3AD84726-F44D-4421-856C-BBA88268F393}"/>
    <cellStyle name="Percent1Bold" xfId="664" xr:uid="{18F90360-9706-470A-B10B-9265A9300417}"/>
    <cellStyle name="Percent2" xfId="665" xr:uid="{E557CCA7-95DD-49E7-A8DB-47AC0100E39E}"/>
    <cellStyle name="Percent20" xfId="666" xr:uid="{141B3B11-A4B0-421C-B294-AFC033360ABB}"/>
    <cellStyle name="Percent200" xfId="667" xr:uid="{2F92FB54-2968-4DE7-8A63-5885467583AB}"/>
    <cellStyle name="Percent201" xfId="668" xr:uid="{84BEDB6F-ED91-46CB-AE5D-92B7EBD71025}"/>
    <cellStyle name="Percent202" xfId="669" xr:uid="{BC2EDE88-DFB5-4FC6-A65D-3B99C2476921}"/>
    <cellStyle name="Percent203" xfId="670" xr:uid="{84B1995E-A9DE-4C1E-AFC9-EE312F0FDC4F}"/>
    <cellStyle name="Percent204" xfId="671" xr:uid="{13BD0018-8547-4B26-BB9D-1EB57787A5CD}"/>
    <cellStyle name="Percent205" xfId="672" xr:uid="{26522205-7F5C-4F4E-B5AD-C683E3082E35}"/>
    <cellStyle name="Percent206" xfId="673" xr:uid="{486BEEF3-3923-4380-BCB4-1AA4344C521F}"/>
    <cellStyle name="Percent207" xfId="674" xr:uid="{7FEB2BE1-584B-460D-AF18-741F3D7FD015}"/>
    <cellStyle name="Percent208" xfId="675" xr:uid="{59EAA8F7-97EE-4CBA-9AE4-0E37B1DF5513}"/>
    <cellStyle name="Percent209" xfId="676" xr:uid="{D2A1FAF2-98C0-4CBE-9309-3641EE628140}"/>
    <cellStyle name="Percent21" xfId="677" xr:uid="{1089EB77-2C52-4562-86EA-5A38697B8386}"/>
    <cellStyle name="Percent210" xfId="678" xr:uid="{AB98F49C-8D8F-4A5E-AC1D-C8832AA18F0A}"/>
    <cellStyle name="Percent211" xfId="679" xr:uid="{CC8A3242-9DB6-43C4-9350-29E95E548129}"/>
    <cellStyle name="Percent212" xfId="680" xr:uid="{E4D5A71B-506D-45CC-A6CE-F4DA179D56F6}"/>
    <cellStyle name="Percent213" xfId="681" xr:uid="{949935FA-DC29-4FBA-92A2-1F2963C9A3B7}"/>
    <cellStyle name="Percent214" xfId="682" xr:uid="{2A4033A5-8027-4892-98A6-FA4369E69CAF}"/>
    <cellStyle name="Percent215" xfId="683" xr:uid="{093C8620-2FAA-4FA0-B8B0-EC9AC6A2976C}"/>
    <cellStyle name="Percent216" xfId="684" xr:uid="{7E374872-29A9-42CA-AC29-4BBC93B2B6E2}"/>
    <cellStyle name="Percent217" xfId="685" xr:uid="{00FD75D0-A52B-4577-AE8A-4EF6FA3D0B7C}"/>
    <cellStyle name="Percent218" xfId="686" xr:uid="{39D73670-3659-4589-B396-B858E79B5F87}"/>
    <cellStyle name="Percent219" xfId="687" xr:uid="{9FD3FD59-B00F-40FB-A54E-8B59D012A1C2}"/>
    <cellStyle name="Percent22" xfId="688" xr:uid="{75A7705A-A6A6-49B2-B056-DF10B15D02C9}"/>
    <cellStyle name="Percent220" xfId="689" xr:uid="{0B551969-2BD6-48CE-B422-984FD2226EA9}"/>
    <cellStyle name="Percent221" xfId="690" xr:uid="{FBA07091-9C71-483D-B159-677D1C8BE2DE}"/>
    <cellStyle name="Percent222" xfId="691" xr:uid="{F8F21F2C-0042-401B-ACDC-D69857AD9DFB}"/>
    <cellStyle name="Percent223" xfId="692" xr:uid="{9797511B-9B17-4C57-99B4-9118C3F8736E}"/>
    <cellStyle name="Percent224" xfId="693" xr:uid="{332FC79E-B35D-4380-B998-5C7F46A37A6C}"/>
    <cellStyle name="Percent225" xfId="694" xr:uid="{97931329-34DB-4E1A-8F99-D3ED2A15BC6B}"/>
    <cellStyle name="Percent226" xfId="695" xr:uid="{5A963A7F-6BBB-4166-A642-4EDFFCA53818}"/>
    <cellStyle name="Percent227" xfId="696" xr:uid="{683C2777-CD31-418D-A82C-DE89704BBFDE}"/>
    <cellStyle name="Percent228" xfId="697" xr:uid="{345B4D9A-99B2-44A4-BFAE-AB96213B9FA2}"/>
    <cellStyle name="Percent229" xfId="698" xr:uid="{9643E43D-8116-4625-A62B-C574CE44AC21}"/>
    <cellStyle name="Percent23" xfId="699" xr:uid="{4B551BA7-5BA7-4493-9242-CF1ED1EC221E}"/>
    <cellStyle name="Percent230" xfId="700" xr:uid="{D515B07B-714A-4401-939F-73ECF46E09A9}"/>
    <cellStyle name="Percent231" xfId="701" xr:uid="{B26E8793-7D24-449D-911D-AE549D817091}"/>
    <cellStyle name="Percent232" xfId="702" xr:uid="{A816D63A-0FD5-4899-9C9B-F55B195E32D6}"/>
    <cellStyle name="Percent233" xfId="703" xr:uid="{03A65287-1873-4FEC-B91B-DA4D739984AE}"/>
    <cellStyle name="Percent234" xfId="704" xr:uid="{310ED150-7B7C-4B62-8C93-1213F15CE5F0}"/>
    <cellStyle name="Percent235" xfId="705" xr:uid="{EFDB749F-E468-47D6-AFC5-53DE1A550314}"/>
    <cellStyle name="Percent236" xfId="706" xr:uid="{A4C89003-668C-40D2-AC08-CC65F527D27F}"/>
    <cellStyle name="Percent24" xfId="707" xr:uid="{EB73F27C-1937-4722-BCED-0996295325BA}"/>
    <cellStyle name="Percent25" xfId="708" xr:uid="{4FEE8209-9EFE-4297-8C66-60CB7C4CFB78}"/>
    <cellStyle name="Percent26" xfId="709" xr:uid="{F276DF2C-6DCF-4E1A-BAB2-FDBF10E2AE39}"/>
    <cellStyle name="Percent27" xfId="710" xr:uid="{219CA648-FC4A-4D04-ACCB-1456F7E0D22A}"/>
    <cellStyle name="Percent28" xfId="711" xr:uid="{3957B347-8908-422D-BE25-59E1040456A5}"/>
    <cellStyle name="Percent29" xfId="712" xr:uid="{2507756C-2138-4661-A9DD-186541B933E5}"/>
    <cellStyle name="Percent3" xfId="713" xr:uid="{4B88F635-3F09-452F-9D23-427486A51A0A}"/>
    <cellStyle name="Percent30" xfId="714" xr:uid="{FB6E0A01-F908-41A4-BDD9-ACF11AFE11B0}"/>
    <cellStyle name="Percent31" xfId="715" xr:uid="{49A445B5-F2AE-4939-84EE-756BC9F2C512}"/>
    <cellStyle name="Percent32" xfId="716" xr:uid="{3938FBC5-E328-4702-ADEF-EE36505604AE}"/>
    <cellStyle name="Percent33" xfId="717" xr:uid="{A8A58899-A62D-45CB-BC47-2FA7088781BA}"/>
    <cellStyle name="Percent34" xfId="718" xr:uid="{CF9A1612-3F99-438E-A54F-01E28C01DAF6}"/>
    <cellStyle name="Percent35" xfId="719" xr:uid="{FD1D8B07-168B-4D45-B729-2CBC5D01537A}"/>
    <cellStyle name="Percent36" xfId="720" xr:uid="{142BC8D1-E920-4963-A05E-392EBDB53F00}"/>
    <cellStyle name="Percent37" xfId="721" xr:uid="{DF337DDE-64E9-4F26-8351-DB9F52F68CE4}"/>
    <cellStyle name="Percent38" xfId="722" xr:uid="{3A97EC1E-5A8C-458B-8705-229D6E19CA4F}"/>
    <cellStyle name="Percent39" xfId="723" xr:uid="{C3E95F5F-33C3-4AC2-915A-A1A5312F5301}"/>
    <cellStyle name="Percent4" xfId="724" xr:uid="{6B1AC3F9-DFD9-4452-ADD6-AD801AE62166}"/>
    <cellStyle name="Percent40" xfId="725" xr:uid="{6367D307-6175-43E9-B271-D8614B565FCD}"/>
    <cellStyle name="Percent41" xfId="726" xr:uid="{76F09E7C-5B53-4B4C-B57B-19B6195D3033}"/>
    <cellStyle name="Percent42" xfId="727" xr:uid="{7160CA7A-51D4-4D72-9695-D337D0C3162D}"/>
    <cellStyle name="Percent43" xfId="728" xr:uid="{23C571CA-867D-45CC-A531-49AAF872BD31}"/>
    <cellStyle name="Percent44" xfId="729" xr:uid="{6E819E9C-AA3F-4200-B3FA-149982232B7C}"/>
    <cellStyle name="Percent45" xfId="730" xr:uid="{4BABF1C2-B0F6-4842-A976-7B6CCBE4D06E}"/>
    <cellStyle name="Percent46" xfId="731" xr:uid="{995F7BD6-28FE-4012-AC8A-478E2BCAF2E2}"/>
    <cellStyle name="Percent47" xfId="732" xr:uid="{FE55FAEF-86A8-46C7-B0F9-8DB6854CC3C5}"/>
    <cellStyle name="Percent48" xfId="733" xr:uid="{F83993D7-D836-46A3-BCE0-4FAC8332D255}"/>
    <cellStyle name="Percent49" xfId="734" xr:uid="{2960F8ED-0B8E-4CA9-B576-8C8A96BA68B5}"/>
    <cellStyle name="Percent5" xfId="735" xr:uid="{51D35331-9073-42AD-B53C-8997967BAC39}"/>
    <cellStyle name="Percent50" xfId="736" xr:uid="{7E3CB6B6-8B46-4628-8519-8D296C3A12AF}"/>
    <cellStyle name="Percent51" xfId="737" xr:uid="{27477338-5525-4B11-B125-5DB5D69172AA}"/>
    <cellStyle name="Percent52" xfId="738" xr:uid="{6C6C6537-72DD-4038-A72B-2B063EE64962}"/>
    <cellStyle name="Percent53" xfId="739" xr:uid="{61A60473-A74A-4C48-9889-50D9381DE87C}"/>
    <cellStyle name="Percent54" xfId="740" xr:uid="{5B63A9E6-15B4-4EC7-95B1-300085F3311A}"/>
    <cellStyle name="Percent55" xfId="741" xr:uid="{AC6D84B9-278C-4156-9D0F-B562F0171F8D}"/>
    <cellStyle name="Percent56" xfId="742" xr:uid="{CD844570-91A0-42B8-9900-FB5657A8DEDC}"/>
    <cellStyle name="Percent57" xfId="743" xr:uid="{EF686D32-4C72-484C-B19B-A0CAF20181E8}"/>
    <cellStyle name="Percent58" xfId="744" xr:uid="{19E8BA7D-502F-49E3-83E1-44D1B41155F1}"/>
    <cellStyle name="Percent59" xfId="745" xr:uid="{41E1E94A-9418-4C06-B210-46D7D5A0509D}"/>
    <cellStyle name="Percent6" xfId="746" xr:uid="{5EBC7D41-9CC2-4BCE-85EB-7B76E988AD34}"/>
    <cellStyle name="Percent60" xfId="747" xr:uid="{BF3AF64C-0E3F-4889-97DA-45FF8A0C9E89}"/>
    <cellStyle name="Percent61" xfId="748" xr:uid="{E7AC54A3-7D86-4660-85DD-4BF87F8F2D58}"/>
    <cellStyle name="Percent62" xfId="749" xr:uid="{BD963730-E298-4AAC-B628-D65A22F17E28}"/>
    <cellStyle name="Percent63" xfId="750" xr:uid="{7EA65EC8-81A3-452A-BAA5-F5881146B3D7}"/>
    <cellStyle name="Percent64" xfId="751" xr:uid="{73F54E01-4C88-4C6D-81D6-3E8563C9E2AD}"/>
    <cellStyle name="Percent65" xfId="752" xr:uid="{61784719-BF54-434C-8718-1F4CF2C5E81E}"/>
    <cellStyle name="Percent66" xfId="753" xr:uid="{8C7155C8-C30B-4C1F-A86C-6745E844E4DB}"/>
    <cellStyle name="Percent67" xfId="754" xr:uid="{DE94D493-BD89-4B91-9838-8D6D186CA135}"/>
    <cellStyle name="Percent68" xfId="755" xr:uid="{D58896B6-8151-4A03-AA0A-BBB130C65FD0}"/>
    <cellStyle name="Percent69" xfId="756" xr:uid="{CC7D18AA-383C-417A-9224-F1982C64EBA1}"/>
    <cellStyle name="Percent7" xfId="757" xr:uid="{18DA43CC-C83C-42D4-A2E8-1E471E53F953}"/>
    <cellStyle name="Percent70" xfId="758" xr:uid="{A441A493-362C-4CE7-BEA7-462FA4771D04}"/>
    <cellStyle name="Percent71" xfId="759" xr:uid="{0F3AC93A-0FAF-4419-80C2-B1AEB24CAC8C}"/>
    <cellStyle name="Percent72" xfId="760" xr:uid="{3F33FA21-2B8F-487B-ABD8-B1853B733387}"/>
    <cellStyle name="Percent73" xfId="761" xr:uid="{DF518E8B-E8A8-4271-B1B6-F23AEB64627A}"/>
    <cellStyle name="Percent74" xfId="762" xr:uid="{F2BCF72D-8DD5-4504-86A8-27BBC953A84C}"/>
    <cellStyle name="Percent75" xfId="763" xr:uid="{E299E2DB-534F-4196-BAC3-74B43939D23D}"/>
    <cellStyle name="Percent76" xfId="764" xr:uid="{A0539FA8-E3AC-42BF-B658-4B6F23837A68}"/>
    <cellStyle name="Percent77" xfId="765" xr:uid="{B5A07148-BAD1-4D38-A609-9D7895F2A848}"/>
    <cellStyle name="Percent78" xfId="766" xr:uid="{17CF84BF-E7EE-4A9A-8E29-CAAB365AB4BD}"/>
    <cellStyle name="Percent79" xfId="767" xr:uid="{1AE2EB6B-237F-447E-8EE1-0900ED0CDE1B}"/>
    <cellStyle name="Percent8" xfId="768" xr:uid="{B87D0A48-5C1E-4B04-8D9F-DCDBEE457144}"/>
    <cellStyle name="Percent80" xfId="769" xr:uid="{A34F3608-FB7A-4B6A-AF94-8D3894D1BB7B}"/>
    <cellStyle name="Percent81" xfId="770" xr:uid="{C284B550-4A12-4B25-B4AD-861DDE402614}"/>
    <cellStyle name="Percent82" xfId="771" xr:uid="{93801B06-E2DB-4481-9B6E-50EA5D91EA53}"/>
    <cellStyle name="Percent83" xfId="772" xr:uid="{D2636717-4A9E-4196-8DEC-1C222B037D6A}"/>
    <cellStyle name="Percent84" xfId="773" xr:uid="{BBAE1B69-5B45-4D20-9D0E-84FC630D3286}"/>
    <cellStyle name="Percent85" xfId="774" xr:uid="{17B36EA4-C164-4442-A9B7-8256686A2C9D}"/>
    <cellStyle name="Percent86" xfId="775" xr:uid="{389E9E61-C5C3-4E2B-8FD7-2DA7B8FDD60D}"/>
    <cellStyle name="Percent87" xfId="776" xr:uid="{AB3B1B8D-25A6-4705-B40A-FC948CA1E809}"/>
    <cellStyle name="Percent88" xfId="777" xr:uid="{CC1F19F4-8202-4E03-98BF-D79978C36E42}"/>
    <cellStyle name="Percent89" xfId="778" xr:uid="{09DFBAB8-E719-4E79-862D-19ADFC526E9A}"/>
    <cellStyle name="Percent9" xfId="779" xr:uid="{CEDD9DF1-30B7-4670-982A-592A2D9E9A42}"/>
    <cellStyle name="Percent90" xfId="780" xr:uid="{237D358F-196B-4C7A-9358-8FDBBB7C71F4}"/>
    <cellStyle name="Percent91" xfId="781" xr:uid="{6DB96BDA-09B6-4501-ADF6-AC210556ABBA}"/>
    <cellStyle name="Percent92" xfId="782" xr:uid="{473F9EDF-B4E6-4FA6-AF10-8B207F77C1DD}"/>
    <cellStyle name="Percent93" xfId="783" xr:uid="{3BD7102F-640F-4AB9-8D07-A33B08462109}"/>
    <cellStyle name="Percent94" xfId="784" xr:uid="{D8DC5248-5739-48E9-A71F-1C778A9F8C94}"/>
    <cellStyle name="Percent95" xfId="785" xr:uid="{708BEF42-60D9-4BCF-B9B3-EBC790264F5F}"/>
    <cellStyle name="Percent96" xfId="786" xr:uid="{82EFF20F-A377-46DF-93AF-96E90CA39F6F}"/>
    <cellStyle name="Percent97" xfId="787" xr:uid="{49205377-5501-4E3A-808D-6126EA8EFC8D}"/>
    <cellStyle name="Percent98" xfId="788" xr:uid="{1FB34AFC-0249-4EF8-A724-470D8E412DEC}"/>
    <cellStyle name="Percent99" xfId="789" xr:uid="{F8A4A209-9850-4A46-BB6C-80A4573650F0}"/>
    <cellStyle name="Percentage" xfId="790" xr:uid="{EA9190CC-105E-4658-8DAD-4E56009F0488}"/>
    <cellStyle name="PercentStyle" xfId="791" xr:uid="{7336971D-AED8-470C-934E-3B2040F9FF30}"/>
    <cellStyle name="PrePop Currency (0)" xfId="792" xr:uid="{89E6595A-412F-4947-9BCA-22458A068C42}"/>
    <cellStyle name="PrePop Currency (2)" xfId="793" xr:uid="{6A34E001-1985-46DF-B803-C846962BA8BB}"/>
    <cellStyle name="PrePop Units (0)" xfId="794" xr:uid="{9994E083-6686-4FF7-8B42-CBAAE1248598}"/>
    <cellStyle name="PrePop Units (1)" xfId="795" xr:uid="{29295AB8-7E1D-4BBA-A1CC-B7011529A6E9}"/>
    <cellStyle name="PrePop Units (2)" xfId="796" xr:uid="{B1B7ED2D-ADA9-4F01-9E64-AC2EC69BE2EE}"/>
    <cellStyle name="Price" xfId="797" xr:uid="{DF497F7B-90E6-44F4-BFBC-37CEB93BDD1A}"/>
    <cellStyle name="Product Header" xfId="798" xr:uid="{A6372902-A54A-44F1-AEF9-E7ED0C6E529F}"/>
    <cellStyle name="PSChar" xfId="799" xr:uid="{375497FE-F9FA-441A-A785-E77CDD71D9DA}"/>
    <cellStyle name="PSDate" xfId="800" xr:uid="{FAF50373-DD64-4F4A-918D-65E33B1CBF97}"/>
    <cellStyle name="PSDec" xfId="801" xr:uid="{E8A6B728-0BC1-4762-B858-D951C65F6572}"/>
    <cellStyle name="PSHeading" xfId="802" xr:uid="{2FB8FD5A-F08C-48E9-A838-5505C3E503D8}"/>
    <cellStyle name="PSInt" xfId="803" xr:uid="{B8265C0A-573C-4127-A7A2-48C921677DE2}"/>
    <cellStyle name="PSSpacer" xfId="804" xr:uid="{95C34B61-EE9E-4BEF-9558-3BD42C7DB9D7}"/>
    <cellStyle name="r" xfId="805" xr:uid="{45D16ADA-49F6-42FC-88C7-DCC6C57E43EB}"/>
    <cellStyle name="r_F&amp;W Servicing Model" xfId="806" xr:uid="{544521DB-7B0B-4560-B040-2741F9049370}"/>
    <cellStyle name="r_F&amp;W Servicing Model v2" xfId="807" xr:uid="{C7055F14-6CB0-4450-AA40-47B214EF68BB}"/>
    <cellStyle name="r_Yell Servicing Model" xfId="808" xr:uid="{363D6F20-B994-4AA9-AD8B-B075597F0D99}"/>
    <cellStyle name="rate" xfId="809" xr:uid="{177333EA-0B29-48C0-A239-6528B671549C}"/>
    <cellStyle name="Ratio" xfId="810" xr:uid="{82499F1C-832B-4560-BA04-6325E843E607}"/>
    <cellStyle name="Ratio Comma" xfId="811" xr:uid="{7B662B1C-3795-4BFB-90C7-57F9D8B6AB5F}"/>
    <cellStyle name="Ratio_Private" xfId="812" xr:uid="{DF81558B-0373-4638-B78B-E8F899CCBB5A}"/>
    <cellStyle name="regstoresfromspecstores" xfId="813" xr:uid="{84FBDA40-73D6-4B32-AD62-225DA29F2EDD}"/>
    <cellStyle name="RevList" xfId="814" xr:uid="{77338E69-871A-4308-A0A8-EE15DC11C2C7}"/>
    <cellStyle name="Right" xfId="815" xr:uid="{1AD4FB6E-DFDA-49B2-9541-BA995D35D4E4}"/>
    <cellStyle name="RightBold" xfId="816" xr:uid="{F755B547-B4C8-4F35-BD04-5740AB02728E}"/>
    <cellStyle name="RightBoldBottomRule" xfId="817" xr:uid="{A716EC48-771C-4E39-BFEC-60054FF4A571}"/>
    <cellStyle name="RightBoldCenterRule" xfId="818" xr:uid="{2E8F86E5-42B3-405F-B571-D590ED03885C}"/>
    <cellStyle name="Section" xfId="819" xr:uid="{BFA065AF-A8E8-4018-846E-86CBBA103A0E}"/>
    <cellStyle name="SectionHeaderNormal" xfId="820" xr:uid="{97BDC5E9-CD18-4EAF-89DB-41C38B149C35}"/>
    <cellStyle name="SHADEDSTORES" xfId="821" xr:uid="{FAEEA3CF-D5F2-4AB3-AC36-3F0CD4D98C17}"/>
    <cellStyle name="Short $" xfId="822" xr:uid="{0014EC35-D7E4-4D93-B939-913B72CE9799}"/>
    <cellStyle name="ShOut" xfId="823" xr:uid="{C790E37E-D590-43DC-8792-0912E0F5351D}"/>
    <cellStyle name="Simple" xfId="824" xr:uid="{4AB4D2E1-C553-481E-B508-F50363FB1481}"/>
    <cellStyle name="SimpleBold" xfId="825" xr:uid="{F1D01DFE-189F-4603-BC81-BEA97B71858C}"/>
    <cellStyle name="Single Accounting" xfId="826" xr:uid="{E71D3964-7F02-4D90-97EA-C3C16C7F4992}"/>
    <cellStyle name="specstores" xfId="827" xr:uid="{AA522FE0-B656-4475-87BF-E8C0C56C16A6}"/>
    <cellStyle name="Stock Comma" xfId="828" xr:uid="{65A1BB02-1A8A-4DF1-8A12-EC1739A1B4E8}"/>
    <cellStyle name="Stock Price" xfId="829" xr:uid="{DA043969-FA19-45D8-8B90-FA968F64C8B1}"/>
    <cellStyle name="Style 1" xfId="830" xr:uid="{E8C29C01-B547-4735-A14A-9DD4BAB51D45}"/>
    <cellStyle name="Style 21" xfId="831" xr:uid="{33147E88-A8C5-4996-9079-DD147B53F484}"/>
    <cellStyle name="Style 22" xfId="832" xr:uid="{F8D9E744-B8B7-4CA2-B8C7-495DCB6B211B}"/>
    <cellStyle name="Style 23" xfId="833" xr:uid="{2DD01770-320C-48FD-AE4B-5B71AABAE8EA}"/>
    <cellStyle name="Style 24" xfId="834" xr:uid="{476C6A0C-4CAC-4C8D-B62E-0784A8FDDD1B}"/>
    <cellStyle name="Style 25" xfId="835" xr:uid="{10A6E87F-3926-48DA-A876-6EC12CF521BB}"/>
    <cellStyle name="Style 26" xfId="836" xr:uid="{6EFB64DC-4BF9-49E5-8D3F-A05C63B1321F}"/>
    <cellStyle name="Style 27" xfId="837" xr:uid="{538217B3-416A-47A0-BD7D-86BC45095E7E}"/>
    <cellStyle name="Style 28" xfId="838" xr:uid="{69F4E8C8-CF1F-4684-A3AA-3DD4FBE8CB07}"/>
    <cellStyle name="Style 29" xfId="839" xr:uid="{D0D1B4B9-56B0-47EE-B73F-21372E9ABCB7}"/>
    <cellStyle name="Style 30" xfId="840" xr:uid="{092149A5-B973-4BBB-B2E0-BC43973673DB}"/>
    <cellStyle name="Style 31" xfId="841" xr:uid="{E61CDC9F-27C4-46AA-91DF-06B1814F8C44}"/>
    <cellStyle name="Style 32" xfId="842" xr:uid="{C2FEB183-340A-4625-9F46-2F6F84A0F1B0}"/>
    <cellStyle name="Style 33" xfId="843" xr:uid="{B22F5B0D-5D99-4805-8B52-31DDD8A6CEF8}"/>
    <cellStyle name="Style 34" xfId="844" xr:uid="{252799E9-058A-4DDE-A19B-F5CCD12E1488}"/>
    <cellStyle name="Style 35" xfId="845" xr:uid="{96713FEF-EABC-4D18-948F-967F5DFAF941}"/>
    <cellStyle name="Style 36" xfId="846" xr:uid="{AA341FDD-D8D4-400A-8FD3-1DB3A49B096F}"/>
    <cellStyle name="Style 37" xfId="847" xr:uid="{0208BA27-2C85-43E5-921F-279271573CD7}"/>
    <cellStyle name="Style 38" xfId="848" xr:uid="{B96BD417-82F4-470F-90F5-33147E2FB82E}"/>
    <cellStyle name="Style 39" xfId="849" xr:uid="{80C48226-DD4B-47DC-8274-67FBED13D2CF}"/>
    <cellStyle name="Style 40" xfId="850" xr:uid="{D37D61C4-B8B3-4C53-B116-50A1E4B85945}"/>
    <cellStyle name="Style 41" xfId="851" xr:uid="{670C03A4-5237-479A-82DF-F3535B80B540}"/>
    <cellStyle name="Style 42" xfId="852" xr:uid="{CEEBAF9E-35AA-49BD-8D6B-4B0E607E39D4}"/>
    <cellStyle name="Style 43" xfId="853" xr:uid="{BEB09672-519C-43BD-8432-8CF0FE2C0D80}"/>
    <cellStyle name="Style 44" xfId="854" xr:uid="{DE21F0C3-83E4-4036-B60C-8C159638FEA6}"/>
    <cellStyle name="Style 45" xfId="855" xr:uid="{26FB66CB-B249-4F3E-8C1D-B0139392312A}"/>
    <cellStyle name="Style 46" xfId="856" xr:uid="{6D6A4453-EE16-4B6F-8FEB-11FC3694E0C4}"/>
    <cellStyle name="Style 47" xfId="857" xr:uid="{834DEFB6-BE2E-4193-BFAB-A6DBBEDE54C7}"/>
    <cellStyle name="Style 48" xfId="858" xr:uid="{AF8C7496-A4CB-45D8-83D1-0B27DEEAC64A}"/>
    <cellStyle name="STYLE1" xfId="859" xr:uid="{32A48360-1679-4EF9-B1E4-89120888C5DE}"/>
    <cellStyle name="SubScript" xfId="860" xr:uid="{05DD9853-599C-46AA-9CDA-1CF3BCBB70A5}"/>
    <cellStyle name="Subtotal" xfId="861" xr:uid="{BD548F1A-AFDD-4F49-9558-09481870EC22}"/>
    <cellStyle name="Sum" xfId="862" xr:uid="{BE6755E0-1999-4A5A-84E7-CA4F6CDDB662}"/>
    <cellStyle name="SuperScript" xfId="863" xr:uid="{B1BAA518-0B84-476C-8B1F-6B933313D51A}"/>
    <cellStyle name="Table_Title" xfId="864" xr:uid="{3B30F9D7-ED7C-42BE-B82A-AADB209B69AD}"/>
    <cellStyle name="Test" xfId="865" xr:uid="{72B03700-9929-4EBA-BC63-86D48396040C}"/>
    <cellStyle name="Text Indent A" xfId="866" xr:uid="{0596BB05-D0F8-48F5-8964-E4FC0E4EED83}"/>
    <cellStyle name="Text Indent B" xfId="867" xr:uid="{606EE7EF-C7D5-45FC-895C-168083B778C8}"/>
    <cellStyle name="Text Indent C" xfId="868" xr:uid="{CC457CA5-FA8C-4F82-B3CC-C582BEA4EA25}"/>
    <cellStyle name="TextBold" xfId="869" xr:uid="{97C8DF17-8AB4-45D9-9728-6BDFBEEB99CD}"/>
    <cellStyle name="TextItalic" xfId="870" xr:uid="{C1B929F2-16E2-4ABC-9BB6-401DD47C72F8}"/>
    <cellStyle name="TextNormal" xfId="871" xr:uid="{3745A1D4-EC0A-4A85-A351-8522438E04CB}"/>
    <cellStyle name="Time" xfId="872" xr:uid="{2266D21C-AEAA-4BEC-998F-DBEB99101F7D}"/>
    <cellStyle name="Times 10" xfId="873" xr:uid="{D96EA0B0-3B6F-4244-8865-190FA778FC37}"/>
    <cellStyle name="Times 12" xfId="874" xr:uid="{692192E0-E3A9-4428-83F0-E0403CF4220A}"/>
    <cellStyle name="Title - PROJECT" xfId="875" xr:uid="{EFBCEA67-36B2-473F-9174-B1C0A84EBCEA}"/>
    <cellStyle name="Title - Underline" xfId="876" xr:uid="{47E1DF12-8442-420E-BD3E-FC647B39A2BB}"/>
    <cellStyle name="Title1" xfId="877" xr:uid="{6A1868FD-0787-4C54-94A7-4CE384766D6D}"/>
    <cellStyle name="Title2" xfId="878" xr:uid="{4076B5A0-BE74-4298-9B2C-CF99974E8F70}"/>
    <cellStyle name="TitleNormal" xfId="879" xr:uid="{586A83BE-D948-408E-8BDD-4429A3CFAAC4}"/>
    <cellStyle name="Titles - Col. Headings" xfId="880" xr:uid="{8E459DC3-9C60-406A-86AC-F01E4D7EE95D}"/>
    <cellStyle name="Titles - Other" xfId="881" xr:uid="{52B61959-71C3-4B33-B990-AA6A2EC9AB81}"/>
    <cellStyle name="Top Edge" xfId="882" xr:uid="{5C6BD614-A846-45ED-A63A-18D48954F05F}"/>
    <cellStyle name="Total" xfId="883" builtinId="25" customBuiltin="1"/>
    <cellStyle name="ubordinated Debt" xfId="884" xr:uid="{84A6930E-3158-483C-841F-11EB55C9D75C}"/>
    <cellStyle name="wheat merger's and acquisitions" xfId="885" xr:uid="{20092A56-BFDA-4F39-AD05-77498C3AA43D}"/>
    <cellStyle name="x" xfId="886" xr:uid="{C29F233B-E555-4272-96CC-BA4379D9A05B}"/>
    <cellStyle name="x_TSA Model - 1 8 06 - v2" xfId="887" xr:uid="{B740D5B4-7A35-4B42-B81F-ED7992D8491B}"/>
    <cellStyle name="Y2K Compliant Date Fmt" xfId="888" xr:uid="{6181B554-478A-4F49-A743-AA24CC62154F}"/>
    <cellStyle name="Years" xfId="889" xr:uid="{1E423560-BAE8-4A3E-8E47-995DBCC76A74}"/>
    <cellStyle name="yellow" xfId="890" xr:uid="{AFFFD5AE-8CFA-4045-A0D1-F41B572474C3}"/>
    <cellStyle name="Yen" xfId="891" xr:uid="{AD572FD4-2CD6-4B6A-959A-CF6426F45CBA}"/>
    <cellStyle name="YYYY" xfId="892" xr:uid="{BF343F36-4A07-4A59-974A-BFCBCE0C8143}"/>
    <cellStyle name="桁区切り [0.00]_Appendix" xfId="893" xr:uid="{DE06D6F2-2060-4565-9AF2-747488DF4E19}"/>
    <cellStyle name="桁区切り_Appendix" xfId="894" xr:uid="{4ED7528B-C7BA-498E-99F1-8B695948FE43}"/>
    <cellStyle name="標準_Appendix" xfId="895" xr:uid="{B99FD298-F373-4306-98C3-7CC0DE9D8DD6}"/>
    <cellStyle name="通貨 [0.00]_Appendix" xfId="896" xr:uid="{8FD188CB-EDD1-49AF-BB58-ABA254C8A2EC}"/>
    <cellStyle name="通貨_Appendix" xfId="897" xr:uid="{FFDC61D9-7AAA-4917-A8FF-5C8F2D9FA4D6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AEAEA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customXml" Target="../customXml/item1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1751</xdr:row>
      <xdr:rowOff>0</xdr:rowOff>
    </xdr:from>
    <xdr:to>
      <xdr:col>10</xdr:col>
      <xdr:colOff>180975</xdr:colOff>
      <xdr:row>1772</xdr:row>
      <xdr:rowOff>76200</xdr:rowOff>
    </xdr:to>
    <xdr:pic>
      <xdr:nvPicPr>
        <xdr:cNvPr id="23539" name="Picture 5">
          <a:extLst>
            <a:ext uri="{FF2B5EF4-FFF2-40B4-BE49-F238E27FC236}">
              <a16:creationId xmlns:a16="http://schemas.microsoft.com/office/drawing/2014/main" id="{0E648A80-A409-F22A-9DE7-72C084E2D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3775" y="285359475"/>
          <a:ext cx="6686550" cy="3476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1764</xdr:row>
      <xdr:rowOff>0</xdr:rowOff>
    </xdr:from>
    <xdr:to>
      <xdr:col>4</xdr:col>
      <xdr:colOff>0</xdr:colOff>
      <xdr:row>1777</xdr:row>
      <xdr:rowOff>47625</xdr:rowOff>
    </xdr:to>
    <xdr:pic>
      <xdr:nvPicPr>
        <xdr:cNvPr id="23540" name="Picture 6">
          <a:extLst>
            <a:ext uri="{FF2B5EF4-FFF2-40B4-BE49-F238E27FC236}">
              <a16:creationId xmlns:a16="http://schemas.microsoft.com/office/drawing/2014/main" id="{7E49BDAC-9E3C-4AF3-BBC1-7D94146F4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287464500"/>
          <a:ext cx="6134100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352425</xdr:colOff>
      <xdr:row>14</xdr:row>
      <xdr:rowOff>85725</xdr:rowOff>
    </xdr:from>
    <xdr:to>
      <xdr:col>13</xdr:col>
      <xdr:colOff>266700</xdr:colOff>
      <xdr:row>33</xdr:row>
      <xdr:rowOff>152400</xdr:rowOff>
    </xdr:to>
    <xdr:pic>
      <xdr:nvPicPr>
        <xdr:cNvPr id="23541" name="Picture 2">
          <a:extLst>
            <a:ext uri="{FF2B5EF4-FFF2-40B4-BE49-F238E27FC236}">
              <a16:creationId xmlns:a16="http://schemas.microsoft.com/office/drawing/2014/main" id="{8773FF43-B52F-1637-38B5-801D4A87E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1650" y="2371725"/>
          <a:ext cx="7267575" cy="3152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fice\Media\COMPS%20-%20B2B%20Publisher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_sfnt01\GBlank$\My%20Documents\TPG\LBO\Bally\BFT%20Forecast%20Mode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_sfnt01\GBlank$\Documents%20and%20Settings\GBlank\Local%20Settings\Temporary%20Internet%20Files\OLK39\TSA%20Model%20-%201%208%2006%20-%20v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TG%20Templat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nk%20Loan%20Team\APPROVAL%20MEMOS\Endurance%20Media\BLT%20Work\EBM%20Quarterly%20Mode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ank%20Loan%20Team\ELK%20TEAM\Models\Presentation\Draft%20Presentation%20Files\Presentation%20Info%2022%20(Adam%20Silver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ank%20Loan%20Team\ELK%20TEAM\Models\Presentation\Draft%20Presentation%20Files\PresentationChartDat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CMP%20II\PORTFOLIO%20COMPANIES\Jobson%20Medical%20Information\Bank%20Correspondence\JMI%20Model%20(Wx%20Model%20-%20BMO%20Adjusted%205-18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CMP%20II\INACTIVE%20DEALS\Facts%20on%20File\Transaction%20Models\FOF%20Model%20v3%20(Asset%20Purchase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s5\Barracuda\Documents%20and%20Settings\nbk7h1e\Local%20Settings\Temporary%20Internet%20Files\OLK61\Bank%20Austria\Returns@@@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eals%20-%20In%20Process\TruCom\BridgeCom%20Budget%20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fil01\data\Wicks\Wicks%20Model\JMI%20Model%20(Wx%20Model%20-%20BMO%20Adjusted%205-18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eals%20-%20In%20Process\Crescent%20Publishing%20Company,%20LLC\R0%20-%20Aug%202,%202001\CrescentPublishing%20Model%208-01%20R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redit%20Derivatives%20Group\Emerging\CBO\MFS\Jersey%20Street%20CLO\Warehouse\Warehouse%20Report\versions\August\Jersey%20Street%20CLO%208.7.06%20Committed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wicksgroup.com/PORTFOLIO%20COMPANIES/Bressler%20Outdoor/Financial%20Models/SubDebt%20Model%20-%20IRR%20-$30MM%20Equity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inous.studioholdings.net\temp\unzipped\7xbb01_\7b7k01_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inous.studioholdings.net\temp\TEMP\Consolidated%2012-4-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-neptune\accounting\Invoices\Invoice%2099\z.December%201999\DEC99Invoice%20Summary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Rosetta%20Stone%20Model%20(91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smarimow\My%20Documents\Companies\Univision\Model\Bank%20Model%20-%20Financing\Company%20Materials\Company%20Materials\Bank%20Model_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nk%20Loan%20Team%20Research\_RAs\Takacs_G\PORTFOLIO%20-%20Takac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Kim\Local%20Settings\Temporary%20Internet%20Files\Content.IE5\YTHBT5P6\Spring%202002\Modeling\Problem%204%20workshee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smarimow\My%20Documents\Companies\Univision\Model\Bank%20Model%20-%20Financing\Bank%20Model_2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NT14\USERS$\mm93223\My%20Documents\Templates\Servicing%20Template%20-%20MAB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EMcKee\Local%20Settings\Temporary%20Internet%20Files\OLK12\65%20UVN%207-Year%20Mode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Kim\Local%20Settings\Temporary%20Internet%20Files\Content.IE5\YTHBT5P6\windows\TEMP\financial%20forecast%207.27.98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Beckett\Deals%20in%20process\UniFocus%20R6\Unifocus%20Model%204-02%20R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CRothbard\Local%20Settings\Temporary%20Internet%20Files\OLK146\JMI_WMI%20Financing%20Model%20(02-09-06)_vTD4%200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jorr\Local%20Settings\Temporary%20Internet%20Files\OLK27\MC-DW-JOB%20Merger%20Model%20for%20Syndicate%20-%203.31.05%20rjf%205.03.05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CMP%20II\PORTFOLIO%20COMPANIES\Jobson%20Medical%20Information\Corporate%20Development\JMI_WMI%20Combination\2005.11\Oct%202005\MEDCON%20Projection%20Model%20September%202005%20(09-13-05)%20v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inous.studioholdings.net\temp\M&amp;A_Deal\New%20Models\dcf.sh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 Page"/>
      <sheetName val="Deal Multiples"/>
      <sheetName val="Asset Coverage"/>
      <sheetName val="Status"/>
      <sheetName val="Output"/>
      <sheetName val="Graphs"/>
      <sheetName val="Inputs"/>
      <sheetName val="WARF"/>
      <sheetName val="Comps"/>
      <sheetName val="Magazines"/>
      <sheetName val="2"/>
      <sheetName val="4"/>
      <sheetName val="5"/>
      <sheetName val="6"/>
      <sheetName val="7"/>
      <sheetName val="8"/>
      <sheetName val="10"/>
      <sheetName val="11"/>
      <sheetName val="12"/>
      <sheetName val="14"/>
      <sheetName val="16"/>
      <sheetName val="1"/>
      <sheetName val="3"/>
      <sheetName val="9"/>
      <sheetName val="13"/>
      <sheetName val="15"/>
      <sheetName val="ARP"/>
      <sheetName val="CNG"/>
      <sheetName val="F&amp;W"/>
      <sheetName val="HNW"/>
      <sheetName val="IMO"/>
      <sheetName val="JMI"/>
      <sheetName val="MMH"/>
      <sheetName val="PRM"/>
      <sheetName val="RDA"/>
      <sheetName val="SRCE"/>
      <sheetName val="SPRG"/>
      <sheetName val="WNM"/>
      <sheetName val="RVDP"/>
      <sheetName val="SMTB"/>
      <sheetName val="TMN"/>
      <sheetName val="Portfolio"/>
      <sheetName val="LBO Summary"/>
      <sheetName val="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attrition"/>
      <sheetName val="Sheet1"/>
      <sheetName val="IncStmt"/>
      <sheetName val="CashFlow"/>
      <sheetName val="BalSht"/>
      <sheetName val="Allowance"/>
      <sheetName val="CashEBITDA"/>
      <sheetName val="FxdChg"/>
      <sheetName val="Ratio"/>
      <sheetName val="Module1"/>
      <sheetName val="LBO Summary"/>
      <sheetName val="Chart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Returns Summary"/>
      <sheetName val="Case Logic"/>
      <sheetName val="Option Summary"/>
      <sheetName val="TRANSACTION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nning Assumptions"/>
      <sheetName val="Tanning P&amp;L"/>
      <sheetName val="Tanning Balance Sheets"/>
      <sheetName val="Tanning Cash Flows"/>
      <sheetName val="Meta P&amp;L"/>
      <sheetName val="Meta Balance Sheet"/>
      <sheetName val="Meta Cash Flow"/>
      <sheetName val="Combined Balance Sheet"/>
      <sheetName val="Combined P&amp;L"/>
      <sheetName val="Combined Cash Flow"/>
      <sheetName val="Shares"/>
      <sheetName val="EssRet"/>
      <sheetName val="Meta Segments"/>
      <sheetName val="Capex"/>
      <sheetName val="Sheet5"/>
      <sheetName val="D"/>
      <sheetName val="TRANSA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Qual. Analysis"/>
      <sheetName val="Inputs"/>
      <sheetName val="Base"/>
      <sheetName val="EV_DCF Analysis"/>
      <sheetName val="VeCTOR Import"/>
      <sheetName val="Annual Summar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ections"/>
      <sheetName val="Calcs"/>
      <sheetName val="Account"/>
      <sheetName val="OCTrends"/>
      <sheetName val="ICTrends"/>
      <sheetName val="DivTrends"/>
      <sheetName val="WARFTrends"/>
      <sheetName val="WARFFitchTrends"/>
      <sheetName val="WASTrends"/>
      <sheetName val="WACTrends"/>
      <sheetName val="WALTrends"/>
      <sheetName val="Debt Structure"/>
      <sheetName val="Fund Schedule"/>
      <sheetName val="Principal"/>
      <sheetName val="Ineligible"/>
      <sheetName val="S&amp;P Industry"/>
      <sheetName val="Trade Activity Summary"/>
      <sheetName val="Sale Activity Bond"/>
      <sheetName val="Sale Activity"/>
      <sheetName val="Buy Activity Bond"/>
      <sheetName val="Buy Activity"/>
      <sheetName val="Default"/>
      <sheetName val="CCC"/>
      <sheetName val="CCCBond"/>
      <sheetName val="Presentation Info 22 (Adam Silv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M YTD 2000"/>
      <sheetName val="AUM_Chart"/>
      <sheetName val="Cap Structure"/>
      <sheetName val="TOP10"/>
      <sheetName val="DefaultHistory"/>
      <sheetName val="DefaultedSecuritySummary"/>
      <sheetName val="DefaultedSecuritySummary2"/>
      <sheetName val="DefaultedSecurityData"/>
      <sheetName val="Actual vs Covenant"/>
      <sheetName val="APEX"/>
      <sheetName val="APEX_MR"/>
      <sheetName val="APEX_SR"/>
      <sheetName val="APEX_MI"/>
      <sheetName val="APEX_SI"/>
      <sheetName val="ELC1"/>
      <sheetName val="ELC1_SR"/>
      <sheetName val="ELC1_MR"/>
      <sheetName val="ELC1_FR"/>
      <sheetName val="ELC1_SI"/>
      <sheetName val="ELC1_MI"/>
      <sheetName val="ELC2"/>
      <sheetName val="ELC2_SR"/>
      <sheetName val="ELC2_FR"/>
      <sheetName val="ELC2_SI"/>
      <sheetName val="ELC2_MI"/>
      <sheetName val="ELC3"/>
      <sheetName val="ELC3_MR"/>
      <sheetName val="ELC3_SR"/>
      <sheetName val="ELC3_FR"/>
      <sheetName val="ELC3_MI"/>
      <sheetName val="ELC3_SI"/>
      <sheetName val="ELC4"/>
      <sheetName val="ELC4_MR"/>
      <sheetName val="ELC4_SR"/>
      <sheetName val="ELC4_MI"/>
      <sheetName val="ELC4_SI"/>
      <sheetName val="ELC5"/>
      <sheetName val="ELC5_MR"/>
      <sheetName val="ELC5_SR"/>
      <sheetName val="ELC5_MI"/>
      <sheetName val="ELC5_SI"/>
      <sheetName val="TRYN"/>
      <sheetName val="TRYN_MR"/>
      <sheetName val="TRYN_SR"/>
      <sheetName val="TRYN_SI"/>
      <sheetName val="TRYN_MI"/>
      <sheetName val="SaleData"/>
      <sheetName val="SH_Results"/>
      <sheetName val="SH_APEX"/>
      <sheetName val="SH_ELC1"/>
      <sheetName val="SH_ELC2"/>
      <sheetName val="SH_ELC3"/>
      <sheetName val="SH_ELC4"/>
      <sheetName val="SH_ELC5"/>
      <sheetName val="SH_TRY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OPT-MIS"/>
      <sheetName val="REV"/>
      <sheetName val="EXP"/>
      <sheetName val="MODR"/>
      <sheetName val="D&amp;A"/>
      <sheetName val="DEBT"/>
      <sheetName val="COVS"/>
      <sheetName val="DISPLAY"/>
      <sheetName val="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"/>
      <sheetName val="BS"/>
      <sheetName val="IS"/>
      <sheetName val="CFS"/>
      <sheetName val="REV"/>
      <sheetName val="RATIO"/>
      <sheetName val="RETURN"/>
      <sheetName val="CONTROL"/>
      <sheetName val="D&amp;A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s"/>
      <sheetName val="OC-IC"/>
      <sheetName val="Sources and Uses"/>
      <sheetName val="After Tax"/>
      <sheetName val="Tax Report"/>
      <sheetName val="Price Yield"/>
      <sheetName val="LIBOR"/>
      <sheetName val="Revolver"/>
      <sheetName val="PV Calc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DRIVER"/>
      <sheetName val="Sheet1"/>
      <sheetName val="Bcom IS-Mnthly"/>
      <sheetName val="Conversion Balance Sheet"/>
      <sheetName val="Bcom BS-Mnthly"/>
      <sheetName val="Bcom FAS95-Mnthly"/>
      <sheetName val="Bcom Rollup-Income"/>
      <sheetName val="Bcom Rollup- Balance"/>
      <sheetName val="Bcom Conversion Charge Adj"/>
      <sheetName val="Bcom Debt"/>
      <sheetName val="Bcom Fixed Assets"/>
      <sheetName val="Bcom Lines"/>
      <sheetName val="Bcom New AE Efficiency"/>
      <sheetName val="Bcom Rev"/>
      <sheetName val="Bcom COGS"/>
      <sheetName val="Bcom-SG&amp;A,Taxes"/>
      <sheetName val="Bcom HEADCOUNT"/>
      <sheetName val="MasterDriverTrucom"/>
      <sheetName val="TruCom IS"/>
      <sheetName val="TruCom BS"/>
      <sheetName val="TruCom FAS95-Mnthly"/>
      <sheetName val="TruCom Rev"/>
      <sheetName val="TruCom COGS"/>
      <sheetName val="TruCom Lines"/>
      <sheetName val="TruCom-SG&amp;A,Taxes"/>
      <sheetName val="TruCom HEADCOUNT"/>
      <sheetName val="TruCom Amort."/>
      <sheetName val="TruCom Fixed Assets"/>
      <sheetName val="TruCom Debt"/>
      <sheetName val="TruCom Debt worksheet"/>
      <sheetName val="Cap Tables"/>
      <sheetName val="TruCom Cash Acct. Recon."/>
      <sheetName val="MASTER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DISPLAY"/>
      <sheetName val="OPT-MIS"/>
      <sheetName val="REV"/>
      <sheetName val="EXP"/>
      <sheetName val="MODR"/>
      <sheetName val="D&amp;A"/>
      <sheetName val="DEBT"/>
      <sheetName val="COVS"/>
      <sheetName val="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M 2000 Rev Chart"/>
      <sheetName val="MCM 2001 Rev Chart"/>
      <sheetName val="MCM 1999 P&amp;L"/>
      <sheetName val="MCM 2000 P&amp;L"/>
      <sheetName val="MCM 2001 Plan"/>
      <sheetName val="MCM 2000 and 2001 Plan"/>
      <sheetName val="GSN Hist IS"/>
      <sheetName val="GSN Hist BS"/>
      <sheetName val="CC 2000 Detail"/>
      <sheetName val="CC 2000 IS"/>
      <sheetName val="CC 2000 BS"/>
      <sheetName val="CC 2000 CF"/>
      <sheetName val="Crescent Mo IS 9-00 to 6-01"/>
      <sheetName val="Crescent Qtr IS Sep00-Jun01"/>
      <sheetName val="Target P&amp;L RollUp"/>
      <sheetName val="Target P&amp;L RollUp June"/>
      <sheetName val="Target P&amp;L Pct Sales"/>
      <sheetName val="MASTER DRIVERS"/>
      <sheetName val="Summary"/>
      <sheetName val="IS Sum"/>
      <sheetName val="BS Sum"/>
      <sheetName val="CF Sum"/>
      <sheetName val="Covenants and Capitalization"/>
      <sheetName val="Ret Earn Reconcile"/>
      <sheetName val="GSN IS Sum"/>
      <sheetName val="Maine IS Sum"/>
      <sheetName val="Conversion BS"/>
      <sheetName val="Key Ratios"/>
      <sheetName val="MCG vs Vaxa"/>
      <sheetName val="Exhibits1"/>
      <sheetName val="Exhibits2"/>
      <sheetName val="IS"/>
      <sheetName val="BS"/>
      <sheetName val="CF"/>
      <sheetName val="Debt"/>
      <sheetName val="Fixed Assets"/>
      <sheetName val="Intangibles"/>
      <sheetName val="DCF"/>
      <sheetName val="Initial TTM EBITDA by Cluster"/>
      <sheetName val="Geographic Concentration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nX"/>
      <sheetName val="Portfolio Input"/>
      <sheetName val="Warehouse Summary"/>
      <sheetName val="Investor Summary"/>
      <sheetName val="Industry"/>
      <sheetName val="Rating"/>
      <sheetName val="Broad Loan Category"/>
      <sheetName val="Diversity Calc"/>
      <sheetName val="Vlooku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Pipeline"/>
      <sheetName val="Monthly Financials"/>
      <sheetName val="Quarterly Financials"/>
      <sheetName val="Yearly Financials"/>
      <sheetName val="Distributions"/>
      <sheetName val="Returns"/>
      <sheetName val="Operations"/>
      <sheetName val="Payroll"/>
      <sheetName val="Depreciation"/>
      <sheetName val="Debt"/>
      <sheetName val="Equ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s"/>
      <sheetName val="Model"/>
      <sheetName val="Portfolio Input"/>
    </sheetNames>
    <sheetDataSet>
      <sheetData sheetId="0"/>
      <sheetData sheetId="1" refreshError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TransSum"/>
      <sheetName val="Consolidated"/>
      <sheetName val="JDPC Proj."/>
      <sheetName val="EG Proj."/>
      <sheetName val="KBB Proj. 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inary"/>
      <sheetName val="Final"/>
    </sheetNames>
    <sheetDataSet>
      <sheetData sheetId="0" refreshError="1"/>
      <sheetData sheetId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01_05_v_Wicks_xls__01_05_v_Wic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BO Summary"/>
      <sheetName val="Financials"/>
      <sheetName val="Debt"/>
      <sheetName val="Cap"/>
      <sheetName val="Consolidated"/>
      <sheetName val="Television"/>
      <sheetName val="Corporate"/>
      <sheetName val="Capex"/>
      <sheetName val="Tax"/>
      <sheetName val="Adj 2006"/>
      <sheetName val="Credit"/>
      <sheetName val="For Banks"/>
      <sheetName val="_01_05_v_Wicks_xls__01_05_v_W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M Yields"/>
      <sheetName val="Vector Output"/>
      <sheetName val="Portfolio"/>
      <sheetName val="Action Items"/>
      <sheetName val="Defense Comps"/>
      <sheetName val="Telecom"/>
      <sheetName val="WARF"/>
      <sheetName val="Template"/>
      <sheetName val="1"/>
      <sheetName val="2"/>
      <sheetName val="3"/>
      <sheetName val="4"/>
      <sheetName val="Credit Breakdown"/>
      <sheetName val="Auto EVs"/>
      <sheetName val="WARF Tracker"/>
      <sheetName val="Deal Multiples"/>
      <sheetName val="Status"/>
      <sheetName val="Output"/>
      <sheetName val="Graphs"/>
      <sheetName val="Inputs"/>
      <sheetName val="LBO Summary"/>
      <sheetName val="Tanning Assumptions"/>
      <sheetName val="IncStmt"/>
      <sheetName val="BS"/>
      <sheetName val="DCF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y-by-night - Base"/>
      <sheetName val="Fly-by-night - problem 5"/>
      <sheetName val="Fly-by-night - problem 6"/>
      <sheetName val="Fly-by-night - Base with ltd"/>
      <sheetName val="Portfolio"/>
      <sheetName val="MASTER DRIVER"/>
      <sheetName val="LBO Summary"/>
      <sheetName val="IncStmt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BO Summary"/>
      <sheetName val="Financials"/>
      <sheetName val="Debt"/>
      <sheetName val="Cap"/>
      <sheetName val="Consolidated"/>
      <sheetName val="Television"/>
      <sheetName val="Corporate"/>
      <sheetName val="Capex"/>
      <sheetName val="Tax"/>
      <sheetName val="Credit"/>
      <sheetName val="Summary"/>
      <sheetName val="Segments"/>
      <sheetName val="Adjustments"/>
      <sheetName val="Fly-by-night - problem 5"/>
      <sheetName val="Inpu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al Info"/>
      <sheetName val="Qualitative Analysis"/>
      <sheetName val="Base"/>
      <sheetName val="EV_DCF Analysis"/>
      <sheetName val="VeCTOR Import"/>
      <sheetName val="Annual Summary"/>
      <sheetName val="LBO Summary"/>
      <sheetName val="Fly-by-night - problem 5"/>
      <sheetName val="Segment Info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UMMARY"/>
      <sheetName val="TRANSACTION"/>
      <sheetName val="Capital Structure"/>
      <sheetName val="DEBT DETAIL"/>
      <sheetName val="Sheet2"/>
      <sheetName val="Flat EBITDA"/>
      <sheetName val="Scenario Fan"/>
      <sheetName val="Sheet1"/>
      <sheetName val="Sheet1 (2)"/>
      <sheetName val="Case Comparison"/>
      <sheetName val="INCOME STATEMENT"/>
      <sheetName val="BALANCE SHEET"/>
      <sheetName val="CASH FLOW"/>
      <sheetName val="World Cup"/>
      <sheetName val="Taxes"/>
      <sheetName val="CAPEX &amp; INTANG"/>
      <sheetName val="Drivers"/>
      <sheetName val="WORKING CAPITAL"/>
      <sheetName val="Buildup"/>
      <sheetName val="S&amp;U"/>
      <sheetName val="TV Build"/>
      <sheetName val="TV Group"/>
      <sheetName val="UVN"/>
      <sheetName val="TLF"/>
      <sheetName val="Gala"/>
      <sheetName val="TV Station Group"/>
      <sheetName val="UTG"/>
      <sheetName val="TTG"/>
      <sheetName val="Radio Operating Build"/>
      <sheetName val="Radio Drivers"/>
      <sheetName val="Consolidated"/>
      <sheetName val="Market Build"/>
      <sheetName val="Other"/>
      <sheetName val="Overview"/>
      <sheetName val="Margin Bridge"/>
      <sheetName val="Projections Detail"/>
      <sheetName val="VeCTOR Import"/>
      <sheetName val="LBO Summary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iation"/>
      <sheetName val="S&amp;U"/>
      <sheetName val="Sheet1"/>
      <sheetName val="1998 assump"/>
      <sheetName val="1997 assump"/>
      <sheetName val="******"/>
      <sheetName val="1998 P &amp; L"/>
      <sheetName val="1999 P &amp; L"/>
      <sheetName val="summ people"/>
      <sheetName val="people"/>
      <sheetName val="Sheet2"/>
      <sheetName val="B"/>
      <sheetName val="Sheet5"/>
      <sheetName val="Employees"/>
      <sheetName val="Reconcile"/>
      <sheetName val="D"/>
      <sheetName val="TRANSACTION"/>
      <sheetName val="VeCTOR Im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vCalcs Table"/>
      <sheetName val="IS Table"/>
      <sheetName val="BS Table"/>
      <sheetName val="SoCF Table"/>
      <sheetName val="RE &amp; DIVS Table"/>
      <sheetName val="Debt Table"/>
      <sheetName val="RE &amp; DIVS"/>
      <sheetName val="Debt"/>
      <sheetName val="BalSh Comb"/>
      <sheetName val="SoCF Comb"/>
      <sheetName val="IS Comb"/>
      <sheetName val="Covenant Summary"/>
      <sheetName val="UF P&amp;L-Mth"/>
      <sheetName val="Sheet1"/>
      <sheetName val="MASTER"/>
      <sheetName val="FC P&amp;L-Mth"/>
      <sheetName val="Headcount"/>
      <sheetName val="New FC Contracts"/>
      <sheetName val="UF Bal-Mth"/>
      <sheetName val="FC Bal-Mth"/>
      <sheetName val="Fixed Assets"/>
      <sheetName val="G&amp;A"/>
      <sheetName val="FC Contracts 2001"/>
      <sheetName val="End Model"/>
      <sheetName val="Combnd Hist BS"/>
      <sheetName val="UF Bal Sheet"/>
      <sheetName val="FC Bal Sheet"/>
      <sheetName val="UF P&amp;L Hist"/>
      <sheetName val="FC P&amp;L Hist"/>
      <sheetName val="UF2000"/>
      <sheetName val="UF2001"/>
      <sheetName val="FC2000"/>
      <sheetName val="FC2001"/>
      <sheetName val="vs. 2001 actuals"/>
      <sheetName val="Sheet3"/>
      <sheetName val="Equity Table"/>
      <sheetName val="Card Count Table"/>
      <sheetName val="BS Tables"/>
      <sheetName val="Concentr Table"/>
      <sheetName val="BS Analysis"/>
      <sheetName val="Table 5"/>
      <sheetName val="Table 4"/>
      <sheetName val="Table 3"/>
      <sheetName val="Table 2"/>
      <sheetName val="Table 1"/>
      <sheetName val="DCF"/>
      <sheetName val="top50hotels"/>
      <sheetName val="Sheet5"/>
      <sheetName val="D"/>
      <sheetName val="MASTER DRIV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"/>
      <sheetName val="OBS - MEDCON"/>
      <sheetName val="OBS - REFI"/>
      <sheetName val="AFS"/>
      <sheetName val="MBS"/>
      <sheetName val="MMIS (2)"/>
      <sheetName val="WHEC"/>
      <sheetName val="MIS"/>
      <sheetName val="MCF"/>
      <sheetName val="PACING06"/>
      <sheetName val="D&amp;A"/>
      <sheetName val="D&amp;A (2)"/>
      <sheetName val="DEBT"/>
      <sheetName val="CHARTS&gt;&gt;&gt;"/>
      <sheetName val="S&amp;U_CAP_MERGER"/>
      <sheetName val="S&amp;U_CAP_REFI"/>
      <sheetName val="MEDCON IS"/>
      <sheetName val="SUM IS"/>
      <sheetName val="PF IS"/>
      <sheetName val="PF BS"/>
      <sheetName val="COVS"/>
      <sheetName val="ECF"/>
      <sheetName val="Bridge"/>
      <sheetName val="HoldCo INT"/>
      <sheetName val="PACING05"/>
      <sheetName val="MASTER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OPT-MIS"/>
      <sheetName val="REV"/>
      <sheetName val="EXP"/>
      <sheetName val="MODR"/>
      <sheetName val="D&amp;A"/>
      <sheetName val="DEBT"/>
      <sheetName val="COVS"/>
      <sheetName val="CONTROL"/>
      <sheetName val="OBS - REFI"/>
      <sheetName val="WH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"/>
      <sheetName val="AFS"/>
      <sheetName val="MIS"/>
      <sheetName val="MBS"/>
      <sheetName val="MCF"/>
      <sheetName val="DEBT"/>
      <sheetName val="D&amp;A"/>
      <sheetName val="COVS_ACTUAL"/>
      <sheetName val="COVS"/>
      <sheetName val="PACING05"/>
      <sheetName val="PACING06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/>
      <sheetData sheetId="9"/>
      <sheetData sheetId="10" refreshError="1"/>
      <sheetData sheetId="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CF"/>
      <sheetName val="DCFnew"/>
      <sheetName val="COVS_ACTUAL"/>
      <sheetName val="D&amp;A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A62AB-A3B6-429F-931B-0F2C05E32853}">
  <sheetPr codeName="Sheet5"/>
  <dimension ref="A3:N1724"/>
  <sheetViews>
    <sheetView showGridLines="0" tabSelected="1" zoomScaleNormal="100" workbookViewId="0">
      <selection activeCell="C98" sqref="C98"/>
    </sheetView>
  </sheetViews>
  <sheetFormatPr defaultColWidth="11.42578125" defaultRowHeight="12.75"/>
  <cols>
    <col min="1" max="1" width="5.42578125" style="33" customWidth="1"/>
    <col min="2" max="2" width="50.7109375" style="33" customWidth="1"/>
    <col min="3" max="3" width="28.5703125" style="33" bestFit="1" customWidth="1"/>
    <col min="4" max="7" width="12.7109375" style="33" customWidth="1"/>
    <col min="8" max="8" width="8.140625" style="33" customWidth="1"/>
    <col min="9" max="9" width="51.28515625" style="33" bestFit="1" customWidth="1"/>
    <col min="10" max="13" width="12.7109375" style="33" customWidth="1"/>
    <col min="14" max="16384" width="11.42578125" style="33"/>
  </cols>
  <sheetData>
    <row r="3" spans="1:13">
      <c r="A3" s="80" t="s">
        <v>0</v>
      </c>
      <c r="I3" s="33" t="s">
        <v>1</v>
      </c>
      <c r="J3" s="164">
        <f>Model!$BF$382</f>
        <v>926.27</v>
      </c>
    </row>
    <row r="4" spans="1:13">
      <c r="I4" s="33" t="s">
        <v>2</v>
      </c>
      <c r="J4" s="164">
        <f>Model!$BF$381</f>
        <v>886.57</v>
      </c>
    </row>
    <row r="5" spans="1:13" ht="13.5" thickBot="1"/>
    <row r="6" spans="1:13">
      <c r="B6" s="535" t="s">
        <v>3</v>
      </c>
      <c r="C6" s="536" t="s">
        <v>4</v>
      </c>
      <c r="D6" s="536" t="s">
        <v>5</v>
      </c>
      <c r="E6" s="536" t="s">
        <v>6</v>
      </c>
      <c r="F6" s="539" t="s">
        <v>7</v>
      </c>
      <c r="I6" s="540" t="s">
        <v>8</v>
      </c>
      <c r="J6" s="541" t="str">
        <f>C6</f>
        <v>CLP (m)</v>
      </c>
      <c r="K6" s="541" t="str">
        <f>D6</f>
        <v>USD (m)</v>
      </c>
      <c r="L6" s="541" t="str">
        <f>E6</f>
        <v>Leverage (CLP)</v>
      </c>
      <c r="M6" s="545" t="str">
        <f>F6</f>
        <v>Leverage (USD)</v>
      </c>
    </row>
    <row r="7" spans="1:13">
      <c r="B7" s="525" t="s">
        <v>9</v>
      </c>
      <c r="C7" s="423">
        <v>304625.53999999998</v>
      </c>
      <c r="D7" s="456">
        <f>C7/$J3</f>
        <v>328.87337385427571</v>
      </c>
      <c r="E7" s="529"/>
      <c r="F7" s="529"/>
      <c r="G7" s="529"/>
      <c r="I7" s="373" t="s">
        <v>10</v>
      </c>
      <c r="J7" s="483">
        <f>+C17-C14-C9-C10-C15</f>
        <v>3554283.7909999993</v>
      </c>
      <c r="K7" s="483">
        <f>J7/$J3</f>
        <v>3837.2005905405545</v>
      </c>
      <c r="L7" s="542">
        <f>J7/J10</f>
        <v>2.7550025823219015</v>
      </c>
      <c r="M7" s="374">
        <f>K7/K10</f>
        <v>2.636922969986212</v>
      </c>
    </row>
    <row r="8" spans="1:13">
      <c r="B8" s="525" t="s">
        <v>11</v>
      </c>
      <c r="C8" s="423">
        <v>64251.817000000003</v>
      </c>
      <c r="D8" s="456">
        <f>C8/$J3</f>
        <v>69.366185885325024</v>
      </c>
      <c r="E8" s="529"/>
      <c r="F8" s="529"/>
      <c r="G8" s="529"/>
      <c r="I8" s="373" t="s">
        <v>12</v>
      </c>
      <c r="J8" s="63">
        <f>Model!$BF$252+24956.527</f>
        <v>1853519.8189999999</v>
      </c>
      <c r="K8" s="483">
        <f>J8/$J3</f>
        <v>2001.0578114372699</v>
      </c>
      <c r="L8" s="44"/>
      <c r="M8" s="374"/>
    </row>
    <row r="9" spans="1:13">
      <c r="B9" s="525" t="s">
        <v>13</v>
      </c>
      <c r="C9" s="423">
        <v>133112.24100000001</v>
      </c>
      <c r="D9" s="456">
        <f>C9/$J3</f>
        <v>143.70781845466226</v>
      </c>
      <c r="E9" s="529"/>
      <c r="F9" s="529"/>
      <c r="G9" s="529"/>
      <c r="I9" s="373" t="s">
        <v>14</v>
      </c>
      <c r="J9" s="483">
        <f>+J7-J8</f>
        <v>1700763.9719999994</v>
      </c>
      <c r="K9" s="483">
        <f>J9/$J3</f>
        <v>1836.1427791032845</v>
      </c>
      <c r="L9" s="543">
        <f>J9/J10</f>
        <v>1.318299103365</v>
      </c>
      <c r="M9" s="374">
        <f>K9/K10</f>
        <v>1.2617967072995004</v>
      </c>
    </row>
    <row r="10" spans="1:13" ht="13.5" thickBot="1">
      <c r="B10" s="525" t="s">
        <v>15</v>
      </c>
      <c r="C10" s="423">
        <v>17709.194</v>
      </c>
      <c r="D10" s="456">
        <f>C10/$J3</f>
        <v>19.118824964643139</v>
      </c>
      <c r="E10" s="529"/>
      <c r="F10" s="529"/>
      <c r="G10" s="529"/>
      <c r="I10" s="391" t="s">
        <v>16</v>
      </c>
      <c r="J10" s="484">
        <f>C27-230033</f>
        <v>1290119.9489999998</v>
      </c>
      <c r="K10" s="484">
        <f>J10/J4</f>
        <v>1455.181146440777</v>
      </c>
      <c r="L10" s="544"/>
      <c r="M10" s="485"/>
    </row>
    <row r="11" spans="1:13">
      <c r="B11" s="526" t="s">
        <v>17</v>
      </c>
      <c r="C11" s="424">
        <f>SUM(C7:C10)</f>
        <v>519698.79200000002</v>
      </c>
      <c r="D11" s="424">
        <f>SUM(D7:D10)</f>
        <v>561.06620315890621</v>
      </c>
      <c r="E11" s="530"/>
      <c r="F11" s="530"/>
      <c r="G11" s="530"/>
    </row>
    <row r="12" spans="1:13">
      <c r="B12" s="525" t="s">
        <v>18</v>
      </c>
      <c r="C12" s="423">
        <v>241709.94099999999</v>
      </c>
      <c r="D12" s="456">
        <f>C12/$J3</f>
        <v>260.94976734645405</v>
      </c>
      <c r="E12" s="530"/>
      <c r="F12" s="530"/>
      <c r="G12" s="530"/>
    </row>
    <row r="13" spans="1:13">
      <c r="B13" s="525" t="s">
        <v>19</v>
      </c>
      <c r="C13" s="423">
        <v>2943696.4929999998</v>
      </c>
      <c r="D13" s="456">
        <f>C13/$J3</f>
        <v>3178.0112634545003</v>
      </c>
      <c r="E13" s="530"/>
      <c r="F13" s="530"/>
      <c r="G13" s="530"/>
    </row>
    <row r="14" spans="1:13">
      <c r="B14" s="525" t="s">
        <v>20</v>
      </c>
      <c r="C14" s="423">
        <v>1317996.9790000001</v>
      </c>
      <c r="D14" s="456">
        <f>C14/$J3</f>
        <v>1422.9079847128808</v>
      </c>
      <c r="E14" s="530"/>
      <c r="F14" s="530"/>
      <c r="G14" s="530"/>
      <c r="I14" s="80" t="s">
        <v>21</v>
      </c>
    </row>
    <row r="15" spans="1:13">
      <c r="B15" s="525" t="s">
        <v>15</v>
      </c>
      <c r="C15" s="423">
        <v>1331.3219999999999</v>
      </c>
      <c r="D15" s="456">
        <f>C15/$J3</f>
        <v>1.4372936616753214</v>
      </c>
      <c r="E15" s="530"/>
      <c r="F15" s="530"/>
      <c r="G15" s="530"/>
    </row>
    <row r="16" spans="1:13">
      <c r="B16" s="526" t="s">
        <v>22</v>
      </c>
      <c r="C16" s="424">
        <f>SUM(C12:C15)</f>
        <v>4504734.7349999994</v>
      </c>
      <c r="D16" s="424">
        <f>SUM(D12:D15)</f>
        <v>4863.3063091755103</v>
      </c>
      <c r="E16" s="530"/>
      <c r="F16" s="530"/>
      <c r="G16" s="530"/>
    </row>
    <row r="17" spans="2:7">
      <c r="B17" s="527" t="s">
        <v>23</v>
      </c>
      <c r="C17" s="295">
        <f>C16+C11</f>
        <v>5024433.5269999998</v>
      </c>
      <c r="D17" s="295">
        <f>D16+D11</f>
        <v>5424.3725123344166</v>
      </c>
      <c r="E17" s="531">
        <f>+C17/C27</f>
        <v>3.3052157878621466</v>
      </c>
      <c r="F17" s="531">
        <f>+D17/D27</f>
        <v>3.1635539972631559</v>
      </c>
      <c r="G17" s="533"/>
    </row>
    <row r="18" spans="2:7">
      <c r="B18" s="528" t="s">
        <v>24</v>
      </c>
      <c r="C18" s="538">
        <f>Model!$BF$252</f>
        <v>1828563.2919999999</v>
      </c>
      <c r="D18" s="456">
        <f>C18/$J3</f>
        <v>1974.1147743098663</v>
      </c>
      <c r="E18" s="532"/>
      <c r="F18" s="532"/>
      <c r="G18" s="532"/>
    </row>
    <row r="19" spans="2:7">
      <c r="B19" s="527" t="s">
        <v>14</v>
      </c>
      <c r="C19" s="295">
        <f>+C17-C18</f>
        <v>3195870.2349999999</v>
      </c>
      <c r="D19" s="295">
        <f>+D17-D18</f>
        <v>3450.2577380245502</v>
      </c>
      <c r="E19" s="531">
        <f>+C19/C27</f>
        <v>2.1023346611946745</v>
      </c>
      <c r="F19" s="531">
        <f>+D19/D27</f>
        <v>2.0122284437317011</v>
      </c>
      <c r="G19" s="533"/>
    </row>
    <row r="20" spans="2:7">
      <c r="B20" s="465"/>
      <c r="C20" s="465"/>
      <c r="D20" s="465"/>
      <c r="E20" s="533"/>
      <c r="F20" s="533"/>
      <c r="G20" s="533"/>
    </row>
    <row r="21" spans="2:7">
      <c r="B21" s="528" t="s">
        <v>25</v>
      </c>
      <c r="C21" s="467">
        <f>Model!$BF$272</f>
        <v>206456.31</v>
      </c>
      <c r="D21" s="456">
        <f>C21/$J3</f>
        <v>222.88998888013214</v>
      </c>
      <c r="E21" s="533"/>
      <c r="F21" s="533"/>
      <c r="G21" s="533"/>
    </row>
    <row r="22" spans="2:7">
      <c r="B22" s="528" t="s">
        <v>26</v>
      </c>
      <c r="C22" s="467">
        <f>Model!$BF$273</f>
        <v>330432.821</v>
      </c>
      <c r="D22" s="456">
        <f>C22/$J3</f>
        <v>356.73488399710669</v>
      </c>
      <c r="E22" s="534"/>
      <c r="F22" s="534"/>
      <c r="G22" s="534"/>
    </row>
    <row r="23" spans="2:7">
      <c r="B23" s="528" t="s">
        <v>27</v>
      </c>
      <c r="C23" s="467">
        <f>Model!$BF$274</f>
        <v>29150.929</v>
      </c>
      <c r="D23" s="456">
        <f>C23/$J3</f>
        <v>31.47130858173103</v>
      </c>
      <c r="E23" s="534"/>
      <c r="F23" s="534"/>
      <c r="G23" s="534"/>
    </row>
    <row r="24" spans="2:7">
      <c r="B24" s="42" t="s">
        <v>28</v>
      </c>
      <c r="C24" s="45">
        <f>C21+C22+C23</f>
        <v>566040.06000000006</v>
      </c>
      <c r="D24" s="45">
        <f>D21+D22+D23</f>
        <v>611.09618145896991</v>
      </c>
      <c r="E24" s="43"/>
      <c r="F24" s="43"/>
      <c r="G24" s="86"/>
    </row>
    <row r="25" spans="2:7">
      <c r="B25" s="41" t="s">
        <v>29</v>
      </c>
      <c r="C25" s="537">
        <f>Model!$BF$272</f>
        <v>206456.31</v>
      </c>
      <c r="D25" s="456">
        <f>C25/$J3</f>
        <v>222.88998888013214</v>
      </c>
      <c r="E25" s="44"/>
    </row>
    <row r="26" spans="2:7">
      <c r="B26" s="84" t="s">
        <v>30</v>
      </c>
      <c r="C26" s="288">
        <f>C25+C17+C24</f>
        <v>5796929.8969999999</v>
      </c>
      <c r="D26" s="288">
        <f>D25+D17+D24</f>
        <v>6258.3586826735191</v>
      </c>
      <c r="E26" s="86"/>
    </row>
    <row r="27" spans="2:7">
      <c r="B27" s="84" t="s">
        <v>31</v>
      </c>
      <c r="C27" s="288">
        <f>Model!$BF$204</f>
        <v>1520152.9489999998</v>
      </c>
      <c r="D27" s="456">
        <f>C27/$J4</f>
        <v>1714.6451481552497</v>
      </c>
      <c r="E27" s="41"/>
    </row>
    <row r="29" spans="2:7">
      <c r="B29" s="176" t="s">
        <v>32</v>
      </c>
      <c r="C29" s="274">
        <f>C17-Model!$BF$260</f>
        <v>0</v>
      </c>
    </row>
    <row r="30" spans="2:7" ht="13.5" thickBot="1"/>
    <row r="31" spans="2:7">
      <c r="B31" s="469" t="s">
        <v>33</v>
      </c>
      <c r="C31" s="470">
        <f>Model!$BF$289</f>
        <v>15288900</v>
      </c>
    </row>
    <row r="32" spans="2:7">
      <c r="B32" s="406" t="s">
        <v>34</v>
      </c>
      <c r="C32" s="326">
        <f>C31+Model!$BF$283</f>
        <v>19428264.366999999</v>
      </c>
    </row>
    <row r="33" spans="2:4">
      <c r="B33" s="472" t="s">
        <v>35</v>
      </c>
      <c r="C33" s="377">
        <f>C32/C34</f>
        <v>9.6413544196631715</v>
      </c>
    </row>
    <row r="34" spans="2:4" ht="13.5" thickBot="1">
      <c r="B34" s="410" t="s">
        <v>36</v>
      </c>
      <c r="C34" s="471">
        <f>Model!$BF$223</f>
        <v>2015097</v>
      </c>
    </row>
    <row r="37" spans="2:4" ht="13.5" thickBot="1"/>
    <row r="38" spans="2:4">
      <c r="B38" s="473" t="s">
        <v>37</v>
      </c>
      <c r="C38" s="474" t="s">
        <v>38</v>
      </c>
      <c r="D38" s="475" t="s">
        <v>5</v>
      </c>
    </row>
    <row r="39" spans="2:4">
      <c r="B39" s="268" t="s">
        <v>39</v>
      </c>
      <c r="C39" s="269">
        <v>0</v>
      </c>
      <c r="D39" s="270">
        <v>0</v>
      </c>
    </row>
    <row r="40" spans="2:4">
      <c r="B40" s="104" t="s">
        <v>40</v>
      </c>
      <c r="C40" s="290">
        <f>C18</f>
        <v>1828563.2919999999</v>
      </c>
      <c r="D40" s="365">
        <f>D18</f>
        <v>1974.1147743098663</v>
      </c>
    </row>
    <row r="41" spans="2:4" ht="13.5" thickBot="1">
      <c r="B41" s="271" t="s">
        <v>41</v>
      </c>
      <c r="C41" s="272">
        <f>C39+C40</f>
        <v>1828563.2919999999</v>
      </c>
      <c r="D41" s="273">
        <f>D39+D40</f>
        <v>1974.1147743098663</v>
      </c>
    </row>
    <row r="42" spans="2:4">
      <c r="D42" s="264"/>
    </row>
    <row r="43" spans="2:4">
      <c r="C43" s="36"/>
    </row>
    <row r="44" spans="2:4" ht="13.5" thickBot="1"/>
    <row r="45" spans="2:4">
      <c r="B45" s="476" t="s">
        <v>42</v>
      </c>
      <c r="C45" s="474" t="s">
        <v>38</v>
      </c>
      <c r="D45" s="475" t="s">
        <v>5</v>
      </c>
    </row>
    <row r="46" spans="2:4">
      <c r="B46" s="89">
        <v>2026</v>
      </c>
      <c r="C46" s="478">
        <f>24042.48+272083.03</f>
        <v>296125.51</v>
      </c>
      <c r="D46" s="479">
        <f>C46/$J3</f>
        <v>319.69675148714737</v>
      </c>
    </row>
    <row r="47" spans="2:4">
      <c r="B47" s="89">
        <v>2027</v>
      </c>
      <c r="C47" s="478">
        <v>402521.53</v>
      </c>
      <c r="D47" s="479">
        <f>C47/$J3</f>
        <v>434.56176924654801</v>
      </c>
    </row>
    <row r="48" spans="2:4">
      <c r="B48" s="89">
        <v>2028</v>
      </c>
      <c r="C48" s="478">
        <v>212845.65</v>
      </c>
      <c r="D48" s="479">
        <f>C48/$J3</f>
        <v>229.7879128115992</v>
      </c>
    </row>
    <row r="49" spans="1:12">
      <c r="B49" s="89">
        <v>2029</v>
      </c>
      <c r="C49" s="478">
        <v>454751.53</v>
      </c>
      <c r="D49" s="479">
        <f>C49/$J3</f>
        <v>490.9492156714565</v>
      </c>
    </row>
    <row r="50" spans="1:12">
      <c r="B50" s="89">
        <v>2030</v>
      </c>
      <c r="C50" s="478">
        <v>289817.88</v>
      </c>
      <c r="D50" s="479">
        <f>C50/$J3</f>
        <v>312.88704157535062</v>
      </c>
    </row>
    <row r="51" spans="1:12" ht="13.5" thickBot="1">
      <c r="B51" s="89" t="s">
        <v>43</v>
      </c>
      <c r="C51" s="478">
        <f>3811977.62+272083.03-SUM(C46:C50)</f>
        <v>2427998.5500000003</v>
      </c>
      <c r="D51" s="479">
        <f>C51/$J3</f>
        <v>2621.2643721593058</v>
      </c>
    </row>
    <row r="52" spans="1:12" ht="13.5" thickBot="1">
      <c r="B52" s="477" t="s">
        <v>44</v>
      </c>
      <c r="C52" s="480">
        <f>SUM(C46:C51)</f>
        <v>4084060.6500000004</v>
      </c>
      <c r="D52" s="481">
        <f>SUM(D46:D51)</f>
        <v>4409.1470629514079</v>
      </c>
    </row>
    <row r="60" spans="1:12">
      <c r="A60" s="80" t="s">
        <v>45</v>
      </c>
      <c r="I60" s="80" t="s">
        <v>46</v>
      </c>
      <c r="J60" s="292">
        <f>Model!$BD$382</f>
        <v>961.93</v>
      </c>
    </row>
    <row r="62" spans="1:12" ht="13.5" thickBot="1"/>
    <row r="63" spans="1:12">
      <c r="B63" s="453" t="s">
        <v>47</v>
      </c>
      <c r="C63" s="454" t="s">
        <v>4</v>
      </c>
      <c r="D63" s="454" t="s">
        <v>5</v>
      </c>
      <c r="E63" s="455" t="s">
        <v>48</v>
      </c>
      <c r="I63" s="482" t="s">
        <v>8</v>
      </c>
      <c r="J63" s="454" t="s">
        <v>4</v>
      </c>
      <c r="K63" s="454" t="s">
        <v>5</v>
      </c>
      <c r="L63" s="455" t="s">
        <v>48</v>
      </c>
    </row>
    <row r="64" spans="1:12">
      <c r="B64" s="104" t="s">
        <v>9</v>
      </c>
      <c r="C64" s="423">
        <v>207048.88</v>
      </c>
      <c r="D64" s="456">
        <f>C64/$J60</f>
        <v>215.24318817377565</v>
      </c>
      <c r="E64" s="457"/>
      <c r="F64" s="423"/>
      <c r="G64" s="423"/>
      <c r="I64" s="373" t="s">
        <v>10</v>
      </c>
      <c r="J64" s="483">
        <f>+C74-C71-C66-C67-C72</f>
        <v>3744349.1960000005</v>
      </c>
      <c r="K64" s="483">
        <f>J64/$J60</f>
        <v>3892.5381223165932</v>
      </c>
      <c r="L64" s="374">
        <f>J64/J67</f>
        <v>3.1409821590547677</v>
      </c>
    </row>
    <row r="65" spans="2:12">
      <c r="B65" s="104" t="s">
        <v>11</v>
      </c>
      <c r="C65" s="423">
        <v>87747.713000000003</v>
      </c>
      <c r="D65" s="456">
        <f>C65/$J60</f>
        <v>91.220476541952124</v>
      </c>
      <c r="E65" s="457"/>
      <c r="F65" s="423"/>
      <c r="G65" s="423"/>
      <c r="I65" s="373" t="s">
        <v>12</v>
      </c>
      <c r="J65" s="63">
        <f>Model!$BD$252+15227.425</f>
        <v>1355757.7690000001</v>
      </c>
      <c r="K65" s="483">
        <f>J65/$J60</f>
        <v>1409.4141663114781</v>
      </c>
      <c r="L65" s="374"/>
    </row>
    <row r="66" spans="2:12">
      <c r="B66" s="104" t="s">
        <v>13</v>
      </c>
      <c r="C66" s="423">
        <v>129100.277</v>
      </c>
      <c r="D66" s="456">
        <f>C66/$J60</f>
        <v>134.20963791544085</v>
      </c>
      <c r="E66" s="457"/>
      <c r="F66" s="423"/>
      <c r="G66" s="423"/>
      <c r="I66" s="373" t="s">
        <v>14</v>
      </c>
      <c r="J66" s="483">
        <f>+J64-J65</f>
        <v>2388591.4270000001</v>
      </c>
      <c r="K66" s="483">
        <f>J66/$J60</f>
        <v>2483.1239560051149</v>
      </c>
      <c r="L66" s="374">
        <f>J66/J67</f>
        <v>2.0036921410783313</v>
      </c>
    </row>
    <row r="67" spans="2:12" ht="13.5" thickBot="1">
      <c r="B67" s="104" t="s">
        <v>15</v>
      </c>
      <c r="C67" s="423">
        <v>35224.078999999998</v>
      </c>
      <c r="D67" s="456">
        <f>C67/$J60</f>
        <v>36.618131256952168</v>
      </c>
      <c r="E67" s="457"/>
      <c r="F67" s="423"/>
      <c r="G67" s="423"/>
      <c r="I67" s="391" t="s">
        <v>49</v>
      </c>
      <c r="J67" s="484">
        <f>C84-218621</f>
        <v>1192095.0219999999</v>
      </c>
      <c r="K67" s="484"/>
      <c r="L67" s="485"/>
    </row>
    <row r="68" spans="2:12">
      <c r="B68" s="458" t="s">
        <v>17</v>
      </c>
      <c r="C68" s="424">
        <f>SUM(C64:C67)</f>
        <v>459120.94900000002</v>
      </c>
      <c r="D68" s="424">
        <f>SUM(D64:D67)</f>
        <v>477.29143388812076</v>
      </c>
      <c r="E68" s="459"/>
      <c r="F68" s="424"/>
      <c r="G68" s="424"/>
    </row>
    <row r="69" spans="2:12">
      <c r="B69" s="104" t="s">
        <v>18</v>
      </c>
      <c r="C69" s="423">
        <v>301747.15299999999</v>
      </c>
      <c r="D69" s="456">
        <f>C69/$J60</f>
        <v>313.68930483507114</v>
      </c>
      <c r="E69" s="459"/>
      <c r="F69" s="423"/>
      <c r="G69" s="423"/>
    </row>
    <row r="70" spans="2:12">
      <c r="B70" s="104" t="s">
        <v>19</v>
      </c>
      <c r="C70" s="423">
        <v>3147805.45</v>
      </c>
      <c r="D70" s="456">
        <f>C70/$J60</f>
        <v>3272.3851527657939</v>
      </c>
      <c r="E70" s="459"/>
      <c r="F70" s="423"/>
      <c r="G70" s="423"/>
    </row>
    <row r="71" spans="2:12">
      <c r="B71" s="104" t="s">
        <v>20</v>
      </c>
      <c r="C71" s="423">
        <v>1280527.2849999999</v>
      </c>
      <c r="D71" s="456">
        <f>C71/$J60</f>
        <v>1331.2063091908974</v>
      </c>
      <c r="E71" s="459"/>
      <c r="F71" s="423"/>
      <c r="G71" s="423"/>
    </row>
    <row r="72" spans="2:12">
      <c r="B72" s="104" t="s">
        <v>15</v>
      </c>
      <c r="C72" s="423">
        <v>4402.5159999999996</v>
      </c>
      <c r="D72" s="456">
        <f>C72/$J60</f>
        <v>4.5767529861840259</v>
      </c>
      <c r="E72" s="459"/>
    </row>
    <row r="73" spans="2:12">
      <c r="B73" s="458" t="s">
        <v>22</v>
      </c>
      <c r="C73" s="424">
        <f>SUM(C69:C72)</f>
        <v>4734482.4040000001</v>
      </c>
      <c r="D73" s="424">
        <f>SUM(D69:D72)</f>
        <v>4921.8575197779464</v>
      </c>
      <c r="E73" s="459"/>
    </row>
    <row r="74" spans="2:12">
      <c r="B74" s="460" t="s">
        <v>23</v>
      </c>
      <c r="C74" s="295">
        <f>C73+C68</f>
        <v>5193603.3530000001</v>
      </c>
      <c r="D74" s="295">
        <f>D73+D68</f>
        <v>5399.1489536660674</v>
      </c>
      <c r="E74" s="461">
        <f>+C74/C84</f>
        <v>3.6815370861365326</v>
      </c>
    </row>
    <row r="75" spans="2:12">
      <c r="B75" s="462" t="s">
        <v>24</v>
      </c>
      <c r="C75" s="295">
        <f>Model!$BD$252</f>
        <v>1340530.344</v>
      </c>
      <c r="D75" s="456">
        <f>C75/$J60</f>
        <v>1393.5840903184223</v>
      </c>
      <c r="E75" s="463"/>
    </row>
    <row r="76" spans="2:12">
      <c r="B76" s="460" t="s">
        <v>14</v>
      </c>
      <c r="C76" s="295">
        <f>+C74-C75</f>
        <v>3853073.0090000001</v>
      </c>
      <c r="D76" s="295">
        <f>+D74-D75</f>
        <v>4005.5648633476449</v>
      </c>
      <c r="E76" s="461">
        <f>+C76/C84</f>
        <v>2.7312888979154164</v>
      </c>
    </row>
    <row r="77" spans="2:12">
      <c r="B77" s="464"/>
      <c r="C77" s="465"/>
      <c r="D77" s="465"/>
      <c r="E77" s="466"/>
    </row>
    <row r="78" spans="2:12">
      <c r="B78" s="462" t="s">
        <v>25</v>
      </c>
      <c r="C78" s="467">
        <f>Model!$BD$272</f>
        <v>130737.215</v>
      </c>
      <c r="D78" s="456">
        <f>C78/$J60</f>
        <v>135.91136049400686</v>
      </c>
      <c r="E78" s="466"/>
    </row>
    <row r="79" spans="2:12">
      <c r="B79" s="462" t="s">
        <v>26</v>
      </c>
      <c r="C79" s="467">
        <f>Model!$BD$273</f>
        <v>332087.266</v>
      </c>
      <c r="D79" s="456">
        <f>C79/$J60</f>
        <v>345.23017891114739</v>
      </c>
      <c r="E79" s="468"/>
    </row>
    <row r="80" spans="2:12">
      <c r="B80" s="462" t="s">
        <v>27</v>
      </c>
      <c r="C80" s="467">
        <f>Model!$BD$274</f>
        <v>22299.106</v>
      </c>
      <c r="D80" s="456">
        <f>C80/$J60</f>
        <v>23.181630679987109</v>
      </c>
      <c r="E80" s="468"/>
    </row>
    <row r="81" spans="2:5">
      <c r="B81" s="371" t="s">
        <v>28</v>
      </c>
      <c r="C81" s="45">
        <f>C78+C79+C80</f>
        <v>485123.58700000006</v>
      </c>
      <c r="D81" s="45">
        <f>D78+D79+D80</f>
        <v>504.32317008514138</v>
      </c>
      <c r="E81" s="372"/>
    </row>
    <row r="82" spans="2:5">
      <c r="B82" s="373" t="s">
        <v>29</v>
      </c>
      <c r="C82" s="537">
        <f>Model!$BD$290</f>
        <v>9481373.5899999999</v>
      </c>
      <c r="D82" s="456">
        <f>C82/$J60</f>
        <v>9856.6149200045747</v>
      </c>
      <c r="E82" s="374"/>
    </row>
    <row r="83" spans="2:5">
      <c r="B83" s="376" t="s">
        <v>30</v>
      </c>
      <c r="C83" s="288">
        <f>C82+C74+C81</f>
        <v>15160100.529999999</v>
      </c>
      <c r="D83" s="288">
        <f>D82+D74+D81</f>
        <v>15760.087043755784</v>
      </c>
      <c r="E83" s="377"/>
    </row>
    <row r="84" spans="2:5" ht="13.5" thickBot="1">
      <c r="B84" s="400" t="s">
        <v>16</v>
      </c>
      <c r="C84" s="401">
        <f>Model!$BD$204</f>
        <v>1410716.0219999999</v>
      </c>
      <c r="D84" s="401"/>
      <c r="E84" s="402"/>
    </row>
    <row r="86" spans="2:5">
      <c r="B86" s="176" t="s">
        <v>32</v>
      </c>
      <c r="C86" s="274">
        <f>C74-Model!$BD$260</f>
        <v>0</v>
      </c>
    </row>
    <row r="87" spans="2:5" ht="13.5" thickBot="1"/>
    <row r="88" spans="2:5">
      <c r="B88" s="469" t="s">
        <v>50</v>
      </c>
      <c r="C88" s="470">
        <f>Model!$BD$289</f>
        <v>16209600</v>
      </c>
    </row>
    <row r="89" spans="2:5">
      <c r="B89" s="406" t="s">
        <v>34</v>
      </c>
      <c r="C89" s="326">
        <f>C88+Model!$BD$283</f>
        <v>20478699.377999999</v>
      </c>
    </row>
    <row r="90" spans="2:5">
      <c r="B90" s="472" t="s">
        <v>35</v>
      </c>
      <c r="C90" s="377">
        <f>C89/C91</f>
        <v>11.025061738883252</v>
      </c>
    </row>
    <row r="91" spans="2:5" ht="13.5" thickBot="1">
      <c r="B91" s="410" t="s">
        <v>36</v>
      </c>
      <c r="C91" s="471">
        <f>Model!$BD$223</f>
        <v>1857468</v>
      </c>
    </row>
    <row r="94" spans="2:5" ht="13.5" thickBot="1"/>
    <row r="95" spans="2:5">
      <c r="B95" s="473" t="s">
        <v>37</v>
      </c>
      <c r="C95" s="474" t="s">
        <v>38</v>
      </c>
      <c r="D95" s="475" t="s">
        <v>5</v>
      </c>
    </row>
    <row r="96" spans="2:5">
      <c r="B96" s="268" t="s">
        <v>39</v>
      </c>
      <c r="C96" s="269">
        <v>0</v>
      </c>
      <c r="D96" s="270">
        <v>0</v>
      </c>
    </row>
    <row r="97" spans="2:4">
      <c r="B97" s="104" t="s">
        <v>40</v>
      </c>
      <c r="C97" s="290">
        <f>C75</f>
        <v>1340530.344</v>
      </c>
      <c r="D97" s="365">
        <f>D75</f>
        <v>1393.5840903184223</v>
      </c>
    </row>
    <row r="98" spans="2:4" ht="13.5" thickBot="1">
      <c r="B98" s="271" t="s">
        <v>41</v>
      </c>
      <c r="C98" s="272">
        <f>C96+C97</f>
        <v>1340530.344</v>
      </c>
      <c r="D98" s="273">
        <f>D96+D97</f>
        <v>1393.5840903184223</v>
      </c>
    </row>
    <row r="99" spans="2:4">
      <c r="D99" s="264"/>
    </row>
    <row r="100" spans="2:4">
      <c r="C100" s="36"/>
    </row>
    <row r="101" spans="2:4" ht="13.5" thickBot="1"/>
    <row r="102" spans="2:4">
      <c r="B102" s="476" t="s">
        <v>51</v>
      </c>
      <c r="C102" s="474" t="s">
        <v>38</v>
      </c>
      <c r="D102" s="475" t="s">
        <v>5</v>
      </c>
    </row>
    <row r="103" spans="2:4">
      <c r="B103" s="89">
        <v>2026</v>
      </c>
      <c r="C103" s="478">
        <v>314547.28000000003</v>
      </c>
      <c r="D103" s="479">
        <f>C103/$J60</f>
        <v>326.99601842129891</v>
      </c>
    </row>
    <row r="104" spans="2:4">
      <c r="B104" s="89">
        <v>2027</v>
      </c>
      <c r="C104" s="478">
        <v>393683.94</v>
      </c>
      <c r="D104" s="479">
        <f>C104/$J60</f>
        <v>409.26464503654114</v>
      </c>
    </row>
    <row r="105" spans="2:4">
      <c r="B105" s="89">
        <v>2028</v>
      </c>
      <c r="C105" s="478">
        <v>210850.44</v>
      </c>
      <c r="D105" s="479">
        <f>C105/$J60</f>
        <v>219.19520131402496</v>
      </c>
    </row>
    <row r="106" spans="2:4">
      <c r="B106" s="89">
        <v>2028</v>
      </c>
      <c r="C106" s="478">
        <v>404773.74</v>
      </c>
      <c r="D106" s="479">
        <f>C106/$J60</f>
        <v>420.79334255091328</v>
      </c>
    </row>
    <row r="107" spans="2:4">
      <c r="B107" s="89">
        <v>2030</v>
      </c>
      <c r="C107" s="478">
        <v>281903.96999999997</v>
      </c>
      <c r="D107" s="479">
        <f>C107/$J60</f>
        <v>293.06079444450216</v>
      </c>
    </row>
    <row r="108" spans="2:4" ht="13.5" thickBot="1">
      <c r="B108" s="89" t="s">
        <v>43</v>
      </c>
      <c r="C108" s="478">
        <f>3970208.06-SUM(C103:C107)</f>
        <v>2364448.6900000004</v>
      </c>
      <c r="D108" s="479">
        <f>C108/$J60</f>
        <v>2458.0257295229389</v>
      </c>
    </row>
    <row r="109" spans="2:4" ht="13.5" thickBot="1">
      <c r="B109" s="477" t="s">
        <v>44</v>
      </c>
      <c r="C109" s="480">
        <f>SUM(C103:C108)</f>
        <v>3970208.0600000005</v>
      </c>
      <c r="D109" s="481">
        <f>SUM(D103:D108)</f>
        <v>4127.335731290219</v>
      </c>
    </row>
    <row r="114" spans="1:12">
      <c r="A114" s="80" t="s">
        <v>52</v>
      </c>
      <c r="C114" s="80" t="s">
        <v>53</v>
      </c>
      <c r="D114" s="292">
        <f>Model!$BC$382</f>
        <v>928.38</v>
      </c>
    </row>
    <row r="115" spans="1:12" ht="13.5" thickBot="1"/>
    <row r="116" spans="1:12" ht="13.5" thickBot="1">
      <c r="I116" s="381" t="s">
        <v>8</v>
      </c>
      <c r="J116" s="379"/>
      <c r="K116" s="379"/>
      <c r="L116" s="380"/>
    </row>
    <row r="117" spans="1:12">
      <c r="B117" s="382" t="s">
        <v>54</v>
      </c>
      <c r="C117" s="383" t="s">
        <v>4</v>
      </c>
      <c r="D117" s="383" t="s">
        <v>5</v>
      </c>
      <c r="E117" s="384" t="s">
        <v>48</v>
      </c>
      <c r="I117" s="382" t="s">
        <v>54</v>
      </c>
      <c r="J117" s="383" t="s">
        <v>4</v>
      </c>
      <c r="K117" s="383" t="s">
        <v>5</v>
      </c>
      <c r="L117" s="384" t="s">
        <v>48</v>
      </c>
    </row>
    <row r="118" spans="1:12">
      <c r="B118" s="394" t="s">
        <v>9</v>
      </c>
      <c r="C118" s="155">
        <v>217598.845</v>
      </c>
      <c r="D118" s="286">
        <f>C118/$D114</f>
        <v>234.38553717227859</v>
      </c>
      <c r="E118" s="395"/>
      <c r="F118" s="423"/>
      <c r="G118" s="423"/>
      <c r="I118" s="376" t="s">
        <v>10</v>
      </c>
      <c r="J118" s="85">
        <f>+C128-C125-C120-C121-C126</f>
        <v>3867228.8810000005</v>
      </c>
      <c r="K118" s="85">
        <f>J118/$D114</f>
        <v>4165.5667733040355</v>
      </c>
      <c r="L118" s="377">
        <f>J118/J122</f>
        <v>3.414074230157635</v>
      </c>
    </row>
    <row r="119" spans="1:12">
      <c r="B119" s="394" t="s">
        <v>11</v>
      </c>
      <c r="C119" s="352">
        <v>87864.115000000005</v>
      </c>
      <c r="D119" s="286">
        <f>C119/$D114</f>
        <v>94.642403972511261</v>
      </c>
      <c r="E119" s="395"/>
      <c r="F119" s="423"/>
      <c r="G119" s="423"/>
      <c r="I119" s="373" t="s">
        <v>12</v>
      </c>
      <c r="J119" s="121">
        <f>Model!$BC$252+15715.483</f>
        <v>1483577.5290000001</v>
      </c>
      <c r="K119" s="85">
        <f>J119/$D114</f>
        <v>1598.028317068442</v>
      </c>
      <c r="L119" s="374"/>
    </row>
    <row r="120" spans="1:12">
      <c r="B120" s="394" t="s">
        <v>13</v>
      </c>
      <c r="C120" s="352">
        <v>126889.671</v>
      </c>
      <c r="D120" s="286">
        <f>C120/$D114</f>
        <v>136.67859174045111</v>
      </c>
      <c r="E120" s="395"/>
      <c r="F120" s="423"/>
      <c r="G120" s="423"/>
      <c r="I120" s="376" t="s">
        <v>14</v>
      </c>
      <c r="J120" s="85">
        <f>+J118-J119</f>
        <v>2383651.3520000004</v>
      </c>
      <c r="K120" s="85">
        <f>J120/$D114</f>
        <v>2567.5384562355935</v>
      </c>
      <c r="L120" s="377">
        <f>J120/J122</f>
        <v>2.1043395425923865</v>
      </c>
    </row>
    <row r="121" spans="1:12">
      <c r="B121" s="394" t="s">
        <v>15</v>
      </c>
      <c r="C121" s="155">
        <v>36031.442999999999</v>
      </c>
      <c r="D121" s="286">
        <f>C121/$D114</f>
        <v>38.811093517740581</v>
      </c>
      <c r="E121" s="395"/>
      <c r="F121" s="423"/>
      <c r="G121" s="423"/>
      <c r="I121" s="388"/>
      <c r="J121" s="389"/>
      <c r="K121" s="389"/>
      <c r="L121" s="390"/>
    </row>
    <row r="122" spans="1:12" ht="13.5" thickBot="1">
      <c r="B122" s="396" t="s">
        <v>17</v>
      </c>
      <c r="C122" s="156">
        <f>SUM(C118:C121)</f>
        <v>468384.07400000002</v>
      </c>
      <c r="D122" s="156">
        <f>SUM(D118:D121)</f>
        <v>504.51762640298153</v>
      </c>
      <c r="E122" s="375"/>
      <c r="F122" s="424"/>
      <c r="G122" s="424"/>
      <c r="I122" s="391" t="s">
        <v>55</v>
      </c>
      <c r="J122" s="392">
        <f>C138-214346</f>
        <v>1132731.341</v>
      </c>
      <c r="K122" s="392"/>
      <c r="L122" s="393"/>
    </row>
    <row r="123" spans="1:12">
      <c r="B123" s="394" t="s">
        <v>18</v>
      </c>
      <c r="C123" s="155">
        <v>294034.61300000001</v>
      </c>
      <c r="D123" s="286">
        <f>C123/$D114</f>
        <v>316.71795277795729</v>
      </c>
      <c r="E123" s="375"/>
      <c r="F123" s="423"/>
      <c r="G123" s="423"/>
    </row>
    <row r="124" spans="1:12">
      <c r="B124" s="394" t="s">
        <v>19</v>
      </c>
      <c r="C124" s="155">
        <v>3267731.3080000002</v>
      </c>
      <c r="D124" s="286">
        <f>C124/$D114</f>
        <v>3519.8208793812883</v>
      </c>
      <c r="E124" s="375"/>
      <c r="F124" s="423"/>
      <c r="G124" s="423"/>
    </row>
    <row r="125" spans="1:12">
      <c r="B125" s="394" t="s">
        <v>20</v>
      </c>
      <c r="C125" s="352">
        <v>1311821.9110000001</v>
      </c>
      <c r="D125" s="286">
        <f>C125/$D114</f>
        <v>1413.0225888106165</v>
      </c>
      <c r="E125" s="375"/>
      <c r="F125" s="423"/>
      <c r="G125" s="423"/>
    </row>
    <row r="126" spans="1:12">
      <c r="B126" s="394" t="s">
        <v>15</v>
      </c>
      <c r="C126" s="155">
        <v>3817.5880000000002</v>
      </c>
      <c r="D126" s="286">
        <f>C126/$D114</f>
        <v>4.112096339860833</v>
      </c>
      <c r="E126" s="375"/>
    </row>
    <row r="127" spans="1:12">
      <c r="B127" s="396" t="s">
        <v>22</v>
      </c>
      <c r="C127" s="156">
        <f>SUM(C123:C126)</f>
        <v>4877405.4200000009</v>
      </c>
      <c r="D127" s="156">
        <f>SUM(D123:D126)</f>
        <v>5253.6735173097222</v>
      </c>
      <c r="E127" s="375"/>
    </row>
    <row r="128" spans="1:12">
      <c r="B128" s="397" t="s">
        <v>23</v>
      </c>
      <c r="C128" s="304">
        <f>C127+C122</f>
        <v>5345789.4940000009</v>
      </c>
      <c r="D128" s="304">
        <f>D127+D122</f>
        <v>5758.1911437127037</v>
      </c>
      <c r="E128" s="398">
        <f>+C128/C138</f>
        <v>3.9684354649092124</v>
      </c>
    </row>
    <row r="129" spans="2:5">
      <c r="B129" s="386" t="s">
        <v>24</v>
      </c>
      <c r="C129" s="304">
        <f>Model!$BC$252</f>
        <v>1467862.0460000001</v>
      </c>
      <c r="D129" s="286">
        <f>C129/$D114</f>
        <v>1581.1004610181176</v>
      </c>
      <c r="E129" s="387"/>
    </row>
    <row r="130" spans="2:5">
      <c r="B130" s="397" t="s">
        <v>14</v>
      </c>
      <c r="C130" s="304">
        <f>+C128-C129</f>
        <v>3877927.4480000008</v>
      </c>
      <c r="D130" s="304">
        <f>+D128-D129</f>
        <v>4177.0906826945866</v>
      </c>
      <c r="E130" s="398">
        <f>+C130/C138</f>
        <v>2.8787711959591196</v>
      </c>
    </row>
    <row r="131" spans="2:5">
      <c r="B131" s="376"/>
      <c r="C131" s="84"/>
      <c r="D131" s="84"/>
      <c r="E131" s="377"/>
    </row>
    <row r="132" spans="2:5">
      <c r="B132" s="386" t="s">
        <v>25</v>
      </c>
      <c r="C132" s="308">
        <f>Model!$BC$112</f>
        <v>21403.527000000002</v>
      </c>
      <c r="D132" s="286">
        <f>C132/$D114</f>
        <v>23.054704969947654</v>
      </c>
      <c r="E132" s="385"/>
    </row>
    <row r="133" spans="2:5">
      <c r="B133" s="386" t="s">
        <v>26</v>
      </c>
      <c r="C133" s="308">
        <f>Model!$BC$113</f>
        <v>368526.48000000004</v>
      </c>
      <c r="D133" s="286">
        <f>C133/$D114</f>
        <v>396.9565048794675</v>
      </c>
      <c r="E133" s="399"/>
    </row>
    <row r="134" spans="2:5">
      <c r="B134" s="386" t="s">
        <v>27</v>
      </c>
      <c r="C134" s="308">
        <f>Model!$BC$114</f>
        <v>7.9464549528054963E-3</v>
      </c>
      <c r="D134" s="286">
        <f>C134/$D114</f>
        <v>8.5594852892193886E-6</v>
      </c>
      <c r="E134" s="399"/>
    </row>
    <row r="135" spans="2:5">
      <c r="B135" s="371" t="s">
        <v>28</v>
      </c>
      <c r="C135" s="45">
        <f>C132+C133+C134</f>
        <v>389930.01494645502</v>
      </c>
      <c r="D135" s="45">
        <f>D132+D133+D134</f>
        <v>420.01121840890045</v>
      </c>
      <c r="E135" s="372"/>
    </row>
    <row r="136" spans="2:5">
      <c r="B136" s="376" t="s">
        <v>29</v>
      </c>
      <c r="C136" s="288">
        <f>Model!$BC$290</f>
        <v>9169210.8780000005</v>
      </c>
      <c r="D136" s="286">
        <f>C136/$D114</f>
        <v>9876.5708847670139</v>
      </c>
      <c r="E136" s="377"/>
    </row>
    <row r="137" spans="2:5">
      <c r="B137" s="376" t="s">
        <v>30</v>
      </c>
      <c r="C137" s="288">
        <f>C136+C128+C135</f>
        <v>14904930.386946457</v>
      </c>
      <c r="D137" s="288">
        <f>D136+D128+D135</f>
        <v>16054.773246888619</v>
      </c>
      <c r="E137" s="377"/>
    </row>
    <row r="138" spans="2:5" ht="13.5" thickBot="1">
      <c r="B138" s="400" t="s">
        <v>31</v>
      </c>
      <c r="C138" s="401">
        <f>Model!$BC$204</f>
        <v>1347077.341</v>
      </c>
      <c r="D138" s="401"/>
      <c r="E138" s="402"/>
    </row>
    <row r="140" spans="2:5">
      <c r="B140" s="176" t="s">
        <v>32</v>
      </c>
      <c r="C140" s="274">
        <f>C128-Model!$BC$260</f>
        <v>0</v>
      </c>
    </row>
    <row r="141" spans="2:5" ht="13.5" thickBot="1"/>
    <row r="142" spans="2:5">
      <c r="B142" s="88" t="s">
        <v>56</v>
      </c>
      <c r="C142" s="404">
        <f>Model!$BC$289</f>
        <v>12418780</v>
      </c>
      <c r="D142" s="405"/>
    </row>
    <row r="143" spans="2:5">
      <c r="B143" s="406" t="s">
        <v>34</v>
      </c>
      <c r="C143" s="290">
        <f>C142+Model!$BC$283</f>
        <v>16783339.561000001</v>
      </c>
      <c r="D143" s="407"/>
    </row>
    <row r="144" spans="2:5">
      <c r="B144" s="408" t="s">
        <v>35</v>
      </c>
      <c r="C144" s="43">
        <f>C143/C146</f>
        <v>9.4627968790260351</v>
      </c>
      <c r="D144" s="372"/>
    </row>
    <row r="145" spans="2:4">
      <c r="B145" s="406"/>
      <c r="D145" s="409"/>
    </row>
    <row r="146" spans="2:4" ht="13.5" thickBot="1">
      <c r="B146" s="410" t="s">
        <v>36</v>
      </c>
      <c r="C146" s="411">
        <f>Model!$BC$223</f>
        <v>1773612.9999999998</v>
      </c>
      <c r="D146" s="412"/>
    </row>
    <row r="149" spans="2:4" ht="13.5" thickBot="1"/>
    <row r="150" spans="2:4">
      <c r="B150" s="267" t="s">
        <v>37</v>
      </c>
      <c r="C150" s="278" t="s">
        <v>38</v>
      </c>
      <c r="D150" s="279" t="s">
        <v>5</v>
      </c>
    </row>
    <row r="151" spans="2:4">
      <c r="B151" s="268" t="s">
        <v>39</v>
      </c>
      <c r="C151" s="269">
        <v>0</v>
      </c>
      <c r="D151" s="270">
        <v>0</v>
      </c>
    </row>
    <row r="152" spans="2:4">
      <c r="B152" s="104" t="s">
        <v>40</v>
      </c>
      <c r="C152" s="290">
        <f>C129</f>
        <v>1467862.0460000001</v>
      </c>
      <c r="D152" s="365">
        <f>D129</f>
        <v>1581.1004610181176</v>
      </c>
    </row>
    <row r="153" spans="2:4" ht="13.5" thickBot="1">
      <c r="B153" s="271" t="s">
        <v>41</v>
      </c>
      <c r="C153" s="272">
        <f>C151+C152</f>
        <v>1467862.0460000001</v>
      </c>
      <c r="D153" s="273">
        <f>D151+D152</f>
        <v>1581.1004610181176</v>
      </c>
    </row>
    <row r="154" spans="2:4">
      <c r="D154" s="264"/>
    </row>
    <row r="155" spans="2:4">
      <c r="C155" s="36"/>
    </row>
    <row r="156" spans="2:4" ht="13.5" thickBot="1"/>
    <row r="157" spans="2:4">
      <c r="B157" s="323" t="s">
        <v>57</v>
      </c>
      <c r="C157" s="368" t="s">
        <v>58</v>
      </c>
      <c r="D157" s="369" t="s">
        <v>59</v>
      </c>
    </row>
    <row r="158" spans="2:4">
      <c r="B158" s="89">
        <v>2025</v>
      </c>
      <c r="C158" s="322">
        <v>2599.8200000000002</v>
      </c>
      <c r="D158" s="421">
        <f>C158/$D114</f>
        <v>2.8003834636678948</v>
      </c>
    </row>
    <row r="159" spans="2:4">
      <c r="B159" s="89">
        <v>2026</v>
      </c>
      <c r="C159" s="322">
        <v>293187.90999999997</v>
      </c>
      <c r="D159" s="421">
        <f>C159/$D114</f>
        <v>315.80593076111074</v>
      </c>
    </row>
    <row r="160" spans="2:4">
      <c r="B160" s="89">
        <v>2027</v>
      </c>
      <c r="C160" s="322">
        <v>97069.36</v>
      </c>
      <c r="D160" s="421">
        <f>C160/$D114</f>
        <v>104.55778883646782</v>
      </c>
    </row>
    <row r="161" spans="1:12">
      <c r="B161" s="89">
        <v>2028</v>
      </c>
      <c r="C161" s="322">
        <v>101592.14</v>
      </c>
      <c r="D161" s="421">
        <f>C161/$D114</f>
        <v>109.42947930804196</v>
      </c>
    </row>
    <row r="162" spans="1:12">
      <c r="B162" s="89">
        <v>2029</v>
      </c>
      <c r="C162" s="322">
        <v>6536.33</v>
      </c>
      <c r="D162" s="421">
        <f>C162/$D114</f>
        <v>7.0405760572179492</v>
      </c>
    </row>
    <row r="163" spans="1:12" ht="13.5" thickBot="1">
      <c r="B163" s="91" t="s">
        <v>60</v>
      </c>
      <c r="C163" s="425">
        <f>1142874.69-SUM(C158:C162)</f>
        <v>641889.12999999989</v>
      </c>
      <c r="D163" s="421">
        <f>C163/$D114</f>
        <v>691.40775329067822</v>
      </c>
    </row>
    <row r="164" spans="1:12" ht="13.5" thickBot="1">
      <c r="B164" s="417" t="s">
        <v>44</v>
      </c>
      <c r="C164" s="378">
        <v>1322223.52</v>
      </c>
      <c r="D164" s="419">
        <f>SUM(D158:D163)</f>
        <v>1231.0419117171846</v>
      </c>
    </row>
    <row r="168" spans="1:12">
      <c r="A168" s="80" t="s">
        <v>61</v>
      </c>
      <c r="C168" s="80" t="s">
        <v>62</v>
      </c>
      <c r="D168" s="292">
        <f>Model!$BB$382</f>
        <v>948.76660341555976</v>
      </c>
    </row>
    <row r="169" spans="1:12" ht="13.5" thickBot="1"/>
    <row r="170" spans="1:12" ht="13.5" thickBot="1">
      <c r="I170" s="381" t="s">
        <v>8</v>
      </c>
      <c r="J170" s="379"/>
      <c r="K170" s="379"/>
      <c r="L170" s="380"/>
    </row>
    <row r="171" spans="1:12">
      <c r="B171" s="382" t="s">
        <v>63</v>
      </c>
      <c r="C171" s="383" t="s">
        <v>4</v>
      </c>
      <c r="D171" s="383" t="s">
        <v>5</v>
      </c>
      <c r="E171" s="384" t="s">
        <v>48</v>
      </c>
      <c r="I171" s="382" t="s">
        <v>63</v>
      </c>
      <c r="J171" s="383" t="s">
        <v>4</v>
      </c>
      <c r="K171" s="383" t="s">
        <v>5</v>
      </c>
      <c r="L171" s="384" t="s">
        <v>48</v>
      </c>
    </row>
    <row r="172" spans="1:12">
      <c r="B172" s="394" t="s">
        <v>9</v>
      </c>
      <c r="C172" s="155">
        <v>322521.3</v>
      </c>
      <c r="D172" s="286">
        <f>C172/$D168</f>
        <v>339.9374502</v>
      </c>
      <c r="E172" s="395"/>
      <c r="F172" s="423"/>
      <c r="G172" s="423"/>
      <c r="I172" s="376" t="s">
        <v>10</v>
      </c>
      <c r="J172" s="85">
        <f>+C182-C179-C174-C175-C180</f>
        <v>3921267.1290000007</v>
      </c>
      <c r="K172" s="85">
        <f>J172/$D168</f>
        <v>4133.0155539660009</v>
      </c>
      <c r="L172" s="377">
        <f>J172/J176</f>
        <v>3.7377218283057405</v>
      </c>
    </row>
    <row r="173" spans="1:12">
      <c r="B173" s="394" t="s">
        <v>11</v>
      </c>
      <c r="C173" s="352">
        <v>76631.505000000005</v>
      </c>
      <c r="D173" s="286">
        <f>C173/$D168</f>
        <v>80.769606270000011</v>
      </c>
      <c r="E173" s="395"/>
      <c r="F173" s="423"/>
      <c r="G173" s="423"/>
      <c r="I173" s="373" t="s">
        <v>12</v>
      </c>
      <c r="J173" s="121">
        <f>Model!$BB$252+508992</f>
        <v>1583921.2690000001</v>
      </c>
      <c r="K173" s="85">
        <f>J173/$D168</f>
        <v>1669.4530175260002</v>
      </c>
      <c r="L173" s="374"/>
    </row>
    <row r="174" spans="1:12">
      <c r="B174" s="394" t="s">
        <v>13</v>
      </c>
      <c r="C174" s="352">
        <v>126109.394</v>
      </c>
      <c r="D174" s="286">
        <f>C174/$D168</f>
        <v>132.919301276</v>
      </c>
      <c r="E174" s="395"/>
      <c r="F174" s="423"/>
      <c r="G174" s="423"/>
      <c r="I174" s="376" t="s">
        <v>14</v>
      </c>
      <c r="J174" s="85">
        <f>+J172-J173</f>
        <v>2337345.8600000003</v>
      </c>
      <c r="K174" s="85">
        <f>J174/$D168</f>
        <v>2463.5625364400003</v>
      </c>
      <c r="L174" s="377">
        <f>J174/J176</f>
        <v>2.2279401922434174</v>
      </c>
    </row>
    <row r="175" spans="1:12">
      <c r="B175" s="394" t="s">
        <v>15</v>
      </c>
      <c r="C175" s="155">
        <v>66490.721999999994</v>
      </c>
      <c r="D175" s="286">
        <f>C175/$D168</f>
        <v>70.081220987999998</v>
      </c>
      <c r="E175" s="395"/>
      <c r="F175" s="423"/>
      <c r="G175" s="423"/>
      <c r="I175" s="388"/>
      <c r="J175" s="389"/>
      <c r="K175" s="389"/>
      <c r="L175" s="390"/>
    </row>
    <row r="176" spans="1:12" ht="13.5" thickBot="1">
      <c r="B176" s="396" t="s">
        <v>17</v>
      </c>
      <c r="C176" s="156">
        <f>SUM(C172:C175)</f>
        <v>591752.92099999997</v>
      </c>
      <c r="D176" s="156">
        <f>SUM(D172:D175)</f>
        <v>623.70757873399998</v>
      </c>
      <c r="E176" s="375"/>
      <c r="F176" s="424"/>
      <c r="G176" s="424"/>
      <c r="I176" s="391" t="s">
        <v>64</v>
      </c>
      <c r="J176" s="392">
        <f>C192-208785</f>
        <v>1049106.196</v>
      </c>
      <c r="K176" s="392"/>
      <c r="L176" s="393"/>
    </row>
    <row r="177" spans="2:7">
      <c r="B177" s="394" t="s">
        <v>18</v>
      </c>
      <c r="C177" s="155">
        <v>242786.47</v>
      </c>
      <c r="D177" s="286">
        <f>C177/$D168</f>
        <v>255.89693937999999</v>
      </c>
      <c r="E177" s="375"/>
      <c r="F177" s="423"/>
      <c r="G177" s="423"/>
    </row>
    <row r="178" spans="2:7">
      <c r="B178" s="394" t="s">
        <v>19</v>
      </c>
      <c r="C178" s="155">
        <v>3279327.8539999998</v>
      </c>
      <c r="D178" s="286">
        <f>C178/$D168</f>
        <v>3456.4115581159999</v>
      </c>
      <c r="E178" s="375"/>
      <c r="F178" s="423"/>
      <c r="G178" s="423"/>
    </row>
    <row r="179" spans="2:7">
      <c r="B179" s="394" t="s">
        <v>20</v>
      </c>
      <c r="C179" s="352">
        <v>1255105.804</v>
      </c>
      <c r="D179" s="286">
        <f>C179/$D168</f>
        <v>1322.881517416</v>
      </c>
      <c r="E179" s="375"/>
      <c r="F179" s="423"/>
      <c r="G179" s="423"/>
    </row>
    <row r="180" spans="2:7">
      <c r="B180" s="394" t="s">
        <v>15</v>
      </c>
      <c r="C180" s="155">
        <v>4581.027</v>
      </c>
      <c r="D180" s="286">
        <f>C180/$D168</f>
        <v>4.8284024580000002</v>
      </c>
      <c r="E180" s="375"/>
    </row>
    <row r="181" spans="2:7">
      <c r="B181" s="396" t="s">
        <v>22</v>
      </c>
      <c r="C181" s="156">
        <f>SUM(C177:C180)</f>
        <v>4781801.1550000003</v>
      </c>
      <c r="D181" s="156">
        <f>SUM(D177:D180)</f>
        <v>5040.018417369999</v>
      </c>
      <c r="E181" s="375"/>
    </row>
    <row r="182" spans="2:7">
      <c r="B182" s="397" t="s">
        <v>23</v>
      </c>
      <c r="C182" s="304">
        <f>C181+C176</f>
        <v>5373554.0760000004</v>
      </c>
      <c r="D182" s="304">
        <f>D181+D176</f>
        <v>5663.725996103999</v>
      </c>
      <c r="E182" s="398">
        <f>+C182/C192</f>
        <v>4.2718750978522628</v>
      </c>
    </row>
    <row r="183" spans="2:7">
      <c r="B183" s="386" t="s">
        <v>24</v>
      </c>
      <c r="C183" s="304">
        <f>Model!$BB$252</f>
        <v>1074929.2690000001</v>
      </c>
      <c r="D183" s="286">
        <f>C183/$D168</f>
        <v>1132.9754495260001</v>
      </c>
      <c r="E183" s="387"/>
    </row>
    <row r="184" spans="2:7">
      <c r="B184" s="397" t="s">
        <v>14</v>
      </c>
      <c r="C184" s="304">
        <f>+C182-C183</f>
        <v>4298624.807</v>
      </c>
      <c r="D184" s="304">
        <f>+D182-D183</f>
        <v>4530.7505465779986</v>
      </c>
      <c r="E184" s="398">
        <f>+C184/C192</f>
        <v>3.41732641159212</v>
      </c>
    </row>
    <row r="185" spans="2:7">
      <c r="B185" s="376"/>
      <c r="C185" s="84"/>
      <c r="D185" s="84"/>
      <c r="E185" s="377"/>
    </row>
    <row r="186" spans="2:7">
      <c r="B186" s="386" t="s">
        <v>25</v>
      </c>
      <c r="C186" s="308">
        <f>Model!$BB$112</f>
        <v>21002.472000000002</v>
      </c>
      <c r="D186" s="286">
        <f>C186/$D168</f>
        <v>22.136605488000001</v>
      </c>
      <c r="E186" s="385"/>
    </row>
    <row r="187" spans="2:7">
      <c r="B187" s="386" t="s">
        <v>26</v>
      </c>
      <c r="C187" s="308">
        <f>Model!$BB$113</f>
        <v>357445.87300000008</v>
      </c>
      <c r="D187" s="286">
        <f>C187/$D168</f>
        <v>376.74795014200009</v>
      </c>
      <c r="E187" s="399"/>
    </row>
    <row r="188" spans="2:7">
      <c r="B188" s="386" t="s">
        <v>27</v>
      </c>
      <c r="C188" s="308">
        <f>Model!$BB$114</f>
        <v>7.9159642243349735E-3</v>
      </c>
      <c r="D188" s="286">
        <f>C188/$D168</f>
        <v>8.3434262924490618E-6</v>
      </c>
      <c r="E188" s="399"/>
    </row>
    <row r="189" spans="2:7">
      <c r="B189" s="371" t="s">
        <v>28</v>
      </c>
      <c r="C189" s="45">
        <f>C186+C187+C188</f>
        <v>378448.35291596432</v>
      </c>
      <c r="D189" s="45">
        <f>D186+D187+D188</f>
        <v>398.8845639734264</v>
      </c>
      <c r="E189" s="372"/>
    </row>
    <row r="190" spans="2:7">
      <c r="B190" s="376" t="s">
        <v>29</v>
      </c>
      <c r="C190" s="288">
        <f>Model!$BB$290</f>
        <v>8625725.9639999997</v>
      </c>
      <c r="D190" s="286">
        <f>C190/$D168</f>
        <v>9091.5151660560005</v>
      </c>
      <c r="E190" s="377"/>
    </row>
    <row r="191" spans="2:7">
      <c r="B191" s="376" t="s">
        <v>30</v>
      </c>
      <c r="C191" s="288">
        <f>C190+C182+C189</f>
        <v>14377728.392915964</v>
      </c>
      <c r="D191" s="288">
        <f>D190+D182+D189</f>
        <v>15154.125726133427</v>
      </c>
      <c r="E191" s="377"/>
    </row>
    <row r="192" spans="2:7" ht="13.5" thickBot="1">
      <c r="B192" s="400" t="s">
        <v>65</v>
      </c>
      <c r="C192" s="401">
        <f>Model!$BB$204</f>
        <v>1257891.196</v>
      </c>
      <c r="D192" s="401"/>
      <c r="E192" s="402"/>
    </row>
    <row r="194" spans="2:4">
      <c r="B194" s="176" t="s">
        <v>32</v>
      </c>
      <c r="C194" s="274">
        <f>C182-Model!$BB$260</f>
        <v>0</v>
      </c>
    </row>
    <row r="195" spans="2:4" ht="13.5" thickBot="1"/>
    <row r="196" spans="2:4">
      <c r="B196" s="88" t="s">
        <v>66</v>
      </c>
      <c r="C196" s="404">
        <f>Model!$BB$289</f>
        <v>9985200</v>
      </c>
      <c r="D196" s="405"/>
    </row>
    <row r="197" spans="2:4">
      <c r="B197" s="406" t="s">
        <v>34</v>
      </c>
      <c r="C197" s="290">
        <f>C196+Model!$BB$283</f>
        <v>14400986.752999999</v>
      </c>
      <c r="D197" s="407"/>
    </row>
    <row r="198" spans="2:4">
      <c r="B198" s="408" t="s">
        <v>35</v>
      </c>
      <c r="C198" s="43">
        <f>C197/C200</f>
        <v>8.8582153721333476</v>
      </c>
      <c r="D198" s="372"/>
    </row>
    <row r="199" spans="2:4">
      <c r="B199" s="406"/>
      <c r="D199" s="409"/>
    </row>
    <row r="200" spans="2:4" ht="13.5" thickBot="1">
      <c r="B200" s="410" t="s">
        <v>36</v>
      </c>
      <c r="C200" s="411">
        <f>Model!$BB$223</f>
        <v>1625721</v>
      </c>
      <c r="D200" s="412"/>
    </row>
    <row r="203" spans="2:4" ht="13.5" thickBot="1"/>
    <row r="204" spans="2:4">
      <c r="B204" s="267" t="s">
        <v>37</v>
      </c>
      <c r="C204" s="278" t="s">
        <v>38</v>
      </c>
      <c r="D204" s="279" t="s">
        <v>5</v>
      </c>
    </row>
    <row r="205" spans="2:4">
      <c r="B205" s="268" t="s">
        <v>39</v>
      </c>
      <c r="C205" s="269">
        <v>0</v>
      </c>
      <c r="D205" s="270">
        <v>0</v>
      </c>
    </row>
    <row r="206" spans="2:4">
      <c r="B206" s="104" t="s">
        <v>40</v>
      </c>
      <c r="C206" s="290">
        <f>C183</f>
        <v>1074929.2690000001</v>
      </c>
      <c r="D206" s="365">
        <f>D183</f>
        <v>1132.9754495260001</v>
      </c>
    </row>
    <row r="207" spans="2:4" ht="13.5" thickBot="1">
      <c r="B207" s="271" t="s">
        <v>41</v>
      </c>
      <c r="C207" s="272">
        <f>C205+C206</f>
        <v>1074929.2690000001</v>
      </c>
      <c r="D207" s="273">
        <f>D205+D206</f>
        <v>1132.9754495260001</v>
      </c>
    </row>
    <row r="208" spans="2:4">
      <c r="D208" s="264"/>
    </row>
    <row r="209" spans="1:12">
      <c r="C209" s="36"/>
    </row>
    <row r="210" spans="1:12" ht="13.5" thickBot="1"/>
    <row r="211" spans="1:12">
      <c r="B211" s="323" t="s">
        <v>67</v>
      </c>
      <c r="C211" s="368" t="s">
        <v>58</v>
      </c>
      <c r="D211" s="369" t="s">
        <v>59</v>
      </c>
    </row>
    <row r="212" spans="1:12">
      <c r="B212" s="89">
        <v>2025</v>
      </c>
      <c r="C212" s="322">
        <v>4306.33</v>
      </c>
      <c r="D212" s="421">
        <f>C212/$D168</f>
        <v>4.5388718199999998</v>
      </c>
    </row>
    <row r="213" spans="1:12">
      <c r="B213" s="89">
        <v>2026</v>
      </c>
      <c r="C213" s="322">
        <v>287174.05</v>
      </c>
      <c r="D213" s="421">
        <f>C213/$D168</f>
        <v>302.68144869999998</v>
      </c>
    </row>
    <row r="214" spans="1:12">
      <c r="B214" s="89">
        <v>2027</v>
      </c>
      <c r="C214" s="322">
        <v>94076.86</v>
      </c>
      <c r="D214" s="421">
        <f>C214/$D168</f>
        <v>99.157010440000008</v>
      </c>
    </row>
    <row r="215" spans="1:12">
      <c r="B215" s="89">
        <v>2028</v>
      </c>
      <c r="C215" s="322">
        <v>98331.55</v>
      </c>
      <c r="D215" s="421">
        <f>C215/$D168</f>
        <v>103.6414537</v>
      </c>
    </row>
    <row r="216" spans="1:12">
      <c r="B216" s="89">
        <v>2029</v>
      </c>
      <c r="C216" s="322">
        <v>6206.67</v>
      </c>
      <c r="D216" s="421">
        <f>C216/$D168</f>
        <v>6.5418301799999998</v>
      </c>
    </row>
    <row r="217" spans="1:12" ht="13.5" thickBot="1">
      <c r="B217" s="91" t="s">
        <v>60</v>
      </c>
      <c r="C217" s="425">
        <f>1113396.83-SUM(C212:C216)</f>
        <v>623301.37000000011</v>
      </c>
      <c r="D217" s="421">
        <f>C217/$D168</f>
        <v>656.95964398000012</v>
      </c>
    </row>
    <row r="218" spans="1:12" ht="13.5" thickBot="1">
      <c r="B218" s="417" t="s">
        <v>44</v>
      </c>
      <c r="C218" s="378">
        <v>1322223.52</v>
      </c>
      <c r="D218" s="419">
        <f>SUM(D212:D217)</f>
        <v>1173.52025882</v>
      </c>
    </row>
    <row r="220" spans="1:12">
      <c r="A220" s="80" t="s">
        <v>68</v>
      </c>
      <c r="C220" s="80" t="s">
        <v>69</v>
      </c>
      <c r="D220" s="292">
        <f>Model!$BA$382</f>
        <v>992.6</v>
      </c>
    </row>
    <row r="221" spans="1:12" ht="13.5" thickBot="1"/>
    <row r="222" spans="1:12" ht="13.5" thickBot="1">
      <c r="I222" s="381" t="s">
        <v>8</v>
      </c>
      <c r="J222" s="379"/>
      <c r="K222" s="379"/>
      <c r="L222" s="380"/>
    </row>
    <row r="223" spans="1:12">
      <c r="B223" s="382" t="s">
        <v>70</v>
      </c>
      <c r="C223" s="383" t="s">
        <v>4</v>
      </c>
      <c r="D223" s="383" t="s">
        <v>5</v>
      </c>
      <c r="E223" s="384" t="s">
        <v>48</v>
      </c>
      <c r="I223" s="382" t="s">
        <v>70</v>
      </c>
      <c r="J223" s="383" t="s">
        <v>4</v>
      </c>
      <c r="K223" s="383" t="s">
        <v>5</v>
      </c>
      <c r="L223" s="384" t="s">
        <v>48</v>
      </c>
    </row>
    <row r="224" spans="1:12">
      <c r="B224" s="394" t="s">
        <v>9</v>
      </c>
      <c r="C224" s="155">
        <v>248609.07199999999</v>
      </c>
      <c r="D224" s="286">
        <f>C224/$D$220</f>
        <v>250.46249445899656</v>
      </c>
      <c r="E224" s="395"/>
      <c r="F224" s="423"/>
      <c r="G224" s="423"/>
      <c r="I224" s="376" t="s">
        <v>10</v>
      </c>
      <c r="J224" s="85">
        <f>+C234-C231-C226-C227-C232</f>
        <v>4526099.3040000005</v>
      </c>
      <c r="K224" s="85">
        <f>J224/$D$220</f>
        <v>4559.8421358049573</v>
      </c>
      <c r="L224" s="377">
        <f>J224/J228</f>
        <v>4.7805585241422737</v>
      </c>
    </row>
    <row r="225" spans="2:12">
      <c r="B225" s="394" t="s">
        <v>11</v>
      </c>
      <c r="C225" s="352">
        <v>291026.91499999998</v>
      </c>
      <c r="D225" s="286">
        <f>C225/$D$220</f>
        <v>293.1965696151521</v>
      </c>
      <c r="E225" s="395"/>
      <c r="F225" s="423"/>
      <c r="G225" s="423"/>
      <c r="I225" s="373" t="s">
        <v>12</v>
      </c>
      <c r="J225" s="121">
        <f>Model!$BA$252+508992</f>
        <v>2147377.1910000001</v>
      </c>
      <c r="K225" s="85">
        <f>J225/$D$220</f>
        <v>2163.3862492444086</v>
      </c>
      <c r="L225" s="374"/>
    </row>
    <row r="226" spans="2:12">
      <c r="B226" s="394" t="s">
        <v>13</v>
      </c>
      <c r="C226" s="352">
        <v>123373.88800000001</v>
      </c>
      <c r="D226" s="286">
        <f>C226/$D$220</f>
        <v>124.29366109208141</v>
      </c>
      <c r="E226" s="395"/>
      <c r="F226" s="423"/>
      <c r="G226" s="423"/>
      <c r="I226" s="376" t="s">
        <v>14</v>
      </c>
      <c r="J226" s="85">
        <f>+J224-J225</f>
        <v>2378722.1130000004</v>
      </c>
      <c r="K226" s="85">
        <f>J226/$D$220</f>
        <v>2396.4558865605482</v>
      </c>
      <c r="L226" s="377">
        <f>J226/J228</f>
        <v>2.5124548778278135</v>
      </c>
    </row>
    <row r="227" spans="2:12">
      <c r="B227" s="394" t="s">
        <v>15</v>
      </c>
      <c r="C227" s="155">
        <v>76138.414999999994</v>
      </c>
      <c r="D227" s="286">
        <f>C227/$D$220</f>
        <v>76.706039693733615</v>
      </c>
      <c r="E227" s="395"/>
      <c r="F227" s="423"/>
      <c r="G227" s="423"/>
      <c r="I227" s="388"/>
      <c r="J227" s="389"/>
      <c r="K227" s="389"/>
      <c r="L227" s="390"/>
    </row>
    <row r="228" spans="2:12" ht="13.5" thickBot="1">
      <c r="B228" s="396" t="s">
        <v>17</v>
      </c>
      <c r="C228" s="156">
        <f>SUM(C224:C227)</f>
        <v>739148.29</v>
      </c>
      <c r="D228" s="156">
        <f>SUM(D224:D227)</f>
        <v>744.65876485996364</v>
      </c>
      <c r="E228" s="375"/>
      <c r="F228" s="424"/>
      <c r="G228" s="424"/>
      <c r="I228" s="391" t="s">
        <v>71</v>
      </c>
      <c r="J228" s="392">
        <f>C244-203897</f>
        <v>946772.07299999986</v>
      </c>
      <c r="K228" s="392"/>
      <c r="L228" s="393"/>
    </row>
    <row r="229" spans="2:12">
      <c r="B229" s="394" t="s">
        <v>18</v>
      </c>
      <c r="C229" s="155">
        <v>494725.30200000003</v>
      </c>
      <c r="D229" s="286">
        <f>C229/$D$220</f>
        <v>498.41356236147493</v>
      </c>
      <c r="E229" s="375"/>
      <c r="F229" s="423"/>
      <c r="G229" s="423"/>
    </row>
    <row r="230" spans="2:12">
      <c r="B230" s="394" t="s">
        <v>19</v>
      </c>
      <c r="C230" s="155">
        <v>3491738.0150000001</v>
      </c>
      <c r="D230" s="286">
        <f>C230/$D$220</f>
        <v>3517.7695093693333</v>
      </c>
      <c r="E230" s="375"/>
      <c r="F230" s="423"/>
      <c r="G230" s="423"/>
    </row>
    <row r="231" spans="2:12">
      <c r="B231" s="394" t="s">
        <v>20</v>
      </c>
      <c r="C231" s="352">
        <v>1275826.503</v>
      </c>
      <c r="D231" s="286">
        <f>C231/$D$220</f>
        <v>1285.3380042313117</v>
      </c>
      <c r="E231" s="375"/>
      <c r="F231" s="423"/>
      <c r="G231" s="423"/>
    </row>
    <row r="232" spans="2:12">
      <c r="B232" s="394" t="s">
        <v>15</v>
      </c>
      <c r="C232" s="155">
        <v>6302.0680000000002</v>
      </c>
      <c r="D232" s="286">
        <f>C232/$D$220</f>
        <v>6.3490509772315136</v>
      </c>
      <c r="E232" s="375"/>
    </row>
    <row r="233" spans="2:12">
      <c r="B233" s="396" t="s">
        <v>22</v>
      </c>
      <c r="C233" s="156">
        <f>SUM(C229:C232)</f>
        <v>5268591.8880000003</v>
      </c>
      <c r="D233" s="156">
        <f>SUM(D229:D232)</f>
        <v>5307.8701269393514</v>
      </c>
      <c r="E233" s="375"/>
    </row>
    <row r="234" spans="2:12">
      <c r="B234" s="397" t="s">
        <v>23</v>
      </c>
      <c r="C234" s="304">
        <f>C233+C228</f>
        <v>6007740.1780000003</v>
      </c>
      <c r="D234" s="304">
        <f>D233+D228</f>
        <v>6052.5288917993148</v>
      </c>
      <c r="E234" s="398">
        <f>+C234/C244</f>
        <v>5.2210842534741531</v>
      </c>
    </row>
    <row r="235" spans="2:12">
      <c r="B235" s="386" t="s">
        <v>24</v>
      </c>
      <c r="C235" s="304">
        <f>Model!$BA$252</f>
        <v>1638385.1910000001</v>
      </c>
      <c r="D235" s="286">
        <f>C235/$D$220</f>
        <v>1650.599628249043</v>
      </c>
      <c r="E235" s="387"/>
    </row>
    <row r="236" spans="2:12">
      <c r="B236" s="397" t="s">
        <v>14</v>
      </c>
      <c r="C236" s="304">
        <f>+C234-C235</f>
        <v>4369354.9869999997</v>
      </c>
      <c r="D236" s="304">
        <f>+D234-D235</f>
        <v>4401.9292635502716</v>
      </c>
      <c r="E236" s="398">
        <f>+C236/C244</f>
        <v>3.7972298808799221</v>
      </c>
    </row>
    <row r="237" spans="2:12">
      <c r="B237" s="376"/>
      <c r="C237" s="84"/>
      <c r="D237" s="84"/>
      <c r="E237" s="377"/>
    </row>
    <row r="238" spans="2:12">
      <c r="B238" s="386" t="s">
        <v>25</v>
      </c>
      <c r="C238" s="308">
        <f>Model!$BA$112</f>
        <v>27737.756999999998</v>
      </c>
      <c r="D238" s="286">
        <f>C238/$D$220</f>
        <v>27.944546645174288</v>
      </c>
      <c r="E238" s="385"/>
    </row>
    <row r="239" spans="2:12">
      <c r="B239" s="386" t="s">
        <v>26</v>
      </c>
      <c r="C239" s="308">
        <f>Model!$BA$113</f>
        <v>451774.50299999991</v>
      </c>
      <c r="D239" s="286">
        <f>C239/$D$220</f>
        <v>455.14255792867209</v>
      </c>
      <c r="E239" s="399"/>
    </row>
    <row r="240" spans="2:12">
      <c r="B240" s="386" t="s">
        <v>27</v>
      </c>
      <c r="C240" s="308">
        <f>Model!$BA$114</f>
        <v>9.0018582282227547E-3</v>
      </c>
      <c r="D240" s="286">
        <f>C240/$D$220</f>
        <v>9.0689685958319113E-6</v>
      </c>
      <c r="E240" s="399"/>
    </row>
    <row r="241" spans="2:5">
      <c r="B241" s="371" t="s">
        <v>28</v>
      </c>
      <c r="C241" s="45">
        <f>C238+C239+C240</f>
        <v>479512.26900185813</v>
      </c>
      <c r="D241" s="45">
        <f>D238+D239+D240</f>
        <v>483.08711364281498</v>
      </c>
      <c r="E241" s="372"/>
    </row>
    <row r="242" spans="2:5">
      <c r="B242" s="376" t="s">
        <v>29</v>
      </c>
      <c r="C242" s="288">
        <f>Model!$BA$290</f>
        <v>8441553.7750000004</v>
      </c>
      <c r="D242" s="286">
        <f>C242/$D$220</f>
        <v>8504.4869786419513</v>
      </c>
      <c r="E242" s="377"/>
    </row>
    <row r="243" spans="2:5">
      <c r="B243" s="376" t="s">
        <v>30</v>
      </c>
      <c r="C243" s="288">
        <f>C242+C234+C241</f>
        <v>14928806.22200186</v>
      </c>
      <c r="D243" s="288">
        <f>D242+D234+D241</f>
        <v>15040.102984084082</v>
      </c>
      <c r="E243" s="377"/>
    </row>
    <row r="244" spans="2:5" ht="13.5" thickBot="1">
      <c r="B244" s="400" t="s">
        <v>72</v>
      </c>
      <c r="C244" s="401">
        <f>Model!$BA$204</f>
        <v>1150669.0729999999</v>
      </c>
      <c r="D244" s="401"/>
      <c r="E244" s="402"/>
    </row>
    <row r="246" spans="2:5">
      <c r="B246" s="176" t="s">
        <v>32</v>
      </c>
      <c r="C246" s="274">
        <f>C234-Model!$BA$260</f>
        <v>0</v>
      </c>
    </row>
    <row r="247" spans="2:5" ht="13.5" thickBot="1"/>
    <row r="248" spans="2:5">
      <c r="B248" s="88" t="s">
        <v>73</v>
      </c>
      <c r="C248" s="404">
        <f>Model!$BA$289</f>
        <v>9559199.8100000005</v>
      </c>
      <c r="D248" s="405"/>
    </row>
    <row r="249" spans="2:5">
      <c r="B249" s="406" t="s">
        <v>34</v>
      </c>
      <c r="C249" s="290">
        <f>C248+Model!$BA$283</f>
        <v>14523923.379000001</v>
      </c>
      <c r="D249" s="407"/>
    </row>
    <row r="250" spans="2:5">
      <c r="B250" s="408" t="s">
        <v>35</v>
      </c>
      <c r="C250" s="43">
        <f>C249/C252</f>
        <v>10.005734092286922</v>
      </c>
      <c r="D250" s="372"/>
    </row>
    <row r="251" spans="2:5">
      <c r="B251" s="406"/>
      <c r="D251" s="409"/>
    </row>
    <row r="252" spans="2:5" ht="13.5" thickBot="1">
      <c r="B252" s="410" t="s">
        <v>36</v>
      </c>
      <c r="C252" s="411">
        <f>Model!$BA$223</f>
        <v>1451559.9999999998</v>
      </c>
      <c r="D252" s="412"/>
    </row>
    <row r="255" spans="2:5" ht="13.5" thickBot="1"/>
    <row r="256" spans="2:5">
      <c r="B256" s="267" t="s">
        <v>37</v>
      </c>
      <c r="C256" s="278" t="s">
        <v>38</v>
      </c>
      <c r="D256" s="279" t="s">
        <v>5</v>
      </c>
    </row>
    <row r="257" spans="1:4">
      <c r="B257" s="268" t="s">
        <v>39</v>
      </c>
      <c r="C257" s="269">
        <v>0</v>
      </c>
      <c r="D257" s="270">
        <v>0</v>
      </c>
    </row>
    <row r="258" spans="1:4">
      <c r="B258" s="104" t="s">
        <v>40</v>
      </c>
      <c r="C258" s="290">
        <f>C235</f>
        <v>1638385.1910000001</v>
      </c>
      <c r="D258" s="365">
        <f>D235</f>
        <v>1650.599628249043</v>
      </c>
    </row>
    <row r="259" spans="1:4" ht="13.5" thickBot="1">
      <c r="B259" s="271" t="s">
        <v>41</v>
      </c>
      <c r="C259" s="272">
        <f>C257+C258</f>
        <v>1638385.1910000001</v>
      </c>
      <c r="D259" s="273">
        <f>D257+D258</f>
        <v>1650.599628249043</v>
      </c>
    </row>
    <row r="260" spans="1:4">
      <c r="D260" s="264"/>
    </row>
    <row r="261" spans="1:4">
      <c r="C261" s="36"/>
    </row>
    <row r="262" spans="1:4" ht="13.5" thickBot="1"/>
    <row r="263" spans="1:4">
      <c r="B263" s="323" t="s">
        <v>74</v>
      </c>
      <c r="C263" s="368" t="s">
        <v>58</v>
      </c>
      <c r="D263" s="369" t="s">
        <v>59</v>
      </c>
    </row>
    <row r="264" spans="1:4">
      <c r="B264" s="89">
        <v>2025</v>
      </c>
      <c r="C264" s="322">
        <v>6131.01</v>
      </c>
      <c r="D264" s="421">
        <f t="shared" ref="D264:D269" si="0">C264/$D$220</f>
        <v>6.1767177110618574</v>
      </c>
    </row>
    <row r="265" spans="1:4">
      <c r="B265" s="89">
        <v>2026</v>
      </c>
      <c r="C265" s="322">
        <v>288977.13</v>
      </c>
      <c r="D265" s="421">
        <f t="shared" si="0"/>
        <v>291.13150312311103</v>
      </c>
    </row>
    <row r="266" spans="1:4">
      <c r="B266" s="89">
        <v>2027</v>
      </c>
      <c r="C266" s="322">
        <v>293546.13</v>
      </c>
      <c r="D266" s="421">
        <f t="shared" si="0"/>
        <v>295.73456578682249</v>
      </c>
    </row>
    <row r="267" spans="1:4">
      <c r="B267" s="89">
        <v>2028</v>
      </c>
      <c r="C267" s="322">
        <v>98199.35</v>
      </c>
      <c r="D267" s="421">
        <f t="shared" si="0"/>
        <v>98.931442675800938</v>
      </c>
    </row>
    <row r="268" spans="1:4">
      <c r="B268" s="89">
        <v>2029</v>
      </c>
      <c r="C268" s="322">
        <v>6193.32</v>
      </c>
      <c r="D268" s="421">
        <f t="shared" si="0"/>
        <v>6.2394922425952037</v>
      </c>
    </row>
    <row r="269" spans="1:4" ht="13.5" thickBot="1">
      <c r="B269" s="91" t="s">
        <v>60</v>
      </c>
      <c r="C269" s="425">
        <f>1322223.52-SUM(C264:C268)</f>
        <v>629176.58000000007</v>
      </c>
      <c r="D269" s="421">
        <f t="shared" si="0"/>
        <v>633.86719725972205</v>
      </c>
    </row>
    <row r="270" spans="1:4" ht="13.5" thickBot="1">
      <c r="B270" s="417" t="s">
        <v>44</v>
      </c>
      <c r="C270" s="378">
        <v>1322223.52</v>
      </c>
      <c r="D270" s="419">
        <f>SUM(D264:D269)</f>
        <v>1332.0809187991135</v>
      </c>
    </row>
    <row r="272" spans="1:4">
      <c r="A272" s="80" t="s">
        <v>75</v>
      </c>
      <c r="C272" s="80" t="s">
        <v>76</v>
      </c>
      <c r="D272" s="292">
        <f>Model!$AZ$382</f>
        <v>990.18899999999996</v>
      </c>
    </row>
    <row r="273" spans="2:12" ht="13.5" thickBot="1"/>
    <row r="274" spans="2:12" ht="13.5" thickBot="1">
      <c r="I274" s="381" t="s">
        <v>8</v>
      </c>
      <c r="J274" s="379"/>
      <c r="K274" s="379"/>
      <c r="L274" s="380"/>
    </row>
    <row r="275" spans="2:12">
      <c r="B275" s="382" t="s">
        <v>77</v>
      </c>
      <c r="C275" s="383" t="s">
        <v>4</v>
      </c>
      <c r="D275" s="383" t="s">
        <v>5</v>
      </c>
      <c r="E275" s="384" t="s">
        <v>48</v>
      </c>
      <c r="I275" s="382" t="s">
        <v>77</v>
      </c>
      <c r="J275" s="383" t="s">
        <v>4</v>
      </c>
      <c r="K275" s="383" t="s">
        <v>5</v>
      </c>
      <c r="L275" s="384" t="s">
        <v>48</v>
      </c>
    </row>
    <row r="276" spans="2:12">
      <c r="B276" s="394" t="s">
        <v>9</v>
      </c>
      <c r="C276" s="155">
        <v>440450.54499999998</v>
      </c>
      <c r="D276" s="286">
        <f>C276/$D$272</f>
        <v>444.81462124907466</v>
      </c>
      <c r="E276" s="395"/>
      <c r="F276" s="423"/>
      <c r="G276" s="423"/>
      <c r="I276" s="376" t="s">
        <v>10</v>
      </c>
      <c r="J276" s="85">
        <f>+C286-C283-C278-C279-C284</f>
        <v>4625018.0839999998</v>
      </c>
      <c r="K276" s="85">
        <f>J276/$D$272</f>
        <v>4670.8437318532115</v>
      </c>
      <c r="L276" s="377">
        <f>J276/J280</f>
        <v>5.6548664696170023</v>
      </c>
    </row>
    <row r="277" spans="2:12">
      <c r="B277" s="394" t="s">
        <v>11</v>
      </c>
      <c r="C277" s="352">
        <v>256627.652</v>
      </c>
      <c r="D277" s="286">
        <f>C277/$D$272</f>
        <v>259.17037252484124</v>
      </c>
      <c r="E277" s="395"/>
      <c r="F277" s="423"/>
      <c r="G277" s="423"/>
      <c r="I277" s="373" t="s">
        <v>12</v>
      </c>
      <c r="J277" s="121">
        <f>Model!AZ252+361490</f>
        <v>1721246.862</v>
      </c>
      <c r="K277" s="85">
        <f>J277/$D$272</f>
        <v>1738.3013364115336</v>
      </c>
      <c r="L277" s="374"/>
    </row>
    <row r="278" spans="2:12">
      <c r="B278" s="394" t="s">
        <v>13</v>
      </c>
      <c r="C278" s="352">
        <v>115700.751</v>
      </c>
      <c r="D278" s="286">
        <f>C278/$D$272</f>
        <v>116.84713827360233</v>
      </c>
      <c r="E278" s="395"/>
      <c r="F278" s="423"/>
      <c r="G278" s="423"/>
      <c r="I278" s="376" t="s">
        <v>14</v>
      </c>
      <c r="J278" s="85">
        <f>+J276-J277</f>
        <v>2903771.2220000001</v>
      </c>
      <c r="K278" s="85">
        <f>J278/$D$272</f>
        <v>2932.5423954416783</v>
      </c>
      <c r="L278" s="377">
        <f>J278/J280</f>
        <v>3.5503512030649587</v>
      </c>
    </row>
    <row r="279" spans="2:12">
      <c r="B279" s="394" t="s">
        <v>15</v>
      </c>
      <c r="C279" s="155">
        <v>82239.572</v>
      </c>
      <c r="D279" s="286">
        <f>C279/$D$272</f>
        <v>83.054418903865837</v>
      </c>
      <c r="E279" s="395"/>
      <c r="F279" s="423"/>
      <c r="G279" s="423"/>
      <c r="I279" s="388"/>
      <c r="J279" s="389"/>
      <c r="K279" s="389"/>
      <c r="L279" s="390"/>
    </row>
    <row r="280" spans="2:12" ht="13.5" thickBot="1">
      <c r="B280" s="396" t="s">
        <v>17</v>
      </c>
      <c r="C280" s="156">
        <f>SUM(C276:C279)</f>
        <v>895018.52</v>
      </c>
      <c r="D280" s="156">
        <f>SUM(D276:D279)</f>
        <v>903.88655095138415</v>
      </c>
      <c r="E280" s="375"/>
      <c r="F280" s="424"/>
      <c r="G280" s="424"/>
      <c r="I280" s="391" t="s">
        <v>78</v>
      </c>
      <c r="J280" s="392">
        <f>C296-200371</f>
        <v>817882.81099999999</v>
      </c>
      <c r="K280" s="392"/>
      <c r="L280" s="393"/>
    </row>
    <row r="281" spans="2:12">
      <c r="B281" s="394" t="s">
        <v>18</v>
      </c>
      <c r="C281" s="155">
        <v>547643.46400000004</v>
      </c>
      <c r="D281" s="286">
        <f>C281/$D$272</f>
        <v>553.06963014131657</v>
      </c>
      <c r="E281" s="375"/>
      <c r="F281" s="423"/>
      <c r="G281" s="423"/>
    </row>
    <row r="282" spans="2:12">
      <c r="B282" s="394" t="s">
        <v>19</v>
      </c>
      <c r="C282" s="155">
        <v>3380296.423</v>
      </c>
      <c r="D282" s="286">
        <f>C282/$D$272</f>
        <v>3413.7891079379797</v>
      </c>
      <c r="E282" s="375"/>
      <c r="F282" s="423"/>
      <c r="G282" s="423"/>
    </row>
    <row r="283" spans="2:12">
      <c r="B283" s="394" t="s">
        <v>20</v>
      </c>
      <c r="C283" s="352">
        <v>1181444.084</v>
      </c>
      <c r="D283" s="286">
        <f>C283/$D$272</f>
        <v>1193.1500794292808</v>
      </c>
      <c r="E283" s="375"/>
      <c r="F283" s="423"/>
      <c r="G283" s="423"/>
    </row>
    <row r="284" spans="2:12">
      <c r="B284" s="394" t="s">
        <v>15</v>
      </c>
      <c r="C284" s="155">
        <v>5010.0370000000003</v>
      </c>
      <c r="D284" s="286">
        <f>C284/$D$272</f>
        <v>5.0596774959123971</v>
      </c>
      <c r="E284" s="375"/>
    </row>
    <row r="285" spans="2:12">
      <c r="B285" s="396" t="s">
        <v>22</v>
      </c>
      <c r="C285" s="156">
        <f>SUM(C281:C284)</f>
        <v>5114394.0079999994</v>
      </c>
      <c r="D285" s="156">
        <f>SUM(D281:D284)</f>
        <v>5165.0684950044888</v>
      </c>
      <c r="E285" s="375"/>
    </row>
    <row r="286" spans="2:12">
      <c r="B286" s="397" t="s">
        <v>23</v>
      </c>
      <c r="C286" s="304">
        <f>C285+C280</f>
        <v>6009412.527999999</v>
      </c>
      <c r="D286" s="304">
        <f>D285+D280</f>
        <v>6068.9550459558732</v>
      </c>
      <c r="E286" s="398">
        <f>+C286/C296</f>
        <v>5.9016842982382895</v>
      </c>
    </row>
    <row r="287" spans="2:12">
      <c r="B287" s="386" t="s">
        <v>24</v>
      </c>
      <c r="C287" s="304">
        <f>Model!$AZ$252</f>
        <v>1359756.862</v>
      </c>
      <c r="D287" s="286">
        <f>C287/$D$272</f>
        <v>1373.2296177800399</v>
      </c>
      <c r="E287" s="387"/>
    </row>
    <row r="288" spans="2:12">
      <c r="B288" s="397" t="s">
        <v>14</v>
      </c>
      <c r="C288" s="304">
        <f>+C286-C287</f>
        <v>4649655.6659999993</v>
      </c>
      <c r="D288" s="304">
        <f>+D286-D287</f>
        <v>4695.7254281758333</v>
      </c>
      <c r="E288" s="398">
        <f>+C288/C296</f>
        <v>4.5663032298732045</v>
      </c>
    </row>
    <row r="289" spans="2:5">
      <c r="B289" s="376"/>
      <c r="C289" s="84"/>
      <c r="D289" s="84"/>
      <c r="E289" s="377"/>
    </row>
    <row r="290" spans="2:5">
      <c r="B290" s="386" t="s">
        <v>25</v>
      </c>
      <c r="C290" s="308">
        <f>Model!$AZ165</f>
        <v>-6059.0229999999956</v>
      </c>
      <c r="D290" s="286">
        <f>C290/$D$272</f>
        <v>-6.119057068903003</v>
      </c>
      <c r="E290" s="385"/>
    </row>
    <row r="291" spans="2:5">
      <c r="B291" s="386" t="s">
        <v>26</v>
      </c>
      <c r="C291" s="308">
        <f>Model!$AZ166</f>
        <v>0</v>
      </c>
      <c r="D291" s="286">
        <f>C291/$D$272</f>
        <v>0</v>
      </c>
      <c r="E291" s="399"/>
    </row>
    <row r="292" spans="2:5">
      <c r="B292" s="386" t="s">
        <v>27</v>
      </c>
      <c r="C292" s="308">
        <f>Model!$AZ167</f>
        <v>10843.808000000001</v>
      </c>
      <c r="D292" s="286">
        <f>C292/$D$272</f>
        <v>10.951250720821985</v>
      </c>
      <c r="E292" s="399"/>
    </row>
    <row r="293" spans="2:5">
      <c r="B293" s="371" t="s">
        <v>28</v>
      </c>
      <c r="C293" s="45">
        <f>C290+C291+C292</f>
        <v>4784.7850000000053</v>
      </c>
      <c r="D293" s="45">
        <f>D290+D291+D292</f>
        <v>4.8321936519189821</v>
      </c>
      <c r="E293" s="372"/>
    </row>
    <row r="294" spans="2:5">
      <c r="B294" s="376" t="s">
        <v>29</v>
      </c>
      <c r="C294" s="288">
        <f>Model!$AZ$290</f>
        <v>8052910.4790000003</v>
      </c>
      <c r="D294" s="286">
        <f>C294/$D$272</f>
        <v>8132.7004026504037</v>
      </c>
      <c r="E294" s="377"/>
    </row>
    <row r="295" spans="2:5">
      <c r="B295" s="376" t="s">
        <v>30</v>
      </c>
      <c r="C295" s="288">
        <f>C294+C286+C293</f>
        <v>14067107.791999999</v>
      </c>
      <c r="D295" s="288">
        <f>D294+D286+D293</f>
        <v>14206.487642258197</v>
      </c>
      <c r="E295" s="377"/>
    </row>
    <row r="296" spans="2:5" ht="13.5" thickBot="1">
      <c r="B296" s="400" t="s">
        <v>79</v>
      </c>
      <c r="C296" s="401">
        <f>Model!$AZ$204</f>
        <v>1018253.811</v>
      </c>
      <c r="D296" s="401"/>
      <c r="E296" s="402"/>
    </row>
    <row r="298" spans="2:5">
      <c r="B298" s="176" t="s">
        <v>32</v>
      </c>
      <c r="C298" s="274">
        <f>C286-Model!$AZ$260</f>
        <v>0</v>
      </c>
    </row>
    <row r="299" spans="2:5" ht="13.5" thickBot="1"/>
    <row r="300" spans="2:5">
      <c r="B300" s="403" t="s">
        <v>80</v>
      </c>
      <c r="C300" s="404">
        <f>Model!$AZ$289</f>
        <v>8525100</v>
      </c>
      <c r="D300" s="405"/>
    </row>
    <row r="301" spans="2:5">
      <c r="B301" s="406" t="s">
        <v>34</v>
      </c>
      <c r="C301" s="290">
        <f>C300+Model!$AZ$283</f>
        <v>13599214.784</v>
      </c>
      <c r="D301" s="407"/>
    </row>
    <row r="302" spans="2:5">
      <c r="B302" s="408" t="s">
        <v>35</v>
      </c>
      <c r="C302" s="43">
        <f>C301/C304</f>
        <v>10.932741096134892</v>
      </c>
      <c r="D302" s="372"/>
    </row>
    <row r="303" spans="2:5">
      <c r="B303" s="406"/>
      <c r="D303" s="409"/>
    </row>
    <row r="304" spans="2:5" ht="13.5" thickBot="1">
      <c r="B304" s="410" t="s">
        <v>36</v>
      </c>
      <c r="C304" s="411">
        <f>Model!$AZ$223</f>
        <v>1243898</v>
      </c>
      <c r="D304" s="412"/>
    </row>
    <row r="307" spans="2:4" ht="13.5" thickBot="1"/>
    <row r="308" spans="2:4">
      <c r="B308" s="267" t="s">
        <v>37</v>
      </c>
      <c r="C308" s="278" t="s">
        <v>38</v>
      </c>
      <c r="D308" s="279" t="s">
        <v>5</v>
      </c>
    </row>
    <row r="309" spans="2:4">
      <c r="B309" s="268" t="s">
        <v>39</v>
      </c>
      <c r="C309" s="269">
        <v>0</v>
      </c>
      <c r="D309" s="270">
        <v>0</v>
      </c>
    </row>
    <row r="310" spans="2:4">
      <c r="B310" s="104" t="s">
        <v>40</v>
      </c>
      <c r="C310" s="290">
        <f>C287</f>
        <v>1359756.862</v>
      </c>
      <c r="D310" s="365">
        <f>D287</f>
        <v>1373.2296177800399</v>
      </c>
    </row>
    <row r="311" spans="2:4" ht="13.5" thickBot="1">
      <c r="B311" s="271" t="s">
        <v>41</v>
      </c>
      <c r="C311" s="272">
        <f>C309+C310</f>
        <v>1359756.862</v>
      </c>
      <c r="D311" s="273">
        <f>D309+D310</f>
        <v>1373.2296177800399</v>
      </c>
    </row>
    <row r="312" spans="2:4">
      <c r="D312" s="264"/>
    </row>
    <row r="313" spans="2:4">
      <c r="C313" s="36"/>
    </row>
    <row r="314" spans="2:4" ht="13.5" thickBot="1"/>
    <row r="315" spans="2:4">
      <c r="B315" s="323" t="s">
        <v>81</v>
      </c>
      <c r="C315" s="368" t="s">
        <v>58</v>
      </c>
      <c r="D315" s="369" t="s">
        <v>59</v>
      </c>
    </row>
    <row r="316" spans="2:4">
      <c r="B316" s="89">
        <v>2024</v>
      </c>
      <c r="C316" s="322">
        <v>128073.89</v>
      </c>
      <c r="D316" s="421">
        <f t="shared" ref="D316:D321" si="1">C316/$D$272</f>
        <v>129.34287292627974</v>
      </c>
    </row>
    <row r="317" spans="2:4">
      <c r="B317" s="89">
        <v>2025</v>
      </c>
      <c r="C317" s="322">
        <v>211455.63</v>
      </c>
      <c r="D317" s="421">
        <f t="shared" si="1"/>
        <v>213.55077666990849</v>
      </c>
    </row>
    <row r="318" spans="2:4">
      <c r="B318" s="89">
        <v>2026</v>
      </c>
      <c r="C318" s="322">
        <v>294628.44</v>
      </c>
      <c r="D318" s="421">
        <f t="shared" si="1"/>
        <v>297.54768029133834</v>
      </c>
    </row>
    <row r="319" spans="2:4">
      <c r="B319" s="89">
        <v>2027</v>
      </c>
      <c r="C319" s="322">
        <v>301996.28999999998</v>
      </c>
      <c r="D319" s="421">
        <f t="shared" si="1"/>
        <v>304.98853249228176</v>
      </c>
    </row>
    <row r="320" spans="2:4">
      <c r="B320" s="89">
        <v>2028</v>
      </c>
      <c r="C320" s="322">
        <v>98531.07</v>
      </c>
      <c r="D320" s="421">
        <f t="shared" si="1"/>
        <v>99.507336478187511</v>
      </c>
    </row>
    <row r="321" spans="1:12" ht="13.5" thickBot="1">
      <c r="B321" s="91" t="s">
        <v>82</v>
      </c>
      <c r="C321" s="425">
        <f>1560295.1-SUM(C316:C320)</f>
        <v>525609.78</v>
      </c>
      <c r="D321" s="421">
        <f t="shared" si="1"/>
        <v>530.81763178544702</v>
      </c>
    </row>
    <row r="322" spans="1:12" ht="13.5" thickBot="1">
      <c r="B322" s="417" t="s">
        <v>44</v>
      </c>
      <c r="C322" s="378">
        <f>SUM(C316:C321)</f>
        <v>1560295.1</v>
      </c>
      <c r="D322" s="419">
        <f>SUM(D316:D321)</f>
        <v>1575.7548306434428</v>
      </c>
    </row>
    <row r="325" spans="1:12">
      <c r="A325" s="80" t="s">
        <v>83</v>
      </c>
      <c r="C325" s="80" t="s">
        <v>84</v>
      </c>
      <c r="D325" s="292">
        <f>Model!$AY$382</f>
        <v>940.45</v>
      </c>
    </row>
    <row r="326" spans="1:12" ht="13.5" thickBot="1"/>
    <row r="327" spans="1:12" ht="13.5" thickBot="1">
      <c r="I327" s="381" t="s">
        <v>8</v>
      </c>
      <c r="J327" s="379"/>
      <c r="K327" s="379"/>
      <c r="L327" s="380"/>
    </row>
    <row r="328" spans="1:12">
      <c r="B328" s="382" t="s">
        <v>85</v>
      </c>
      <c r="C328" s="383" t="s">
        <v>4</v>
      </c>
      <c r="D328" s="383" t="s">
        <v>5</v>
      </c>
      <c r="E328" s="384" t="s">
        <v>48</v>
      </c>
      <c r="I328" s="382" t="s">
        <v>85</v>
      </c>
      <c r="J328" s="383" t="s">
        <v>4</v>
      </c>
      <c r="K328" s="383" t="s">
        <v>5</v>
      </c>
      <c r="L328" s="384" t="s">
        <v>48</v>
      </c>
    </row>
    <row r="329" spans="1:12">
      <c r="B329" s="394" t="s">
        <v>9</v>
      </c>
      <c r="C329" s="155">
        <v>365555.91800000001</v>
      </c>
      <c r="D329" s="286">
        <f>C329/$D$325</f>
        <v>388.70319315221434</v>
      </c>
      <c r="E329" s="395"/>
      <c r="F329" s="423"/>
      <c r="G329" s="423"/>
      <c r="I329" s="376" t="s">
        <v>10</v>
      </c>
      <c r="J329" s="85">
        <f>+C339-C336-C331-C332-C337</f>
        <v>4706566.824000001</v>
      </c>
      <c r="K329" s="85">
        <f>J329/$D$325</f>
        <v>5004.5901685363397</v>
      </c>
      <c r="L329" s="377">
        <f>J329/J333</f>
        <v>6.7131348938484319</v>
      </c>
    </row>
    <row r="330" spans="1:12">
      <c r="B330" s="394" t="s">
        <v>11</v>
      </c>
      <c r="C330" s="352">
        <v>268774.84899999999</v>
      </c>
      <c r="D330" s="286">
        <f>C330/$D$325</f>
        <v>285.79387420915515</v>
      </c>
      <c r="E330" s="395"/>
      <c r="F330" s="423"/>
      <c r="G330" s="423"/>
      <c r="I330" s="373" t="s">
        <v>12</v>
      </c>
      <c r="J330" s="121">
        <f>Model!AY252+464000</f>
        <v>1446869.7749999999</v>
      </c>
      <c r="K330" s="85">
        <f>J330/$D$325</f>
        <v>1538.4866553245786</v>
      </c>
      <c r="L330" s="374"/>
    </row>
    <row r="331" spans="1:12">
      <c r="B331" s="394" t="s">
        <v>13</v>
      </c>
      <c r="C331" s="352">
        <f>114410.123</f>
        <v>114410.12300000001</v>
      </c>
      <c r="D331" s="286">
        <f>C331/$D$325</f>
        <v>121.65465787654846</v>
      </c>
      <c r="E331" s="395"/>
      <c r="F331" s="423"/>
      <c r="G331" s="423"/>
      <c r="I331" s="376" t="s">
        <v>14</v>
      </c>
      <c r="J331" s="85">
        <f>+J329-J330</f>
        <v>3259697.049000001</v>
      </c>
      <c r="K331" s="85">
        <f>J331/$D$325</f>
        <v>3466.1035132117613</v>
      </c>
      <c r="L331" s="377">
        <f>J331/J333</f>
        <v>4.6494157676526946</v>
      </c>
    </row>
    <row r="332" spans="1:12">
      <c r="B332" s="394" t="s">
        <v>15</v>
      </c>
      <c r="C332" s="155">
        <v>51266.351000000002</v>
      </c>
      <c r="D332" s="286">
        <f>C332/$D$325</f>
        <v>54.512574831197831</v>
      </c>
      <c r="E332" s="395"/>
      <c r="F332" s="423"/>
      <c r="G332" s="423"/>
      <c r="I332" s="388"/>
      <c r="J332" s="389"/>
      <c r="K332" s="389"/>
      <c r="L332" s="390"/>
    </row>
    <row r="333" spans="1:12" ht="13.5" thickBot="1">
      <c r="B333" s="396" t="s">
        <v>17</v>
      </c>
      <c r="C333" s="156">
        <f>SUM(C329:C332)</f>
        <v>800007.24100000004</v>
      </c>
      <c r="D333" s="156">
        <f>SUM(D329:D332)</f>
        <v>850.66430006911582</v>
      </c>
      <c r="E333" s="375"/>
      <c r="F333" s="424"/>
      <c r="G333" s="424"/>
      <c r="I333" s="391" t="s">
        <v>78</v>
      </c>
      <c r="J333" s="392">
        <f>C349-207000</f>
        <v>701098.20499999996</v>
      </c>
      <c r="K333" s="392"/>
      <c r="L333" s="393"/>
    </row>
    <row r="334" spans="1:12">
      <c r="B334" s="394" t="s">
        <v>18</v>
      </c>
      <c r="C334" s="155">
        <v>574269.65899999999</v>
      </c>
      <c r="D334" s="286">
        <f>C334/$D$325</f>
        <v>610.63284491466845</v>
      </c>
      <c r="E334" s="375"/>
      <c r="F334" s="423"/>
      <c r="G334" s="423"/>
    </row>
    <row r="335" spans="1:12">
      <c r="B335" s="394" t="s">
        <v>19</v>
      </c>
      <c r="C335" s="155">
        <v>3497966.398</v>
      </c>
      <c r="D335" s="286">
        <f>C335/$D$325</f>
        <v>3719.4602562603009</v>
      </c>
      <c r="E335" s="375"/>
      <c r="F335" s="423"/>
      <c r="G335" s="423"/>
    </row>
    <row r="336" spans="1:12">
      <c r="B336" s="394" t="s">
        <v>20</v>
      </c>
      <c r="C336" s="352">
        <f>1202311.497</f>
        <v>1202311.497</v>
      </c>
      <c r="D336" s="286">
        <f>C336/$D$325</f>
        <v>1278.4427635706311</v>
      </c>
      <c r="E336" s="375"/>
      <c r="F336" s="423"/>
      <c r="G336" s="423"/>
    </row>
    <row r="337" spans="2:5">
      <c r="B337" s="394" t="s">
        <v>15</v>
      </c>
      <c r="C337" s="155">
        <f>4321.419</f>
        <v>4321.4189999999999</v>
      </c>
      <c r="D337" s="286">
        <f>C337/$D$325</f>
        <v>4.5950544951884735</v>
      </c>
      <c r="E337" s="375"/>
    </row>
    <row r="338" spans="2:5">
      <c r="B338" s="396" t="s">
        <v>22</v>
      </c>
      <c r="C338" s="156">
        <f>SUM(C334:C337)</f>
        <v>5278868.9729999993</v>
      </c>
      <c r="D338" s="156">
        <f>SUM(D334:D337)</f>
        <v>5613.130919240788</v>
      </c>
      <c r="E338" s="375"/>
    </row>
    <row r="339" spans="2:5">
      <c r="B339" s="397" t="s">
        <v>23</v>
      </c>
      <c r="C339" s="304">
        <f>C338+C333</f>
        <v>6078876.2139999997</v>
      </c>
      <c r="D339" s="304">
        <f>D338+D333</f>
        <v>6463.7952193099036</v>
      </c>
      <c r="E339" s="398">
        <f>+C339/C349</f>
        <v>6.6940735930647497</v>
      </c>
    </row>
    <row r="340" spans="2:5">
      <c r="B340" s="386" t="s">
        <v>24</v>
      </c>
      <c r="C340" s="304">
        <f>Model!$AY$252</f>
        <v>982869.77500000002</v>
      </c>
      <c r="D340" s="286">
        <f>C340/$D$325</f>
        <v>1045.1058269977138</v>
      </c>
      <c r="E340" s="387"/>
    </row>
    <row r="341" spans="2:5">
      <c r="B341" s="397" t="s">
        <v>14</v>
      </c>
      <c r="C341" s="304">
        <f>+C339-C340</f>
        <v>5096006.4389999993</v>
      </c>
      <c r="D341" s="304">
        <f>+D339-D340</f>
        <v>5418.6893923121897</v>
      </c>
      <c r="E341" s="398">
        <f>+C341/C349</f>
        <v>5.611734954370931</v>
      </c>
    </row>
    <row r="342" spans="2:5">
      <c r="B342" s="376"/>
      <c r="C342" s="84"/>
      <c r="D342" s="84"/>
      <c r="E342" s="377"/>
    </row>
    <row r="343" spans="2:5">
      <c r="B343" s="386" t="s">
        <v>25</v>
      </c>
      <c r="C343" s="308">
        <f>Model!$AY165</f>
        <v>-60269.228999999999</v>
      </c>
      <c r="D343" s="286">
        <f>C343/$D$325</f>
        <v>-64.0855218246584</v>
      </c>
      <c r="E343" s="385"/>
    </row>
    <row r="344" spans="2:5">
      <c r="B344" s="386" t="s">
        <v>26</v>
      </c>
      <c r="C344" s="308">
        <f>Model!$AY166</f>
        <v>0</v>
      </c>
      <c r="D344" s="286">
        <f>C344/$D$325</f>
        <v>0</v>
      </c>
      <c r="E344" s="399"/>
    </row>
    <row r="345" spans="2:5">
      <c r="B345" s="386" t="s">
        <v>27</v>
      </c>
      <c r="C345" s="308">
        <f>Model!$AY167</f>
        <v>0</v>
      </c>
      <c r="D345" s="286">
        <f>C345/$D$325</f>
        <v>0</v>
      </c>
      <c r="E345" s="399"/>
    </row>
    <row r="346" spans="2:5">
      <c r="B346" s="371" t="s">
        <v>28</v>
      </c>
      <c r="C346" s="45">
        <f>C343+C344+C345</f>
        <v>-60269.228999999999</v>
      </c>
      <c r="D346" s="45">
        <f>D343+D344+D345</f>
        <v>-64.0855218246584</v>
      </c>
      <c r="E346" s="372"/>
    </row>
    <row r="347" spans="2:5">
      <c r="B347" s="376" t="s">
        <v>29</v>
      </c>
      <c r="C347" s="288">
        <f>Model!$AY$290</f>
        <v>7957159.0130000003</v>
      </c>
      <c r="D347" s="286">
        <f>C347/$D$325</f>
        <v>8461.0122951778394</v>
      </c>
      <c r="E347" s="377"/>
    </row>
    <row r="348" spans="2:5">
      <c r="B348" s="376" t="s">
        <v>30</v>
      </c>
      <c r="C348" s="288">
        <f>C347+C339+C346</f>
        <v>13975765.998</v>
      </c>
      <c r="D348" s="288">
        <f>D347+D339+D346</f>
        <v>14860.721992663086</v>
      </c>
      <c r="E348" s="377"/>
    </row>
    <row r="349" spans="2:5" ht="13.5" thickBot="1">
      <c r="B349" s="400" t="s">
        <v>79</v>
      </c>
      <c r="C349" s="401">
        <f>Model!$AY$204</f>
        <v>908098.20499999996</v>
      </c>
      <c r="D349" s="401"/>
      <c r="E349" s="402"/>
    </row>
    <row r="351" spans="2:5">
      <c r="B351" s="176" t="s">
        <v>32</v>
      </c>
      <c r="C351" s="274">
        <f>C339-Model!$AY$260</f>
        <v>0</v>
      </c>
    </row>
    <row r="352" spans="2:5" ht="13.5" thickBot="1"/>
    <row r="353" spans="2:4">
      <c r="B353" s="403" t="s">
        <v>86</v>
      </c>
      <c r="C353" s="404">
        <f>Model!$AY$289</f>
        <v>8066430</v>
      </c>
      <c r="D353" s="405"/>
    </row>
    <row r="354" spans="2:4">
      <c r="B354" s="406" t="s">
        <v>34</v>
      </c>
      <c r="C354" s="290">
        <f>C353+Model!$AY$283</f>
        <v>13292816.934</v>
      </c>
      <c r="D354" s="407"/>
    </row>
    <row r="355" spans="2:4">
      <c r="B355" s="408" t="s">
        <v>35</v>
      </c>
      <c r="C355" s="43">
        <f>C354/C357</f>
        <v>12.140678668991386</v>
      </c>
      <c r="D355" s="372"/>
    </row>
    <row r="356" spans="2:4">
      <c r="B356" s="406"/>
      <c r="D356" s="409"/>
    </row>
    <row r="357" spans="2:4" ht="13.5" thickBot="1">
      <c r="B357" s="410" t="s">
        <v>36</v>
      </c>
      <c r="C357" s="411">
        <f>Model!$AY$223</f>
        <v>1094899</v>
      </c>
      <c r="D357" s="412"/>
    </row>
    <row r="360" spans="2:4" ht="13.5" thickBot="1"/>
    <row r="361" spans="2:4">
      <c r="B361" s="267" t="s">
        <v>37</v>
      </c>
      <c r="C361" s="278" t="s">
        <v>38</v>
      </c>
      <c r="D361" s="279" t="s">
        <v>5</v>
      </c>
    </row>
    <row r="362" spans="2:4">
      <c r="B362" s="268" t="s">
        <v>39</v>
      </c>
      <c r="C362" s="269">
        <v>0</v>
      </c>
      <c r="D362" s="270">
        <v>0</v>
      </c>
    </row>
    <row r="363" spans="2:4">
      <c r="B363" s="104" t="s">
        <v>40</v>
      </c>
      <c r="C363" s="290">
        <f>C340</f>
        <v>982869.77500000002</v>
      </c>
      <c r="D363" s="365">
        <f>D340</f>
        <v>1045.1058269977138</v>
      </c>
    </row>
    <row r="364" spans="2:4" ht="13.5" thickBot="1">
      <c r="B364" s="271" t="s">
        <v>41</v>
      </c>
      <c r="C364" s="272">
        <f>C362+C363</f>
        <v>982869.77500000002</v>
      </c>
      <c r="D364" s="273">
        <f>D362+D363</f>
        <v>1045.1058269977138</v>
      </c>
    </row>
    <row r="365" spans="2:4">
      <c r="D365" s="264"/>
    </row>
    <row r="366" spans="2:4">
      <c r="C366" s="36"/>
    </row>
    <row r="367" spans="2:4" ht="13.5" thickBot="1"/>
    <row r="368" spans="2:4">
      <c r="B368" s="323" t="s">
        <v>87</v>
      </c>
      <c r="C368" s="368" t="s">
        <v>58</v>
      </c>
      <c r="D368" s="369" t="s">
        <v>59</v>
      </c>
    </row>
    <row r="369" spans="1:12">
      <c r="B369" s="89">
        <v>2024</v>
      </c>
      <c r="C369" s="322">
        <v>1733.99</v>
      </c>
      <c r="D369" s="421">
        <f t="shared" ref="D369:D374" si="2">C369/$D$431</f>
        <v>1.9676417518739513</v>
      </c>
    </row>
    <row r="370" spans="1:12">
      <c r="B370" s="89">
        <v>2025</v>
      </c>
      <c r="C370" s="322">
        <v>197541.22</v>
      </c>
      <c r="D370" s="421">
        <f t="shared" si="2"/>
        <v>224.15951198571943</v>
      </c>
    </row>
    <row r="371" spans="1:12">
      <c r="B371" s="89">
        <v>2026</v>
      </c>
      <c r="C371" s="322">
        <v>281176.95</v>
      </c>
      <c r="D371" s="421">
        <f t="shared" si="2"/>
        <v>319.06499258045</v>
      </c>
    </row>
    <row r="372" spans="1:12">
      <c r="B372" s="89">
        <v>2027</v>
      </c>
      <c r="C372" s="322">
        <v>282114.68</v>
      </c>
      <c r="D372" s="421">
        <f t="shared" si="2"/>
        <v>320.12907985891451</v>
      </c>
    </row>
    <row r="373" spans="1:12">
      <c r="B373" s="89">
        <v>2028</v>
      </c>
      <c r="C373" s="322">
        <v>94857.31</v>
      </c>
      <c r="D373" s="421">
        <f t="shared" si="2"/>
        <v>107.6391464924541</v>
      </c>
    </row>
    <row r="374" spans="1:12" ht="13.5" thickBot="1">
      <c r="B374" s="91" t="s">
        <v>82</v>
      </c>
      <c r="C374" s="425">
        <f>1468099.69-SUM(C369:C373)</f>
        <v>610675.5399999998</v>
      </c>
      <c r="D374" s="421">
        <f t="shared" si="2"/>
        <v>692.96287138459331</v>
      </c>
    </row>
    <row r="375" spans="1:12" ht="13.5" thickBot="1">
      <c r="B375" s="417" t="s">
        <v>44</v>
      </c>
      <c r="C375" s="378">
        <f>SUM(C369:C374)</f>
        <v>1468099.69</v>
      </c>
      <c r="D375" s="419">
        <f>SUM(D369:D374)</f>
        <v>1665.9232440540054</v>
      </c>
    </row>
    <row r="378" spans="1:12">
      <c r="A378" s="80" t="s">
        <v>88</v>
      </c>
      <c r="C378" s="80" t="s">
        <v>89</v>
      </c>
      <c r="D378" s="292">
        <f>Model!$AX$382</f>
        <v>979.84889999999996</v>
      </c>
    </row>
    <row r="379" spans="1:12" ht="13.5" thickBot="1"/>
    <row r="380" spans="1:12" ht="13.5" thickBot="1">
      <c r="I380" s="381" t="s">
        <v>8</v>
      </c>
      <c r="J380" s="379"/>
      <c r="K380" s="379"/>
      <c r="L380" s="380"/>
    </row>
    <row r="381" spans="1:12">
      <c r="B381" s="382" t="s">
        <v>90</v>
      </c>
      <c r="C381" s="383" t="s">
        <v>4</v>
      </c>
      <c r="D381" s="383" t="s">
        <v>5</v>
      </c>
      <c r="E381" s="384" t="s">
        <v>48</v>
      </c>
      <c r="I381" s="382" t="s">
        <v>90</v>
      </c>
      <c r="J381" s="383" t="s">
        <v>4</v>
      </c>
      <c r="K381" s="383" t="s">
        <v>5</v>
      </c>
      <c r="L381" s="384" t="s">
        <v>48</v>
      </c>
    </row>
    <row r="382" spans="1:12">
      <c r="B382" s="394" t="s">
        <v>9</v>
      </c>
      <c r="C382" s="155">
        <v>296111.05300000001</v>
      </c>
      <c r="D382" s="286">
        <f>C382/$D$378</f>
        <v>302.20073013298276</v>
      </c>
      <c r="E382" s="395"/>
      <c r="F382" s="423"/>
      <c r="G382" s="423"/>
      <c r="I382" s="376" t="s">
        <v>10</v>
      </c>
      <c r="J382" s="85">
        <f>+C392-C389-C384-C385-C390</f>
        <v>4768456.4249999998</v>
      </c>
      <c r="K382" s="85">
        <f>J382/$D$378</f>
        <v>4866.5222005147934</v>
      </c>
      <c r="L382" s="377">
        <f>J382/J386</f>
        <v>7.9668016274297004</v>
      </c>
    </row>
    <row r="383" spans="1:12">
      <c r="B383" s="394" t="s">
        <v>11</v>
      </c>
      <c r="C383" s="352">
        <v>276420.20199999999</v>
      </c>
      <c r="D383" s="286">
        <f>C383/$D$378</f>
        <v>282.10492658612975</v>
      </c>
      <c r="E383" s="395"/>
      <c r="F383" s="423"/>
      <c r="G383" s="423"/>
      <c r="I383" s="373" t="s">
        <v>12</v>
      </c>
      <c r="J383" s="121">
        <f>Model!AX252+488326</f>
        <v>1437254.0819999999</v>
      </c>
      <c r="K383" s="85">
        <f>J383/$D$378</f>
        <v>1466.8119564149126</v>
      </c>
      <c r="L383" s="374"/>
    </row>
    <row r="384" spans="1:12">
      <c r="B384" s="394" t="s">
        <v>13</v>
      </c>
      <c r="C384" s="352">
        <f>113019.292</f>
        <v>113019.292</v>
      </c>
      <c r="D384" s="286">
        <f>C384/$D$378</f>
        <v>115.34359226203142</v>
      </c>
      <c r="E384" s="395"/>
      <c r="F384" s="423"/>
      <c r="G384" s="423"/>
      <c r="I384" s="376" t="s">
        <v>14</v>
      </c>
      <c r="J384" s="85">
        <f>+J382-J383</f>
        <v>3331202.3429999999</v>
      </c>
      <c r="K384" s="85">
        <f>J384/$D$378</f>
        <v>3399.710244099881</v>
      </c>
      <c r="L384" s="377">
        <f>J384/J386</f>
        <v>5.5655385898823706</v>
      </c>
    </row>
    <row r="385" spans="2:12">
      <c r="B385" s="394" t="s">
        <v>15</v>
      </c>
      <c r="C385" s="155">
        <v>93976.035000000003</v>
      </c>
      <c r="D385" s="286">
        <f>C385/$D$378</f>
        <v>95.908700821116412</v>
      </c>
      <c r="E385" s="395"/>
      <c r="F385" s="423"/>
      <c r="G385" s="423"/>
      <c r="I385" s="388"/>
      <c r="J385" s="389"/>
      <c r="K385" s="389"/>
      <c r="L385" s="390"/>
    </row>
    <row r="386" spans="2:12" ht="13.5" thickBot="1">
      <c r="B386" s="396" t="s">
        <v>17</v>
      </c>
      <c r="C386" s="156">
        <f>SUM(C382:C385)</f>
        <v>779526.58200000005</v>
      </c>
      <c r="D386" s="156">
        <f>SUM(D382:D385)</f>
        <v>795.55794980226028</v>
      </c>
      <c r="E386" s="375"/>
      <c r="F386" s="424"/>
      <c r="G386" s="424"/>
      <c r="I386" s="391" t="s">
        <v>91</v>
      </c>
      <c r="J386" s="392">
        <f>C402-190651</f>
        <v>598540.87600000016</v>
      </c>
      <c r="K386" s="392"/>
      <c r="L386" s="393"/>
    </row>
    <row r="387" spans="2:12">
      <c r="B387" s="394" t="s">
        <v>18</v>
      </c>
      <c r="C387" s="155">
        <v>774203.82299999997</v>
      </c>
      <c r="D387" s="286">
        <f>C387/$D$378</f>
        <v>790.12572550726952</v>
      </c>
      <c r="E387" s="375"/>
      <c r="F387" s="423"/>
      <c r="G387" s="423"/>
    </row>
    <row r="388" spans="2:12">
      <c r="B388" s="394" t="s">
        <v>19</v>
      </c>
      <c r="C388" s="155">
        <v>3421721.3470000001</v>
      </c>
      <c r="D388" s="286">
        <f>C388/$D$378</f>
        <v>3492.0908182884118</v>
      </c>
      <c r="E388" s="375"/>
      <c r="F388" s="423"/>
      <c r="G388" s="423"/>
    </row>
    <row r="389" spans="2:12">
      <c r="B389" s="394" t="s">
        <v>20</v>
      </c>
      <c r="C389" s="352">
        <f xml:space="preserve"> 1144232.637</f>
        <v>1144232.6370000001</v>
      </c>
      <c r="D389" s="286">
        <f>C389/$D$378</f>
        <v>1167.7643736702671</v>
      </c>
      <c r="E389" s="375"/>
      <c r="F389" s="423"/>
      <c r="G389" s="423"/>
    </row>
    <row r="390" spans="2:12">
      <c r="B390" s="394" t="s">
        <v>15</v>
      </c>
      <c r="C390" s="155">
        <f>6014.294</f>
        <v>6014.2939999999999</v>
      </c>
      <c r="D390" s="286">
        <f>C390/$D$378</f>
        <v>6.1379810703466626</v>
      </c>
      <c r="E390" s="375"/>
    </row>
    <row r="391" spans="2:12">
      <c r="B391" s="396" t="s">
        <v>22</v>
      </c>
      <c r="C391" s="156">
        <f>SUM(C387:C390)</f>
        <v>5346172.1009999998</v>
      </c>
      <c r="D391" s="156">
        <f>SUM(D387:D390)</f>
        <v>5456.1188985362942</v>
      </c>
      <c r="E391" s="375"/>
    </row>
    <row r="392" spans="2:12">
      <c r="B392" s="397" t="s">
        <v>23</v>
      </c>
      <c r="C392" s="304">
        <f>C391+C386</f>
        <v>6125698.6830000002</v>
      </c>
      <c r="D392" s="304">
        <f>D391+D386</f>
        <v>6251.6768483385549</v>
      </c>
      <c r="E392" s="398">
        <f>+C392/C402</f>
        <v>7.7619890286351589</v>
      </c>
    </row>
    <row r="393" spans="2:12">
      <c r="B393" s="386" t="s">
        <v>24</v>
      </c>
      <c r="C393" s="304">
        <f>Model!$AX$252</f>
        <v>948928.08200000005</v>
      </c>
      <c r="D393" s="286">
        <f>C393/$D$378</f>
        <v>968.44327936684942</v>
      </c>
      <c r="E393" s="387"/>
    </row>
    <row r="394" spans="2:12">
      <c r="B394" s="397" t="s">
        <v>14</v>
      </c>
      <c r="C394" s="304">
        <f>+C392-C393</f>
        <v>5176770.6009999998</v>
      </c>
      <c r="D394" s="304">
        <f>+D392-D393</f>
        <v>5283.2335689717056</v>
      </c>
      <c r="E394" s="398">
        <f>+C394/C402</f>
        <v>6.5595842512195333</v>
      </c>
    </row>
    <row r="395" spans="2:12">
      <c r="B395" s="376"/>
      <c r="C395" s="84"/>
      <c r="D395" s="84"/>
      <c r="E395" s="377"/>
    </row>
    <row r="396" spans="2:12">
      <c r="B396" s="386" t="s">
        <v>25</v>
      </c>
      <c r="C396" s="308">
        <f>Model!$AX219</f>
        <v>45382</v>
      </c>
      <c r="D396" s="286">
        <f>C396/$D$378</f>
        <v>46.315304329065434</v>
      </c>
      <c r="E396" s="385"/>
    </row>
    <row r="397" spans="2:12">
      <c r="B397" s="386" t="s">
        <v>26</v>
      </c>
      <c r="C397" s="308">
        <f>Model!$AX220</f>
        <v>11360921.499000002</v>
      </c>
      <c r="D397" s="286">
        <f>C397/$D$378</f>
        <v>11594.564732378638</v>
      </c>
      <c r="E397" s="399"/>
    </row>
    <row r="398" spans="2:12">
      <c r="B398" s="386" t="s">
        <v>27</v>
      </c>
      <c r="C398" s="308">
        <f>Model!$AX221</f>
        <v>690902.48800000048</v>
      </c>
      <c r="D398" s="286">
        <f>C398/$D$378</f>
        <v>705.11125541907586</v>
      </c>
      <c r="E398" s="399"/>
    </row>
    <row r="399" spans="2:12">
      <c r="B399" s="371" t="s">
        <v>28</v>
      </c>
      <c r="C399" s="45">
        <f>C396+C397+C398</f>
        <v>12097205.987000002</v>
      </c>
      <c r="D399" s="45">
        <f>D396+D397+D398</f>
        <v>12345.991292126779</v>
      </c>
      <c r="E399" s="372"/>
    </row>
    <row r="400" spans="2:12">
      <c r="B400" s="376" t="s">
        <v>29</v>
      </c>
      <c r="C400" s="288">
        <f>Model!$AX$290</f>
        <v>7917596.1330000004</v>
      </c>
      <c r="D400" s="286">
        <f>C400/$D$378</f>
        <v>8080.4255972528017</v>
      </c>
      <c r="E400" s="377"/>
    </row>
    <row r="401" spans="2:5">
      <c r="B401" s="376" t="s">
        <v>30</v>
      </c>
      <c r="C401" s="288">
        <f>C400+C392+C399</f>
        <v>26140500.803000003</v>
      </c>
      <c r="D401" s="288">
        <f>D400+D392+D399</f>
        <v>26678.093737718136</v>
      </c>
      <c r="E401" s="377"/>
    </row>
    <row r="402" spans="2:5" ht="13.5" thickBot="1">
      <c r="B402" s="400" t="s">
        <v>79</v>
      </c>
      <c r="C402" s="401">
        <f>Model!$AX$204</f>
        <v>789191.87600000016</v>
      </c>
      <c r="D402" s="401"/>
      <c r="E402" s="402"/>
    </row>
    <row r="404" spans="2:5">
      <c r="B404" s="176" t="s">
        <v>32</v>
      </c>
      <c r="C404" s="274">
        <f>C392-Model!$AX$260</f>
        <v>0</v>
      </c>
    </row>
    <row r="405" spans="2:5" ht="13.5" thickBot="1"/>
    <row r="406" spans="2:5">
      <c r="B406" s="403" t="s">
        <v>92</v>
      </c>
      <c r="C406" s="404">
        <f>Model!$AX$289</f>
        <v>6455757.2000000002</v>
      </c>
      <c r="D406" s="405"/>
    </row>
    <row r="407" spans="2:5">
      <c r="B407" s="406" t="s">
        <v>34</v>
      </c>
      <c r="C407" s="290">
        <f>C406+Model!$AX$283</f>
        <v>12002877.471000001</v>
      </c>
      <c r="D407" s="407"/>
    </row>
    <row r="408" spans="2:5">
      <c r="B408" s="408" t="s">
        <v>35</v>
      </c>
      <c r="C408" s="43">
        <f>C407/C410</f>
        <v>13.17899757235182</v>
      </c>
      <c r="D408" s="372"/>
    </row>
    <row r="409" spans="2:5">
      <c r="B409" s="406"/>
      <c r="D409" s="409"/>
    </row>
    <row r="410" spans="2:5" ht="13.5" thickBot="1">
      <c r="B410" s="410" t="s">
        <v>36</v>
      </c>
      <c r="C410" s="411">
        <f>Model!$AX$223</f>
        <v>910758.00000000012</v>
      </c>
      <c r="D410" s="412"/>
    </row>
    <row r="413" spans="2:5" ht="13.5" thickBot="1"/>
    <row r="414" spans="2:5">
      <c r="B414" s="267" t="s">
        <v>37</v>
      </c>
      <c r="C414" s="278" t="s">
        <v>38</v>
      </c>
      <c r="D414" s="279" t="s">
        <v>5</v>
      </c>
    </row>
    <row r="415" spans="2:5">
      <c r="B415" s="268" t="s">
        <v>39</v>
      </c>
      <c r="C415" s="269">
        <v>0</v>
      </c>
      <c r="D415" s="270">
        <v>0</v>
      </c>
    </row>
    <row r="416" spans="2:5">
      <c r="B416" s="104" t="s">
        <v>40</v>
      </c>
      <c r="C416" s="290">
        <f>C393</f>
        <v>948928.08200000005</v>
      </c>
      <c r="D416" s="365">
        <f>D393</f>
        <v>968.44327936684942</v>
      </c>
    </row>
    <row r="417" spans="1:4" ht="13.5" thickBot="1">
      <c r="B417" s="271" t="s">
        <v>41</v>
      </c>
      <c r="C417" s="272">
        <f>C415+C416</f>
        <v>948928.08200000005</v>
      </c>
      <c r="D417" s="273">
        <f>D415+D416</f>
        <v>968.44327936684942</v>
      </c>
    </row>
    <row r="418" spans="1:4">
      <c r="D418" s="264"/>
    </row>
    <row r="419" spans="1:4">
      <c r="C419" s="36"/>
    </row>
    <row r="420" spans="1:4" ht="13.5" thickBot="1"/>
    <row r="421" spans="1:4">
      <c r="B421" s="323" t="s">
        <v>93</v>
      </c>
      <c r="C421" s="368" t="s">
        <v>58</v>
      </c>
      <c r="D421" s="369" t="s">
        <v>59</v>
      </c>
    </row>
    <row r="422" spans="1:4">
      <c r="B422" s="89">
        <v>2024</v>
      </c>
      <c r="C422" s="322">
        <v>3640.24</v>
      </c>
      <c r="D422" s="421">
        <f t="shared" ref="D422:D427" si="3">C422/$D$431</f>
        <v>4.1307552009190553</v>
      </c>
    </row>
    <row r="423" spans="1:4">
      <c r="B423" s="89">
        <v>2025</v>
      </c>
      <c r="C423" s="322">
        <v>208483.4</v>
      </c>
      <c r="D423" s="421">
        <f t="shared" si="3"/>
        <v>236.57612928139017</v>
      </c>
    </row>
    <row r="424" spans="1:4">
      <c r="B424" s="89">
        <v>2026</v>
      </c>
      <c r="C424" s="322">
        <v>291754.81</v>
      </c>
      <c r="D424" s="421">
        <f t="shared" si="3"/>
        <v>331.06819847060927</v>
      </c>
    </row>
    <row r="425" spans="1:4">
      <c r="B425" s="89">
        <v>2027</v>
      </c>
      <c r="C425" s="322">
        <v>393738.4</v>
      </c>
      <c r="D425" s="421">
        <f t="shared" si="3"/>
        <v>446.79387721731189</v>
      </c>
    </row>
    <row r="426" spans="1:4">
      <c r="B426" s="89">
        <v>2028</v>
      </c>
      <c r="C426" s="322">
        <v>97736.04</v>
      </c>
      <c r="D426" s="421">
        <f t="shared" si="3"/>
        <v>110.90577971431357</v>
      </c>
    </row>
    <row r="427" spans="1:4" ht="13.5" thickBot="1">
      <c r="B427" s="91" t="s">
        <v>82</v>
      </c>
      <c r="C427" s="425">
        <f>1639844.5-SUM(C422:C426)</f>
        <v>644491.61</v>
      </c>
      <c r="D427" s="421">
        <f t="shared" si="3"/>
        <v>731.33559049848236</v>
      </c>
    </row>
    <row r="428" spans="1:4" ht="13.5" thickBot="1">
      <c r="B428" s="417" t="s">
        <v>44</v>
      </c>
      <c r="C428" s="378">
        <f>SUM(C422:C427)</f>
        <v>1639844.5</v>
      </c>
      <c r="D428" s="419">
        <f>SUM(D422:D427)</f>
        <v>1860.8103303830264</v>
      </c>
    </row>
    <row r="431" spans="1:4">
      <c r="A431" s="80" t="s">
        <v>94</v>
      </c>
      <c r="C431" s="80" t="s">
        <v>95</v>
      </c>
      <c r="D431" s="292">
        <f>Model!$N$382</f>
        <v>881.25289999999995</v>
      </c>
    </row>
    <row r="432" spans="1:4" ht="13.5" thickBot="1"/>
    <row r="433" spans="2:12" ht="13.5" thickBot="1">
      <c r="I433" s="381" t="s">
        <v>8</v>
      </c>
      <c r="J433" s="379"/>
      <c r="K433" s="379"/>
      <c r="L433" s="380"/>
    </row>
    <row r="434" spans="2:12">
      <c r="B434" s="382" t="s">
        <v>96</v>
      </c>
      <c r="C434" s="383" t="s">
        <v>4</v>
      </c>
      <c r="D434" s="383" t="s">
        <v>5</v>
      </c>
      <c r="E434" s="384" t="s">
        <v>48</v>
      </c>
      <c r="I434" s="382" t="s">
        <v>96</v>
      </c>
      <c r="J434" s="383" t="s">
        <v>4</v>
      </c>
      <c r="K434" s="383" t="s">
        <v>5</v>
      </c>
      <c r="L434" s="384" t="s">
        <v>48</v>
      </c>
    </row>
    <row r="435" spans="2:12">
      <c r="B435" s="394" t="s">
        <v>9</v>
      </c>
      <c r="C435" s="155">
        <v>234443.753</v>
      </c>
      <c r="D435" s="286">
        <f>C435/$D$431</f>
        <v>266.03458893582081</v>
      </c>
      <c r="E435" s="395"/>
      <c r="F435" s="423"/>
      <c r="G435" s="423"/>
      <c r="I435" s="376" t="s">
        <v>10</v>
      </c>
      <c r="J435" s="85">
        <f>+C445-C442-C437-C438-C443</f>
        <v>4570430.8650000002</v>
      </c>
      <c r="K435" s="85">
        <f>J435/$D$431</f>
        <v>5186.287460727789</v>
      </c>
      <c r="L435" s="377">
        <f>J435/J439</f>
        <v>9.2597678910518599</v>
      </c>
    </row>
    <row r="436" spans="2:12">
      <c r="B436" s="394" t="s">
        <v>11</v>
      </c>
      <c r="C436" s="352">
        <v>68108.131999999998</v>
      </c>
      <c r="D436" s="286">
        <f>C436/$D$431</f>
        <v>77.285569216282866</v>
      </c>
      <c r="E436" s="395"/>
      <c r="F436" s="423"/>
      <c r="G436" s="423"/>
      <c r="I436" s="373" t="s">
        <v>12</v>
      </c>
      <c r="J436" s="85">
        <f>Model!N252+328176</f>
        <v>1405995.1440000001</v>
      </c>
      <c r="K436" s="85">
        <f>J436/$D$431</f>
        <v>1595.4502322772501</v>
      </c>
      <c r="L436" s="374"/>
    </row>
    <row r="437" spans="2:12">
      <c r="B437" s="394" t="s">
        <v>13</v>
      </c>
      <c r="C437" s="352">
        <f>112307.196</f>
        <v>112307.196</v>
      </c>
      <c r="D437" s="286">
        <f>C437/$D$431</f>
        <v>127.44037040899383</v>
      </c>
      <c r="E437" s="395"/>
      <c r="F437" s="423"/>
      <c r="G437" s="423"/>
      <c r="I437" s="376" t="s">
        <v>14</v>
      </c>
      <c r="J437" s="85">
        <f>+J435-J436</f>
        <v>3164435.7209999999</v>
      </c>
      <c r="K437" s="85">
        <f>J437/$D$431</f>
        <v>3590.837228450539</v>
      </c>
      <c r="L437" s="377">
        <f>J437/J439</f>
        <v>6.4111986699121282</v>
      </c>
    </row>
    <row r="438" spans="2:12">
      <c r="B438" s="394" t="s">
        <v>15</v>
      </c>
      <c r="C438" s="155">
        <v>43257.998</v>
      </c>
      <c r="D438" s="286">
        <f>C438/$D$431</f>
        <v>49.086928394788828</v>
      </c>
      <c r="E438" s="395"/>
      <c r="F438" s="423"/>
      <c r="G438" s="423"/>
      <c r="I438" s="388"/>
      <c r="J438" s="389"/>
      <c r="K438" s="389"/>
      <c r="L438" s="390"/>
    </row>
    <row r="439" spans="2:12" ht="13.5" thickBot="1">
      <c r="B439" s="396" t="s">
        <v>17</v>
      </c>
      <c r="C439" s="156">
        <f>SUM(C435:C438)</f>
        <v>458117.07900000003</v>
      </c>
      <c r="D439" s="156">
        <f>SUM(D435:D438)</f>
        <v>519.84745695588629</v>
      </c>
      <c r="E439" s="375"/>
      <c r="F439" s="424"/>
      <c r="G439" s="424"/>
      <c r="I439" s="391" t="s">
        <v>97</v>
      </c>
      <c r="J439" s="392">
        <f>C455-184632</f>
        <v>493579.42000000004</v>
      </c>
      <c r="K439" s="392"/>
      <c r="L439" s="393"/>
    </row>
    <row r="440" spans="2:12">
      <c r="B440" s="394" t="s">
        <v>18</v>
      </c>
      <c r="C440" s="155">
        <v>802109.26800000004</v>
      </c>
      <c r="D440" s="286">
        <f>C440/$D$431</f>
        <v>910.19191880106166</v>
      </c>
      <c r="E440" s="375"/>
      <c r="F440" s="423"/>
      <c r="G440" s="423"/>
    </row>
    <row r="441" spans="2:12">
      <c r="B441" s="394" t="s">
        <v>19</v>
      </c>
      <c r="C441" s="155">
        <v>3465769.7119999998</v>
      </c>
      <c r="D441" s="286">
        <f>C441/$D$431</f>
        <v>3932.7753837746236</v>
      </c>
      <c r="E441" s="375"/>
      <c r="F441" s="423"/>
      <c r="G441" s="423"/>
    </row>
    <row r="442" spans="2:12">
      <c r="B442" s="394" t="s">
        <v>20</v>
      </c>
      <c r="C442" s="352">
        <f>1093269.288</f>
        <v>1093269.2879999999</v>
      </c>
      <c r="D442" s="286">
        <f>C442/$D$431</f>
        <v>1240.5851804856472</v>
      </c>
      <c r="E442" s="375"/>
      <c r="F442" s="423"/>
      <c r="G442" s="423"/>
    </row>
    <row r="443" spans="2:12">
      <c r="B443" s="394" t="s">
        <v>15</v>
      </c>
      <c r="C443" s="155">
        <f>4650.24</f>
        <v>4650.24</v>
      </c>
      <c r="D443" s="286">
        <f>C443/$D$431</f>
        <v>5.2768507201508212</v>
      </c>
      <c r="E443" s="375"/>
    </row>
    <row r="444" spans="2:12">
      <c r="B444" s="396" t="s">
        <v>22</v>
      </c>
      <c r="C444" s="156">
        <f>SUM(C440:C443)</f>
        <v>5365798.5079999994</v>
      </c>
      <c r="D444" s="156">
        <f>SUM(D440:D443)</f>
        <v>6088.8293337814839</v>
      </c>
      <c r="E444" s="375"/>
    </row>
    <row r="445" spans="2:12">
      <c r="B445" s="397" t="s">
        <v>23</v>
      </c>
      <c r="C445" s="304">
        <f>C444+C439</f>
        <v>5823915.5869999994</v>
      </c>
      <c r="D445" s="304">
        <f>D444+D439</f>
        <v>6608.6767907373705</v>
      </c>
      <c r="E445" s="398">
        <f>+C445/C455</f>
        <v>8.587168271215484</v>
      </c>
    </row>
    <row r="446" spans="2:12">
      <c r="B446" s="386" t="s">
        <v>24</v>
      </c>
      <c r="C446" s="304">
        <f>Model!$N$252</f>
        <v>1077819.1440000001</v>
      </c>
      <c r="D446" s="286">
        <f>C446/$D$431</f>
        <v>1223.0531598818002</v>
      </c>
      <c r="E446" s="387"/>
    </row>
    <row r="447" spans="2:12">
      <c r="B447" s="397" t="s">
        <v>14</v>
      </c>
      <c r="C447" s="304">
        <f>+C445-C446</f>
        <v>4746096.442999999</v>
      </c>
      <c r="D447" s="304">
        <f>+D445-D446</f>
        <v>5385.6236308555708</v>
      </c>
      <c r="E447" s="398">
        <f>+C447/C455</f>
        <v>6.9979600800588093</v>
      </c>
    </row>
    <row r="448" spans="2:12">
      <c r="B448" s="376"/>
      <c r="C448" s="84"/>
      <c r="D448" s="84"/>
      <c r="E448" s="377"/>
    </row>
    <row r="449" spans="2:5">
      <c r="B449" s="386" t="s">
        <v>25</v>
      </c>
      <c r="C449" s="308">
        <f>Model!$N272</f>
        <v>316015.56</v>
      </c>
      <c r="D449" s="286">
        <f>C449/$D$431</f>
        <v>358.59803695397773</v>
      </c>
      <c r="E449" s="385"/>
    </row>
    <row r="450" spans="2:5">
      <c r="B450" s="386" t="s">
        <v>26</v>
      </c>
      <c r="C450" s="308">
        <f>Model!$N273</f>
        <v>348360.092</v>
      </c>
      <c r="D450" s="286">
        <f>C450/$D$431</f>
        <v>395.30093120828315</v>
      </c>
      <c r="E450" s="399"/>
    </row>
    <row r="451" spans="2:5">
      <c r="B451" s="386" t="s">
        <v>27</v>
      </c>
      <c r="C451" s="308">
        <f>Model!$N274</f>
        <v>26571.465</v>
      </c>
      <c r="D451" s="286">
        <f>C451/$D$431</f>
        <v>30.151917797944268</v>
      </c>
      <c r="E451" s="399"/>
    </row>
    <row r="452" spans="2:5">
      <c r="B452" s="371" t="s">
        <v>28</v>
      </c>
      <c r="C452" s="45">
        <f>C449+C450+C451</f>
        <v>690947.11699999997</v>
      </c>
      <c r="D452" s="45">
        <f>D449+D450+D451</f>
        <v>784.05088596020516</v>
      </c>
      <c r="E452" s="372"/>
    </row>
    <row r="453" spans="2:5">
      <c r="B453" s="376" t="s">
        <v>29</v>
      </c>
      <c r="C453" s="288">
        <f>Model!$N$290</f>
        <v>7456511.2439999999</v>
      </c>
      <c r="D453" s="286">
        <f>C453/$D$431</f>
        <v>8461.2615107422625</v>
      </c>
      <c r="E453" s="377"/>
    </row>
    <row r="454" spans="2:5">
      <c r="B454" s="376" t="s">
        <v>30</v>
      </c>
      <c r="C454" s="288">
        <f>C453+C445+C452</f>
        <v>13971373.948000001</v>
      </c>
      <c r="D454" s="288">
        <f>D453+D445+D452</f>
        <v>15853.989187439838</v>
      </c>
      <c r="E454" s="377"/>
    </row>
    <row r="455" spans="2:5" ht="13.5" thickBot="1">
      <c r="B455" s="400" t="s">
        <v>79</v>
      </c>
      <c r="C455" s="401">
        <f>Model!$N$204</f>
        <v>678211.42</v>
      </c>
      <c r="D455" s="401"/>
      <c r="E455" s="402"/>
    </row>
    <row r="457" spans="2:5">
      <c r="B457" s="176" t="s">
        <v>32</v>
      </c>
      <c r="C457" s="274">
        <f>C445-Model!$N$260</f>
        <v>0</v>
      </c>
    </row>
    <row r="458" spans="2:5" ht="13.5" thickBot="1"/>
    <row r="459" spans="2:5">
      <c r="B459" s="403" t="s">
        <v>98</v>
      </c>
      <c r="C459" s="404">
        <f>Model!$AW$289</f>
        <v>5519458.2000000002</v>
      </c>
      <c r="D459" s="405"/>
    </row>
    <row r="460" spans="2:5">
      <c r="B460" s="406" t="s">
        <v>34</v>
      </c>
      <c r="C460" s="290">
        <f>C459+Model!$AW$283</f>
        <v>10828744.42</v>
      </c>
      <c r="D460" s="407"/>
    </row>
    <row r="461" spans="2:5">
      <c r="B461" s="408" t="s">
        <v>35</v>
      </c>
      <c r="C461" s="43">
        <f>C460/C463</f>
        <v>14.617951278645325</v>
      </c>
      <c r="D461" s="372"/>
    </row>
    <row r="462" spans="2:5">
      <c r="B462" s="406"/>
      <c r="D462" s="409"/>
    </row>
    <row r="463" spans="2:5" ht="13.5" thickBot="1">
      <c r="B463" s="410" t="s">
        <v>36</v>
      </c>
      <c r="C463" s="411">
        <f>Model!$AW$223</f>
        <v>740784.00000000012</v>
      </c>
      <c r="D463" s="412"/>
    </row>
    <row r="466" spans="2:4" ht="13.5" thickBot="1"/>
    <row r="467" spans="2:4">
      <c r="B467" s="267" t="s">
        <v>37</v>
      </c>
      <c r="C467" s="278" t="s">
        <v>38</v>
      </c>
      <c r="D467" s="279" t="s">
        <v>5</v>
      </c>
    </row>
    <row r="468" spans="2:4">
      <c r="B468" s="268" t="s">
        <v>39</v>
      </c>
      <c r="C468" s="269">
        <v>0</v>
      </c>
      <c r="D468" s="270">
        <v>0</v>
      </c>
    </row>
    <row r="469" spans="2:4">
      <c r="B469" s="104" t="s">
        <v>40</v>
      </c>
      <c r="C469" s="290">
        <f>C446</f>
        <v>1077819.1440000001</v>
      </c>
      <c r="D469" s="365">
        <f>D446</f>
        <v>1223.0531598818002</v>
      </c>
    </row>
    <row r="470" spans="2:4" ht="13.5" thickBot="1">
      <c r="B470" s="271" t="s">
        <v>41</v>
      </c>
      <c r="C470" s="272">
        <f>C468+C469</f>
        <v>1077819.1440000001</v>
      </c>
      <c r="D470" s="273">
        <f>D468+D469</f>
        <v>1223.0531598818002</v>
      </c>
    </row>
    <row r="471" spans="2:4">
      <c r="D471" s="264"/>
    </row>
    <row r="472" spans="2:4">
      <c r="C472" s="36"/>
    </row>
    <row r="473" spans="2:4" ht="13.5" thickBot="1"/>
    <row r="474" spans="2:4">
      <c r="B474" s="323" t="s">
        <v>99</v>
      </c>
      <c r="C474" s="368" t="s">
        <v>58</v>
      </c>
      <c r="D474" s="369" t="s">
        <v>59</v>
      </c>
    </row>
    <row r="475" spans="2:4">
      <c r="B475" s="89">
        <v>2024</v>
      </c>
      <c r="C475" s="322">
        <v>5537.55</v>
      </c>
      <c r="D475" s="421">
        <f t="shared" ref="D475:D480" si="4">C475/$D$431</f>
        <v>6.2837240024968999</v>
      </c>
    </row>
    <row r="476" spans="2:4">
      <c r="B476" s="89">
        <v>2025</v>
      </c>
      <c r="C476" s="322">
        <v>212561.24</v>
      </c>
      <c r="D476" s="421">
        <f t="shared" si="4"/>
        <v>241.20345022410706</v>
      </c>
    </row>
    <row r="477" spans="2:4">
      <c r="B477" s="89">
        <v>2026</v>
      </c>
      <c r="C477" s="322">
        <v>295688.93</v>
      </c>
      <c r="D477" s="421">
        <f t="shared" si="4"/>
        <v>335.53243342518363</v>
      </c>
    </row>
    <row r="478" spans="2:4">
      <c r="B478" s="89">
        <v>2027</v>
      </c>
      <c r="C478" s="322">
        <v>401468.47</v>
      </c>
      <c r="D478" s="421">
        <f t="shared" si="4"/>
        <v>455.56555898993355</v>
      </c>
    </row>
    <row r="479" spans="2:4">
      <c r="B479" s="89">
        <v>2028</v>
      </c>
      <c r="C479" s="322">
        <v>98592.19</v>
      </c>
      <c r="D479" s="421">
        <f t="shared" si="4"/>
        <v>111.8772942477693</v>
      </c>
    </row>
    <row r="480" spans="2:4" ht="13.5" thickBot="1">
      <c r="B480" s="91" t="s">
        <v>82</v>
      </c>
      <c r="C480" s="425">
        <f>1670965.09-SUM(C475:C479)</f>
        <v>657116.7100000002</v>
      </c>
      <c r="D480" s="421">
        <f t="shared" si="4"/>
        <v>745.6618979636836</v>
      </c>
    </row>
    <row r="481" spans="1:12" ht="13.5" thickBot="1">
      <c r="B481" s="417" t="s">
        <v>44</v>
      </c>
      <c r="C481" s="378">
        <f>SUM(C475:C480)</f>
        <v>1670965.09</v>
      </c>
      <c r="D481" s="419">
        <f>SUM(D475:D480)</f>
        <v>1896.1243588531738</v>
      </c>
    </row>
    <row r="482" spans="1:12">
      <c r="B482" s="80"/>
      <c r="C482" s="121"/>
      <c r="D482" s="121"/>
    </row>
    <row r="483" spans="1:12">
      <c r="B483" s="80"/>
      <c r="C483" s="121"/>
      <c r="D483" s="121"/>
    </row>
    <row r="484" spans="1:12">
      <c r="A484" s="80" t="s">
        <v>100</v>
      </c>
      <c r="C484" s="80" t="s">
        <v>101</v>
      </c>
      <c r="D484" s="292">
        <f>Model!$AV$382</f>
        <v>890.7</v>
      </c>
    </row>
    <row r="485" spans="1:12" ht="13.5" thickBot="1"/>
    <row r="486" spans="1:12" ht="13.5" thickBot="1">
      <c r="I486" s="381" t="s">
        <v>8</v>
      </c>
      <c r="J486" s="379"/>
      <c r="K486" s="379"/>
      <c r="L486" s="380"/>
    </row>
    <row r="487" spans="1:12">
      <c r="B487" s="382" t="s">
        <v>102</v>
      </c>
      <c r="C487" s="383" t="s">
        <v>4</v>
      </c>
      <c r="D487" s="383" t="s">
        <v>5</v>
      </c>
      <c r="E487" s="384" t="s">
        <v>48</v>
      </c>
      <c r="I487" s="382" t="s">
        <v>102</v>
      </c>
      <c r="J487" s="383" t="s">
        <v>4</v>
      </c>
      <c r="K487" s="383" t="s">
        <v>5</v>
      </c>
      <c r="L487" s="384" t="s">
        <v>48</v>
      </c>
    </row>
    <row r="488" spans="1:12">
      <c r="B488" s="394" t="s">
        <v>9</v>
      </c>
      <c r="C488" s="155">
        <v>298295.36700000003</v>
      </c>
      <c r="D488" s="286">
        <f>C488/$D$484</f>
        <v>334.89992926911418</v>
      </c>
      <c r="E488" s="395"/>
      <c r="I488" s="376" t="s">
        <v>10</v>
      </c>
      <c r="J488" s="85">
        <f>+C498-C495-C490-C491-C496</f>
        <v>4539221.4189999998</v>
      </c>
      <c r="K488" s="85">
        <f>J488/$D$484</f>
        <v>5096.2405063433253</v>
      </c>
      <c r="L488" s="377">
        <f>J488/J492</f>
        <v>10.357949647883061</v>
      </c>
    </row>
    <row r="489" spans="1:12">
      <c r="B489" s="394" t="s">
        <v>11</v>
      </c>
      <c r="C489" s="352">
        <v>68134.868000000002</v>
      </c>
      <c r="D489" s="286">
        <f>C489/$D$484</f>
        <v>76.495866172673175</v>
      </c>
      <c r="E489" s="395"/>
      <c r="I489" s="373" t="s">
        <v>12</v>
      </c>
      <c r="J489" s="85">
        <f>Model!AV252+351741</f>
        <v>1001580.183</v>
      </c>
      <c r="K489" s="85">
        <f>J489/$D$484</f>
        <v>1124.4865644998315</v>
      </c>
      <c r="L489" s="374"/>
    </row>
    <row r="490" spans="1:12">
      <c r="B490" s="394" t="s">
        <v>13</v>
      </c>
      <c r="C490" s="352">
        <v>110505.15300000001</v>
      </c>
      <c r="D490" s="286">
        <f>C490/$D$484</f>
        <v>124.06551364095655</v>
      </c>
      <c r="E490" s="395"/>
      <c r="I490" s="376" t="s">
        <v>14</v>
      </c>
      <c r="J490" s="85">
        <f>+J488-J489</f>
        <v>3537641.2359999996</v>
      </c>
      <c r="K490" s="85">
        <f>J490/$D$484</f>
        <v>3971.7539418434931</v>
      </c>
      <c r="L490" s="377">
        <f>J490/J492</f>
        <v>8.0724658289163731</v>
      </c>
    </row>
    <row r="491" spans="1:12">
      <c r="B491" s="394" t="s">
        <v>15</v>
      </c>
      <c r="C491" s="155">
        <v>58067.023999999998</v>
      </c>
      <c r="D491" s="286">
        <f>C491/$D$484</f>
        <v>65.192572134276404</v>
      </c>
      <c r="E491" s="395"/>
      <c r="I491" s="388"/>
      <c r="J491" s="389"/>
      <c r="K491" s="389"/>
      <c r="L491" s="390"/>
    </row>
    <row r="492" spans="1:12" ht="13.5" thickBot="1">
      <c r="B492" s="396" t="s">
        <v>17</v>
      </c>
      <c r="C492" s="156">
        <f>SUM(C488:C491)</f>
        <v>535002.41200000001</v>
      </c>
      <c r="D492" s="156">
        <f>SUM(D488:D491)</f>
        <v>600.65388121702028</v>
      </c>
      <c r="E492" s="375"/>
      <c r="I492" s="391" t="s">
        <v>103</v>
      </c>
      <c r="J492" s="392">
        <f>C508-181999</f>
        <v>438235.51699999988</v>
      </c>
      <c r="K492" s="392"/>
      <c r="L492" s="393"/>
    </row>
    <row r="493" spans="1:12">
      <c r="B493" s="394" t="s">
        <v>18</v>
      </c>
      <c r="C493" s="155">
        <v>708766.16099999996</v>
      </c>
      <c r="D493" s="286">
        <f>C493/$D$484</f>
        <v>795.74060963287297</v>
      </c>
      <c r="E493" s="375"/>
    </row>
    <row r="494" spans="1:12">
      <c r="B494" s="394" t="s">
        <v>19</v>
      </c>
      <c r="C494" s="155">
        <v>3464025.023</v>
      </c>
      <c r="D494" s="286">
        <f>C494/$D$484</f>
        <v>3889.1041012686651</v>
      </c>
      <c r="E494" s="375"/>
    </row>
    <row r="495" spans="1:12">
      <c r="B495" s="394" t="s">
        <v>20</v>
      </c>
      <c r="C495" s="352">
        <v>1092635.6769999999</v>
      </c>
      <c r="D495" s="286">
        <f>C495/$D$484</f>
        <v>1226.7157033793644</v>
      </c>
      <c r="E495" s="375"/>
    </row>
    <row r="496" spans="1:12">
      <c r="B496" s="394" t="s">
        <v>15</v>
      </c>
      <c r="C496" s="155">
        <v>1336.59</v>
      </c>
      <c r="D496" s="286">
        <f>C496/$D$484</f>
        <v>1.5006062647356011</v>
      </c>
      <c r="E496" s="375"/>
    </row>
    <row r="497" spans="2:5">
      <c r="B497" s="396" t="s">
        <v>22</v>
      </c>
      <c r="C497" s="156">
        <f>SUM(C493:C496)</f>
        <v>5266763.4509999994</v>
      </c>
      <c r="D497" s="156">
        <f>SUM(D493:D496)</f>
        <v>5913.0610205456378</v>
      </c>
      <c r="E497" s="375"/>
    </row>
    <row r="498" spans="2:5">
      <c r="B498" s="397" t="s">
        <v>23</v>
      </c>
      <c r="C498" s="304">
        <f>C497+C492</f>
        <v>5801765.8629999999</v>
      </c>
      <c r="D498" s="304">
        <f>D497+D492</f>
        <v>6513.714901762658</v>
      </c>
      <c r="E498" s="398">
        <f>+C498/C508</f>
        <v>9.3541486389091126</v>
      </c>
    </row>
    <row r="499" spans="2:5">
      <c r="B499" s="386" t="s">
        <v>24</v>
      </c>
      <c r="C499" s="304">
        <f>Model!$AV$252</f>
        <v>649839.18299999996</v>
      </c>
      <c r="D499" s="286">
        <f>C499/$D$484</f>
        <v>729.58255641630171</v>
      </c>
      <c r="E499" s="387"/>
    </row>
    <row r="500" spans="2:5">
      <c r="B500" s="397" t="s">
        <v>14</v>
      </c>
      <c r="C500" s="304">
        <f>+C498-C499</f>
        <v>5151926.68</v>
      </c>
      <c r="D500" s="304">
        <f>+D498-D499</f>
        <v>5784.1323453463565</v>
      </c>
      <c r="E500" s="398">
        <f>+C500/C508</f>
        <v>8.3064172321773579</v>
      </c>
    </row>
    <row r="501" spans="2:5">
      <c r="B501" s="376"/>
      <c r="C501" s="84"/>
      <c r="D501" s="84"/>
      <c r="E501" s="377"/>
    </row>
    <row r="502" spans="2:5">
      <c r="B502" s="386" t="s">
        <v>25</v>
      </c>
      <c r="C502" s="308">
        <f>Model!$AV$272</f>
        <v>284091.34299999999</v>
      </c>
      <c r="D502" s="286">
        <f>C502/$D$484</f>
        <v>318.95289435275623</v>
      </c>
      <c r="E502" s="385"/>
    </row>
    <row r="503" spans="2:5">
      <c r="B503" s="386" t="s">
        <v>26</v>
      </c>
      <c r="C503" s="308">
        <f>Model!$AV$273</f>
        <v>245948.37100000001</v>
      </c>
      <c r="D503" s="286">
        <f>C503/$D$484</f>
        <v>276.12930391826654</v>
      </c>
      <c r="E503" s="399"/>
    </row>
    <row r="504" spans="2:5">
      <c r="B504" s="386" t="s">
        <v>27</v>
      </c>
      <c r="C504" s="308">
        <f>Model!$AV$274</f>
        <v>27127.433000000001</v>
      </c>
      <c r="D504" s="286">
        <f>C504/$D$484</f>
        <v>30.4563073986752</v>
      </c>
      <c r="E504" s="399"/>
    </row>
    <row r="505" spans="2:5">
      <c r="B505" s="371" t="s">
        <v>28</v>
      </c>
      <c r="C505" s="45">
        <f>C502+C503+C504</f>
        <v>557167.147</v>
      </c>
      <c r="D505" s="45">
        <f>D502+D503+D504</f>
        <v>625.538505669698</v>
      </c>
      <c r="E505" s="372"/>
    </row>
    <row r="506" spans="2:5">
      <c r="B506" s="376" t="s">
        <v>29</v>
      </c>
      <c r="C506" s="288">
        <f>Model!$AV$290</f>
        <v>6645064.7300000004</v>
      </c>
      <c r="D506" s="286">
        <f>C506/$D$484</f>
        <v>7460.4970584933199</v>
      </c>
      <c r="E506" s="377"/>
    </row>
    <row r="507" spans="2:5">
      <c r="B507" s="376" t="s">
        <v>30</v>
      </c>
      <c r="C507" s="288">
        <f>C506+C498+C505</f>
        <v>13003997.74</v>
      </c>
      <c r="D507" s="288">
        <f>D506+D498+D505</f>
        <v>14599.750465925676</v>
      </c>
      <c r="E507" s="377"/>
    </row>
    <row r="508" spans="2:5" ht="13.5" thickBot="1">
      <c r="B508" s="400" t="s">
        <v>104</v>
      </c>
      <c r="C508" s="401">
        <f>Model!$AV$204</f>
        <v>620234.51699999988</v>
      </c>
      <c r="D508" s="401"/>
      <c r="E508" s="402"/>
    </row>
    <row r="510" spans="2:5">
      <c r="B510" s="176" t="s">
        <v>32</v>
      </c>
      <c r="C510" s="274">
        <f>C498-Model!$AV$260</f>
        <v>0</v>
      </c>
    </row>
    <row r="511" spans="2:5" ht="13.5" thickBot="1"/>
    <row r="512" spans="2:5">
      <c r="B512" s="403" t="s">
        <v>105</v>
      </c>
      <c r="C512" s="404">
        <f>Model!$AU$289</f>
        <v>4829525.9000000004</v>
      </c>
      <c r="D512" s="405"/>
    </row>
    <row r="513" spans="2:4">
      <c r="B513" s="406" t="s">
        <v>34</v>
      </c>
      <c r="C513" s="290">
        <f>C512+Model!$AV$283</f>
        <v>9985318.0800000001</v>
      </c>
      <c r="D513" s="407"/>
    </row>
    <row r="514" spans="2:4">
      <c r="B514" s="408" t="s">
        <v>35</v>
      </c>
      <c r="C514" s="43">
        <f>C513/C516</f>
        <v>14.824095595669156</v>
      </c>
      <c r="D514" s="372"/>
    </row>
    <row r="515" spans="2:4">
      <c r="B515" s="406"/>
      <c r="D515" s="409"/>
    </row>
    <row r="516" spans="2:4" ht="13.5" thickBot="1">
      <c r="B516" s="410" t="s">
        <v>36</v>
      </c>
      <c r="C516" s="411">
        <f>Model!$AV$223</f>
        <v>673587</v>
      </c>
      <c r="D516" s="412"/>
    </row>
    <row r="519" spans="2:4" ht="13.5" thickBot="1"/>
    <row r="520" spans="2:4">
      <c r="B520" s="267" t="s">
        <v>37</v>
      </c>
      <c r="C520" s="278" t="s">
        <v>38</v>
      </c>
      <c r="D520" s="279" t="s">
        <v>5</v>
      </c>
    </row>
    <row r="521" spans="2:4">
      <c r="B521" s="268" t="s">
        <v>39</v>
      </c>
      <c r="C521" s="269">
        <v>0</v>
      </c>
      <c r="D521" s="270">
        <v>0</v>
      </c>
    </row>
    <row r="522" spans="2:4">
      <c r="B522" s="104" t="s">
        <v>40</v>
      </c>
      <c r="C522" s="290">
        <f>C499</f>
        <v>649839.18299999996</v>
      </c>
      <c r="D522" s="365">
        <f>D499</f>
        <v>729.58255641630171</v>
      </c>
    </row>
    <row r="523" spans="2:4" ht="13.5" thickBot="1">
      <c r="B523" s="271" t="s">
        <v>41</v>
      </c>
      <c r="C523" s="272">
        <f>C521+C522</f>
        <v>649839.18299999996</v>
      </c>
      <c r="D523" s="273">
        <f>D521+D522</f>
        <v>729.58255641630171</v>
      </c>
    </row>
    <row r="524" spans="2:4">
      <c r="D524" s="264"/>
    </row>
    <row r="525" spans="2:4">
      <c r="C525" s="36"/>
    </row>
    <row r="526" spans="2:4" ht="13.5" thickBot="1"/>
    <row r="527" spans="2:4">
      <c r="B527" s="323" t="s">
        <v>106</v>
      </c>
      <c r="C527" s="368" t="s">
        <v>58</v>
      </c>
      <c r="D527" s="369" t="s">
        <v>59</v>
      </c>
    </row>
    <row r="528" spans="2:4">
      <c r="B528" s="89">
        <v>2023</v>
      </c>
      <c r="C528" s="321">
        <v>139975</v>
      </c>
      <c r="D528" s="421">
        <f>C528/$D$484</f>
        <v>157.15167845514762</v>
      </c>
    </row>
    <row r="529" spans="1:12">
      <c r="B529" s="89">
        <v>2024</v>
      </c>
      <c r="C529" s="321">
        <v>6849.51</v>
      </c>
      <c r="D529" s="421">
        <f t="shared" ref="D529:D534" si="5">C529/$D$484</f>
        <v>7.6900303132367798</v>
      </c>
    </row>
    <row r="530" spans="1:12">
      <c r="B530" s="89">
        <v>2025</v>
      </c>
      <c r="C530" s="321">
        <v>197472</v>
      </c>
      <c r="D530" s="421">
        <f t="shared" si="5"/>
        <v>221.70427753452338</v>
      </c>
    </row>
    <row r="531" spans="1:12">
      <c r="B531" s="89">
        <v>2026</v>
      </c>
      <c r="C531" s="321">
        <v>9199</v>
      </c>
      <c r="D531" s="421">
        <f t="shared" si="5"/>
        <v>10.327832042213988</v>
      </c>
    </row>
    <row r="532" spans="1:12">
      <c r="B532" s="89">
        <v>2027</v>
      </c>
      <c r="C532" s="321">
        <v>372997</v>
      </c>
      <c r="D532" s="421">
        <f t="shared" si="5"/>
        <v>418.76838441675085</v>
      </c>
    </row>
    <row r="533" spans="1:12">
      <c r="B533" s="89">
        <v>2028</v>
      </c>
      <c r="C533" s="321">
        <v>57140</v>
      </c>
      <c r="D533" s="421">
        <f t="shared" si="5"/>
        <v>64.151790726394964</v>
      </c>
    </row>
    <row r="534" spans="1:12" ht="13.5" thickBot="1">
      <c r="B534" s="91" t="s">
        <v>82</v>
      </c>
      <c r="C534" s="420">
        <f>1254119.66-SUM(C528:C533)</f>
        <v>470487.14999999991</v>
      </c>
      <c r="D534" s="421">
        <f t="shared" si="5"/>
        <v>528.22179184910726</v>
      </c>
    </row>
    <row r="535" spans="1:12" ht="13.5" thickBot="1">
      <c r="B535" s="417" t="s">
        <v>44</v>
      </c>
      <c r="C535" s="378">
        <f>SUM(C528:C534)</f>
        <v>1254119.6599999999</v>
      </c>
      <c r="D535" s="419">
        <f>SUM(D528:D534)</f>
        <v>1408.0157853373748</v>
      </c>
    </row>
    <row r="536" spans="1:12">
      <c r="B536" s="80"/>
      <c r="C536" s="121"/>
      <c r="D536" s="121"/>
    </row>
    <row r="537" spans="1:12">
      <c r="B537" s="80"/>
      <c r="C537" s="121"/>
      <c r="D537" s="121"/>
    </row>
    <row r="538" spans="1:12">
      <c r="B538" s="80"/>
      <c r="C538" s="121"/>
      <c r="D538" s="121"/>
    </row>
    <row r="539" spans="1:12">
      <c r="A539" s="80" t="s">
        <v>107</v>
      </c>
      <c r="C539" s="80" t="s">
        <v>108</v>
      </c>
      <c r="D539" s="292">
        <f>Model!AU382</f>
        <v>801.50170000000003</v>
      </c>
    </row>
    <row r="540" spans="1:12" ht="13.5" thickBot="1"/>
    <row r="541" spans="1:12" ht="13.5" thickBot="1">
      <c r="I541" s="381" t="s">
        <v>8</v>
      </c>
      <c r="J541" s="379"/>
      <c r="K541" s="379"/>
      <c r="L541" s="380"/>
    </row>
    <row r="542" spans="1:12">
      <c r="B542" s="382" t="s">
        <v>109</v>
      </c>
      <c r="C542" s="383" t="s">
        <v>4</v>
      </c>
      <c r="D542" s="383" t="s">
        <v>5</v>
      </c>
      <c r="E542" s="384" t="s">
        <v>48</v>
      </c>
      <c r="I542" s="382" t="s">
        <v>109</v>
      </c>
      <c r="J542" s="383" t="s">
        <v>4</v>
      </c>
      <c r="K542" s="383" t="s">
        <v>5</v>
      </c>
      <c r="L542" s="384" t="s">
        <v>48</v>
      </c>
    </row>
    <row r="543" spans="1:12">
      <c r="B543" s="394" t="s">
        <v>9</v>
      </c>
      <c r="C543" s="155">
        <v>345104.97399999999</v>
      </c>
      <c r="D543" s="286">
        <f>C543/$D$539</f>
        <v>430.5729781982995</v>
      </c>
      <c r="E543" s="395"/>
      <c r="I543" s="376" t="s">
        <v>10</v>
      </c>
      <c r="J543" s="85">
        <f>+C553-C550-C545</f>
        <v>4455076.2750000004</v>
      </c>
      <c r="K543" s="85">
        <f>J543/$D$539</f>
        <v>5558.411510543272</v>
      </c>
      <c r="L543" s="377">
        <f>J543/J547</f>
        <v>7.1401032589343094</v>
      </c>
    </row>
    <row r="544" spans="1:12">
      <c r="B544" s="394" t="s">
        <v>11</v>
      </c>
      <c r="C544" s="352">
        <v>66268.660999999993</v>
      </c>
      <c r="D544" s="286">
        <f t="shared" ref="D544:D551" si="6">C544/$D$539</f>
        <v>82.680624382955131</v>
      </c>
      <c r="E544" s="395"/>
      <c r="I544" s="373" t="s">
        <v>24</v>
      </c>
      <c r="J544" s="85">
        <f>Model!AU252-Model!AU296</f>
        <v>181813.27799999999</v>
      </c>
      <c r="K544" s="85">
        <f>J544/$D$539</f>
        <v>226.84078898397843</v>
      </c>
      <c r="L544" s="374"/>
    </row>
    <row r="545" spans="2:12">
      <c r="B545" s="394" t="s">
        <v>13</v>
      </c>
      <c r="C545" s="352">
        <v>108151.97900000001</v>
      </c>
      <c r="D545" s="286">
        <f t="shared" si="6"/>
        <v>134.93668073317875</v>
      </c>
      <c r="E545" s="395"/>
      <c r="I545" s="376" t="s">
        <v>14</v>
      </c>
      <c r="J545" s="85">
        <f>+J543-J544</f>
        <v>4273262.9970000004</v>
      </c>
      <c r="K545" s="85">
        <f>J545/$D$539</f>
        <v>5331.5707215592938</v>
      </c>
      <c r="L545" s="377">
        <f>J545/J547</f>
        <v>6.8487130562457299</v>
      </c>
    </row>
    <row r="546" spans="2:12">
      <c r="B546" s="394" t="s">
        <v>15</v>
      </c>
      <c r="C546" s="155">
        <v>54686.512999999999</v>
      </c>
      <c r="D546" s="286">
        <f t="shared" si="6"/>
        <v>68.230064889444392</v>
      </c>
      <c r="E546" s="395"/>
      <c r="I546" s="388"/>
      <c r="J546" s="389"/>
      <c r="K546" s="389"/>
      <c r="L546" s="390"/>
    </row>
    <row r="547" spans="2:12" ht="13.5" thickBot="1">
      <c r="B547" s="396" t="s">
        <v>17</v>
      </c>
      <c r="C547" s="156">
        <f>SUM(C543:C546)</f>
        <v>574212.12699999998</v>
      </c>
      <c r="D547" s="156">
        <f>SUM(D543:D546)</f>
        <v>716.42034820387778</v>
      </c>
      <c r="E547" s="375"/>
      <c r="I547" s="391" t="s">
        <v>110</v>
      </c>
      <c r="J547" s="392">
        <f>C563</f>
        <v>623951.23900000006</v>
      </c>
      <c r="K547" s="392"/>
      <c r="L547" s="393"/>
    </row>
    <row r="548" spans="2:12">
      <c r="B548" s="394" t="s">
        <v>18</v>
      </c>
      <c r="C548" s="155">
        <v>642043.15599999996</v>
      </c>
      <c r="D548" s="286">
        <f t="shared" si="6"/>
        <v>801.05027350534624</v>
      </c>
      <c r="E548" s="375"/>
    </row>
    <row r="549" spans="2:12">
      <c r="B549" s="394" t="s">
        <v>19</v>
      </c>
      <c r="C549" s="155">
        <v>3335031.01</v>
      </c>
      <c r="D549" s="286">
        <f t="shared" si="6"/>
        <v>4160.9780865093608</v>
      </c>
      <c r="E549" s="375"/>
    </row>
    <row r="550" spans="2:12">
      <c r="B550" s="394" t="s">
        <v>20</v>
      </c>
      <c r="C550" s="352">
        <v>1051660.963</v>
      </c>
      <c r="D550" s="286">
        <f t="shared" si="6"/>
        <v>1312.113203253343</v>
      </c>
      <c r="E550" s="375"/>
    </row>
    <row r="551" spans="2:12">
      <c r="B551" s="394" t="s">
        <v>15</v>
      </c>
      <c r="C551" s="155">
        <v>11941.960999999999</v>
      </c>
      <c r="D551" s="286">
        <f t="shared" si="6"/>
        <v>14.899483057865003</v>
      </c>
      <c r="E551" s="375"/>
    </row>
    <row r="552" spans="2:12">
      <c r="B552" s="396" t="s">
        <v>22</v>
      </c>
      <c r="C552" s="156">
        <f>SUM(C548:C551)</f>
        <v>5040677.09</v>
      </c>
      <c r="D552" s="156">
        <f>SUM(D548:D551)</f>
        <v>6289.041046325915</v>
      </c>
      <c r="E552" s="375"/>
    </row>
    <row r="553" spans="2:12">
      <c r="B553" s="397" t="s">
        <v>23</v>
      </c>
      <c r="C553" s="304">
        <f>C552+C547</f>
        <v>5614889.2170000002</v>
      </c>
      <c r="D553" s="304">
        <f>D552+D547</f>
        <v>7005.4613945297924</v>
      </c>
      <c r="E553" s="398">
        <f>+C553/C563</f>
        <v>8.9989230985403967</v>
      </c>
    </row>
    <row r="554" spans="2:12">
      <c r="B554" s="386" t="s">
        <v>24</v>
      </c>
      <c r="C554" s="304">
        <f>Model!AU252</f>
        <v>403296.81</v>
      </c>
      <c r="D554" s="286">
        <f>C554/$D$539</f>
        <v>503.17648733620899</v>
      </c>
      <c r="E554" s="387"/>
    </row>
    <row r="555" spans="2:12">
      <c r="B555" s="397" t="s">
        <v>14</v>
      </c>
      <c r="C555" s="304">
        <f>+C553-C554</f>
        <v>5211592.4070000006</v>
      </c>
      <c r="D555" s="304">
        <f>+D553-D554</f>
        <v>6502.2849071935834</v>
      </c>
      <c r="E555" s="398">
        <f>+C555/C563</f>
        <v>8.3525635999257943</v>
      </c>
    </row>
    <row r="556" spans="2:12">
      <c r="B556" s="376"/>
      <c r="C556" s="84"/>
      <c r="D556" s="84"/>
      <c r="E556" s="377"/>
    </row>
    <row r="557" spans="2:12">
      <c r="B557" s="386" t="s">
        <v>25</v>
      </c>
      <c r="C557" s="308">
        <f>Model!AU272</f>
        <v>281946.69699999999</v>
      </c>
      <c r="D557" s="286">
        <f>C557/$D$539</f>
        <v>351.77304926489859</v>
      </c>
      <c r="E557" s="385"/>
    </row>
    <row r="558" spans="2:12">
      <c r="B558" s="386" t="s">
        <v>26</v>
      </c>
      <c r="C558" s="308">
        <f>Model!AU273</f>
        <v>215929.62</v>
      </c>
      <c r="D558" s="286">
        <f>C558/$D$539</f>
        <v>269.40631566969853</v>
      </c>
      <c r="E558" s="399"/>
    </row>
    <row r="559" spans="2:12">
      <c r="B559" s="386" t="s">
        <v>27</v>
      </c>
      <c r="C559" s="308">
        <f>Model!AU274</f>
        <v>24529.714</v>
      </c>
      <c r="D559" s="286">
        <f>C559/$D$539</f>
        <v>30.604693664405204</v>
      </c>
      <c r="E559" s="399"/>
    </row>
    <row r="560" spans="2:12">
      <c r="B560" s="371" t="s">
        <v>28</v>
      </c>
      <c r="C560" s="45">
        <f>C557+C558+C559</f>
        <v>522406.03099999996</v>
      </c>
      <c r="D560" s="45">
        <f>D557+D558+D559</f>
        <v>651.78405859900226</v>
      </c>
      <c r="E560" s="372"/>
    </row>
    <row r="561" spans="2:5">
      <c r="B561" s="376" t="s">
        <v>29</v>
      </c>
      <c r="C561" s="288">
        <f>Model!AU290</f>
        <v>7061869.9069999997</v>
      </c>
      <c r="D561" s="286">
        <f>C561/$D$539</f>
        <v>8810.7984137775366</v>
      </c>
      <c r="E561" s="377"/>
    </row>
    <row r="562" spans="2:5">
      <c r="B562" s="376" t="s">
        <v>30</v>
      </c>
      <c r="C562" s="288">
        <f>C561+C553+C560</f>
        <v>13199165.154999999</v>
      </c>
      <c r="D562" s="288">
        <f>D561+D553+D560</f>
        <v>16468.04386690633</v>
      </c>
      <c r="E562" s="377"/>
    </row>
    <row r="563" spans="2:5" ht="13.5" thickBot="1">
      <c r="B563" s="400" t="s">
        <v>104</v>
      </c>
      <c r="C563" s="401">
        <f>Model!AU204</f>
        <v>623951.23900000006</v>
      </c>
      <c r="D563" s="401"/>
      <c r="E563" s="402"/>
    </row>
    <row r="565" spans="2:5">
      <c r="B565" s="176" t="s">
        <v>32</v>
      </c>
      <c r="C565" s="274">
        <f>C553-Model!AU260</f>
        <v>0</v>
      </c>
    </row>
    <row r="566" spans="2:5" ht="13.5" thickBot="1"/>
    <row r="567" spans="2:5">
      <c r="B567" s="403" t="s">
        <v>105</v>
      </c>
      <c r="C567" s="404">
        <f>Model!AT289</f>
        <v>4586177.8</v>
      </c>
      <c r="D567" s="405"/>
    </row>
    <row r="568" spans="2:5">
      <c r="B568" s="406" t="s">
        <v>34</v>
      </c>
      <c r="C568" s="290">
        <f>C567+Model!AU283</f>
        <v>9563660.1059999987</v>
      </c>
      <c r="D568" s="407"/>
    </row>
    <row r="569" spans="2:5">
      <c r="B569" s="408" t="s">
        <v>35</v>
      </c>
      <c r="C569" s="43">
        <f>C568/C571</f>
        <v>14.244970524493906</v>
      </c>
      <c r="D569" s="372"/>
    </row>
    <row r="570" spans="2:5">
      <c r="B570" s="406"/>
      <c r="D570" s="409"/>
    </row>
    <row r="571" spans="2:5" ht="13.5" thickBot="1">
      <c r="B571" s="410" t="s">
        <v>36</v>
      </c>
      <c r="C571" s="411">
        <f>Model!AU223</f>
        <v>671371</v>
      </c>
      <c r="D571" s="412"/>
    </row>
    <row r="574" spans="2:5" ht="13.5" thickBot="1"/>
    <row r="575" spans="2:5">
      <c r="B575" s="267" t="s">
        <v>37</v>
      </c>
      <c r="C575" s="278" t="s">
        <v>38</v>
      </c>
      <c r="D575" s="279" t="s">
        <v>5</v>
      </c>
    </row>
    <row r="576" spans="2:5">
      <c r="B576" s="268" t="s">
        <v>39</v>
      </c>
      <c r="C576" s="269">
        <v>0</v>
      </c>
      <c r="D576" s="270">
        <v>0</v>
      </c>
    </row>
    <row r="577" spans="2:4">
      <c r="B577" s="104" t="s">
        <v>40</v>
      </c>
      <c r="C577" s="290">
        <f>C554</f>
        <v>403296.81</v>
      </c>
      <c r="D577" s="365">
        <f>D554</f>
        <v>503.17648733620899</v>
      </c>
    </row>
    <row r="578" spans="2:4" ht="13.5" thickBot="1">
      <c r="B578" s="271" t="s">
        <v>41</v>
      </c>
      <c r="C578" s="272">
        <f>C576+C577</f>
        <v>403296.81</v>
      </c>
      <c r="D578" s="273">
        <f>D576+D577</f>
        <v>503.17648733620899</v>
      </c>
    </row>
    <row r="579" spans="2:4">
      <c r="D579" s="264"/>
    </row>
    <row r="580" spans="2:4">
      <c r="C580" s="36"/>
    </row>
    <row r="581" spans="2:4" ht="13.5" thickBot="1"/>
    <row r="582" spans="2:4">
      <c r="B582" s="323" t="s">
        <v>111</v>
      </c>
      <c r="C582" s="368" t="s">
        <v>58</v>
      </c>
      <c r="D582" s="369" t="s">
        <v>59</v>
      </c>
    </row>
    <row r="583" spans="2:4">
      <c r="B583" s="89">
        <v>2023</v>
      </c>
      <c r="C583" s="353">
        <f>D583*$D$539</f>
        <v>1546.898281</v>
      </c>
      <c r="D583" s="367">
        <v>1.93</v>
      </c>
    </row>
    <row r="584" spans="2:4">
      <c r="B584" s="89">
        <v>2024</v>
      </c>
      <c r="C584" s="353">
        <f t="shared" ref="C584:C589" si="7">D584*$D$539</f>
        <v>6195.6081410000006</v>
      </c>
      <c r="D584" s="367">
        <v>7.73</v>
      </c>
    </row>
    <row r="585" spans="2:4">
      <c r="B585" s="89">
        <v>2025</v>
      </c>
      <c r="C585" s="353">
        <f t="shared" si="7"/>
        <v>174206.39449500002</v>
      </c>
      <c r="D585" s="367">
        <v>217.35</v>
      </c>
    </row>
    <row r="586" spans="2:4">
      <c r="B586" s="89">
        <v>2026</v>
      </c>
      <c r="C586" s="353">
        <f t="shared" si="7"/>
        <v>253170.34197900002</v>
      </c>
      <c r="D586" s="367">
        <f>305.49+10.38</f>
        <v>315.87</v>
      </c>
    </row>
    <row r="587" spans="2:4">
      <c r="B587" s="89">
        <v>2027</v>
      </c>
      <c r="C587" s="353">
        <f t="shared" si="7"/>
        <v>328928.28266299999</v>
      </c>
      <c r="D587" s="367">
        <v>410.39</v>
      </c>
    </row>
    <row r="588" spans="2:4">
      <c r="B588" s="89">
        <v>2028</v>
      </c>
      <c r="C588" s="353">
        <f t="shared" si="7"/>
        <v>51688.844633000001</v>
      </c>
      <c r="D588" s="367">
        <v>64.489999999999995</v>
      </c>
    </row>
    <row r="589" spans="2:4" ht="13.5" thickBot="1">
      <c r="B589" s="91" t="s">
        <v>82</v>
      </c>
      <c r="C589" s="416">
        <f t="shared" si="7"/>
        <v>538488.91714499996</v>
      </c>
      <c r="D589" s="415">
        <f>1689.61-SUM(D583:D588)</f>
        <v>671.84999999999991</v>
      </c>
    </row>
    <row r="590" spans="2:4" ht="13.5" thickBot="1">
      <c r="B590" s="417" t="s">
        <v>44</v>
      </c>
      <c r="C590" s="378">
        <f>SUM(C583:C589)</f>
        <v>1354225.287337</v>
      </c>
      <c r="D590" s="418">
        <f>SUM(D583:D589)</f>
        <v>1689.61</v>
      </c>
    </row>
    <row r="591" spans="2:4">
      <c r="B591" s="80"/>
      <c r="C591" s="121"/>
      <c r="D591" s="121"/>
    </row>
    <row r="592" spans="2:4">
      <c r="B592" s="80"/>
      <c r="C592" s="121"/>
      <c r="D592" s="121"/>
    </row>
    <row r="593" spans="1:12">
      <c r="B593" s="80"/>
      <c r="C593" s="121"/>
      <c r="D593" s="121"/>
    </row>
    <row r="594" spans="1:12">
      <c r="A594" s="80" t="s">
        <v>112</v>
      </c>
      <c r="C594" s="80" t="s">
        <v>113</v>
      </c>
      <c r="D594" s="292">
        <f>Model!AT382</f>
        <v>790.04</v>
      </c>
    </row>
    <row r="595" spans="1:12" ht="13.5" thickBot="1"/>
    <row r="596" spans="1:12" ht="13.5" thickBot="1">
      <c r="I596" s="381" t="s">
        <v>8</v>
      </c>
      <c r="J596" s="379"/>
      <c r="K596" s="379"/>
      <c r="L596" s="380"/>
    </row>
    <row r="597" spans="1:12">
      <c r="B597" s="382" t="s">
        <v>114</v>
      </c>
      <c r="C597" s="383" t="s">
        <v>4</v>
      </c>
      <c r="D597" s="383" t="s">
        <v>5</v>
      </c>
      <c r="E597" s="384" t="s">
        <v>48</v>
      </c>
      <c r="I597" s="382" t="s">
        <v>114</v>
      </c>
      <c r="J597" s="383" t="s">
        <v>4</v>
      </c>
      <c r="K597" s="383" t="s">
        <v>5</v>
      </c>
      <c r="L597" s="384" t="s">
        <v>48</v>
      </c>
    </row>
    <row r="598" spans="1:12">
      <c r="B598" s="394" t="s">
        <v>9</v>
      </c>
      <c r="C598" s="155">
        <v>346273.853</v>
      </c>
      <c r="D598" s="286">
        <f>C598/$D$594</f>
        <v>438.29914054984562</v>
      </c>
      <c r="E598" s="395"/>
      <c r="I598" s="376" t="s">
        <v>10</v>
      </c>
      <c r="J598" s="85">
        <f>+C608-C605-C600</f>
        <v>4455998.9070000006</v>
      </c>
      <c r="K598" s="85">
        <f>J598/$D$594</f>
        <v>5640.2193648422872</v>
      </c>
      <c r="L598" s="377">
        <f>J598/J602</f>
        <v>6.6499715235345054</v>
      </c>
    </row>
    <row r="599" spans="1:12">
      <c r="B599" s="394" t="s">
        <v>11</v>
      </c>
      <c r="C599" s="352">
        <v>311032.62800000003</v>
      </c>
      <c r="D599" s="286">
        <f>C599/$D$594</f>
        <v>393.69225355678196</v>
      </c>
      <c r="E599" s="395"/>
      <c r="I599" s="373" t="s">
        <v>24</v>
      </c>
      <c r="J599" s="85">
        <f>Model!AT252-Model!AT296</f>
        <v>210030.353</v>
      </c>
      <c r="K599" s="85">
        <f>J599/$D$594</f>
        <v>265.84774568376287</v>
      </c>
      <c r="L599" s="374"/>
    </row>
    <row r="600" spans="1:12">
      <c r="B600" s="394" t="s">
        <v>13</v>
      </c>
      <c r="C600" s="352">
        <v>102548.80100000001</v>
      </c>
      <c r="D600" s="286">
        <f>C600/$D$594</f>
        <v>129.80203660574151</v>
      </c>
      <c r="E600" s="395"/>
      <c r="I600" s="376" t="s">
        <v>14</v>
      </c>
      <c r="J600" s="85">
        <f>+J598-J599</f>
        <v>4245968.5540000005</v>
      </c>
      <c r="K600" s="85">
        <f>J600/$D$594</f>
        <v>5374.3716191585245</v>
      </c>
      <c r="L600" s="377">
        <f>J600/J602</f>
        <v>6.3365298248990296</v>
      </c>
    </row>
    <row r="601" spans="1:12">
      <c r="B601" s="394" t="s">
        <v>15</v>
      </c>
      <c r="C601" s="155">
        <v>69376.055999999997</v>
      </c>
      <c r="D601" s="286">
        <f>C601/$D$594</f>
        <v>87.813346159688123</v>
      </c>
      <c r="E601" s="395"/>
      <c r="I601" s="388"/>
      <c r="J601" s="389"/>
      <c r="K601" s="389"/>
      <c r="L601" s="390"/>
    </row>
    <row r="602" spans="1:12" ht="13.5" thickBot="1">
      <c r="B602" s="396" t="s">
        <v>17</v>
      </c>
      <c r="C602" s="156">
        <f>SUM(C598:C601)</f>
        <v>829231.33799999999</v>
      </c>
      <c r="D602" s="156">
        <f>SUM(D598:D601)</f>
        <v>1049.6067768720573</v>
      </c>
      <c r="E602" s="375"/>
      <c r="I602" s="391" t="s">
        <v>115</v>
      </c>
      <c r="J602" s="392">
        <f>C618</f>
        <v>670077.89299999992</v>
      </c>
      <c r="K602" s="392"/>
      <c r="L602" s="393"/>
    </row>
    <row r="603" spans="1:12">
      <c r="B603" s="394" t="s">
        <v>18</v>
      </c>
      <c r="C603" s="155">
        <v>433501.98499999999</v>
      </c>
      <c r="D603" s="286">
        <f>C603/$D$594</f>
        <v>548.70890714394204</v>
      </c>
      <c r="E603" s="375"/>
    </row>
    <row r="604" spans="1:12">
      <c r="B604" s="394" t="s">
        <v>19</v>
      </c>
      <c r="C604" s="155">
        <v>3295814.3849999998</v>
      </c>
      <c r="D604" s="286">
        <f>C604/$D$594</f>
        <v>4171.7057174320289</v>
      </c>
      <c r="E604" s="375"/>
    </row>
    <row r="605" spans="1:12">
      <c r="B605" s="394" t="s">
        <v>20</v>
      </c>
      <c r="C605" s="352">
        <v>1039007.5429999999</v>
      </c>
      <c r="D605" s="286">
        <f>C605/$D$594</f>
        <v>1315.1328325148095</v>
      </c>
      <c r="E605" s="375"/>
    </row>
    <row r="606" spans="1:12">
      <c r="B606" s="394" t="s">
        <v>15</v>
      </c>
      <c r="C606" s="155">
        <v>0</v>
      </c>
      <c r="D606" s="286">
        <f>C606/$D$594</f>
        <v>0</v>
      </c>
      <c r="E606" s="375"/>
    </row>
    <row r="607" spans="1:12">
      <c r="B607" s="396" t="s">
        <v>22</v>
      </c>
      <c r="C607" s="156">
        <f>SUM(C603:C606)</f>
        <v>4768323.9129999997</v>
      </c>
      <c r="D607" s="156">
        <f>SUM(D603:D606)</f>
        <v>6035.5474570907809</v>
      </c>
      <c r="E607" s="375"/>
    </row>
    <row r="608" spans="1:12">
      <c r="B608" s="397" t="s">
        <v>23</v>
      </c>
      <c r="C608" s="304">
        <f>C607+C602</f>
        <v>5597555.2510000002</v>
      </c>
      <c r="D608" s="304">
        <f>D607+D602</f>
        <v>7085.1542339628377</v>
      </c>
      <c r="E608" s="398">
        <f>+C608/C618</f>
        <v>8.353588902835213</v>
      </c>
    </row>
    <row r="609" spans="2:5">
      <c r="B609" s="386" t="s">
        <v>24</v>
      </c>
      <c r="C609" s="304">
        <f>Model!AT252</f>
        <v>524616.72100000002</v>
      </c>
      <c r="D609" s="286">
        <f>C609/$D$594</f>
        <v>664.03817654802299</v>
      </c>
      <c r="E609" s="387"/>
    </row>
    <row r="610" spans="2:5">
      <c r="B610" s="397" t="s">
        <v>14</v>
      </c>
      <c r="C610" s="304">
        <f>+C608-C609</f>
        <v>5072938.53</v>
      </c>
      <c r="D610" s="304">
        <f>+D608-D609</f>
        <v>6421.1160574148143</v>
      </c>
      <c r="E610" s="398">
        <f>+C610/C618</f>
        <v>7.5706698922538562</v>
      </c>
    </row>
    <row r="611" spans="2:5">
      <c r="B611" s="376"/>
      <c r="C611" s="84"/>
      <c r="D611" s="84"/>
      <c r="E611" s="377"/>
    </row>
    <row r="612" spans="2:5">
      <c r="B612" s="386" t="s">
        <v>25</v>
      </c>
      <c r="C612" s="308">
        <f>Model!AT272</f>
        <v>456343.15299999999</v>
      </c>
      <c r="D612" s="286">
        <f>C612/$D$594</f>
        <v>577.62031416130833</v>
      </c>
      <c r="E612" s="385"/>
    </row>
    <row r="613" spans="2:5">
      <c r="B613" s="386" t="s">
        <v>26</v>
      </c>
      <c r="C613" s="308">
        <f>Model!AT273</f>
        <v>207673.867</v>
      </c>
      <c r="D613" s="286">
        <f>C613/$D$594</f>
        <v>262.86500303782088</v>
      </c>
      <c r="E613" s="399"/>
    </row>
    <row r="614" spans="2:5">
      <c r="B614" s="386" t="s">
        <v>27</v>
      </c>
      <c r="C614" s="308">
        <f>Model!AT274</f>
        <v>24008.6</v>
      </c>
      <c r="D614" s="286">
        <f>C614/$D$594</f>
        <v>30.389094223077311</v>
      </c>
      <c r="E614" s="399"/>
    </row>
    <row r="615" spans="2:5">
      <c r="B615" s="371" t="s">
        <v>28</v>
      </c>
      <c r="C615" s="45">
        <f>C612+C613+C614</f>
        <v>688025.62</v>
      </c>
      <c r="D615" s="45">
        <f>D612+D613+D614</f>
        <v>870.87441142220655</v>
      </c>
      <c r="E615" s="372"/>
    </row>
    <row r="616" spans="2:5">
      <c r="B616" s="376" t="s">
        <v>29</v>
      </c>
      <c r="C616" s="288">
        <f>Model!AT290</f>
        <v>6208605.1540000001</v>
      </c>
      <c r="D616" s="286">
        <f>C616/$D$594</f>
        <v>7858.5959622297614</v>
      </c>
      <c r="E616" s="377"/>
    </row>
    <row r="617" spans="2:5">
      <c r="B617" s="376" t="s">
        <v>30</v>
      </c>
      <c r="C617" s="288">
        <f>C616+C608+C615</f>
        <v>12494186.025</v>
      </c>
      <c r="D617" s="288">
        <f>D616+D608+D615</f>
        <v>15814.624607614805</v>
      </c>
      <c r="E617" s="377"/>
    </row>
    <row r="618" spans="2:5" ht="13.5" thickBot="1">
      <c r="B618" s="400" t="s">
        <v>116</v>
      </c>
      <c r="C618" s="401">
        <f>Model!AT204</f>
        <v>670077.89299999992</v>
      </c>
      <c r="D618" s="401"/>
      <c r="E618" s="402"/>
    </row>
    <row r="620" spans="2:5">
      <c r="B620" s="176" t="s">
        <v>32</v>
      </c>
      <c r="C620" s="274">
        <f>C608-Model!AT260</f>
        <v>0</v>
      </c>
    </row>
    <row r="621" spans="2:5" ht="13.5" thickBot="1"/>
    <row r="622" spans="2:5">
      <c r="B622" s="403" t="s">
        <v>117</v>
      </c>
      <c r="C622" s="404">
        <f>Model!AT289</f>
        <v>4586177.8</v>
      </c>
      <c r="D622" s="405"/>
    </row>
    <row r="623" spans="2:5">
      <c r="B623" s="406" t="s">
        <v>34</v>
      </c>
      <c r="C623" s="290">
        <f>C622+Model!AT283</f>
        <v>9730202.3269999996</v>
      </c>
      <c r="D623" s="407"/>
    </row>
    <row r="624" spans="2:5">
      <c r="B624" s="408" t="s">
        <v>35</v>
      </c>
      <c r="C624" s="43">
        <f>C623/C626</f>
        <v>12.551180569422192</v>
      </c>
      <c r="D624" s="372"/>
    </row>
    <row r="625" spans="2:4">
      <c r="B625" s="406"/>
      <c r="D625" s="409"/>
    </row>
    <row r="626" spans="2:4" ht="13.5" thickBot="1">
      <c r="B626" s="410" t="s">
        <v>36</v>
      </c>
      <c r="C626" s="411">
        <f>Model!AT223</f>
        <v>775242.00000000012</v>
      </c>
      <c r="D626" s="412"/>
    </row>
    <row r="629" spans="2:4" ht="13.5" thickBot="1"/>
    <row r="630" spans="2:4">
      <c r="B630" s="267" t="s">
        <v>37</v>
      </c>
      <c r="C630" s="278" t="s">
        <v>38</v>
      </c>
      <c r="D630" s="279" t="s">
        <v>5</v>
      </c>
    </row>
    <row r="631" spans="2:4">
      <c r="B631" s="268" t="s">
        <v>39</v>
      </c>
      <c r="C631" s="269">
        <v>0</v>
      </c>
      <c r="D631" s="270">
        <v>0</v>
      </c>
    </row>
    <row r="632" spans="2:4">
      <c r="B632" s="104" t="s">
        <v>40</v>
      </c>
      <c r="C632" s="290">
        <f>C609</f>
        <v>524616.72100000002</v>
      </c>
      <c r="D632" s="365">
        <f>D609</f>
        <v>664.03817654802299</v>
      </c>
    </row>
    <row r="633" spans="2:4" ht="13.5" thickBot="1">
      <c r="B633" s="271" t="s">
        <v>41</v>
      </c>
      <c r="C633" s="272">
        <f>C631+C632</f>
        <v>524616.72100000002</v>
      </c>
      <c r="D633" s="273">
        <f>D631+D632</f>
        <v>664.03817654802299</v>
      </c>
    </row>
    <row r="634" spans="2:4">
      <c r="D634" s="264"/>
    </row>
    <row r="635" spans="2:4">
      <c r="C635" s="36"/>
    </row>
    <row r="636" spans="2:4" ht="13.5" thickBot="1"/>
    <row r="637" spans="2:4">
      <c r="B637" s="323" t="s">
        <v>118</v>
      </c>
      <c r="C637" s="368" t="s">
        <v>58</v>
      </c>
      <c r="D637" s="369" t="s">
        <v>59</v>
      </c>
    </row>
    <row r="638" spans="2:4">
      <c r="B638" s="89">
        <v>2023</v>
      </c>
      <c r="C638" s="353">
        <f t="shared" ref="C638:C643" si="8">D638*$D$594</f>
        <v>0</v>
      </c>
      <c r="D638" s="367"/>
    </row>
    <row r="639" spans="2:4">
      <c r="B639" s="89">
        <v>2024</v>
      </c>
      <c r="C639" s="353">
        <f t="shared" si="8"/>
        <v>0</v>
      </c>
      <c r="D639" s="367"/>
    </row>
    <row r="640" spans="2:4">
      <c r="B640" s="89">
        <v>2025</v>
      </c>
      <c r="C640" s="353">
        <f t="shared" si="8"/>
        <v>0</v>
      </c>
      <c r="D640" s="367"/>
    </row>
    <row r="641" spans="1:12">
      <c r="B641" s="89">
        <v>2026</v>
      </c>
      <c r="C641" s="353">
        <f t="shared" si="8"/>
        <v>0</v>
      </c>
      <c r="D641" s="367"/>
    </row>
    <row r="642" spans="1:12">
      <c r="B642" s="89">
        <v>2027</v>
      </c>
      <c r="C642" s="353">
        <f t="shared" si="8"/>
        <v>0</v>
      </c>
      <c r="D642" s="367"/>
    </row>
    <row r="643" spans="1:12">
      <c r="B643" s="89" t="s">
        <v>119</v>
      </c>
      <c r="C643" s="353">
        <f t="shared" si="8"/>
        <v>0</v>
      </c>
      <c r="D643" s="367"/>
    </row>
    <row r="644" spans="1:12" ht="13.5" thickBot="1">
      <c r="B644" s="91"/>
      <c r="C644" s="327"/>
      <c r="D644" s="328"/>
    </row>
    <row r="645" spans="1:12">
      <c r="B645" s="80" t="s">
        <v>44</v>
      </c>
      <c r="C645" s="121">
        <f>SUM(C638:C644)</f>
        <v>0</v>
      </c>
      <c r="D645" s="121">
        <f>SUM(D638:D644)</f>
        <v>0</v>
      </c>
    </row>
    <row r="646" spans="1:12">
      <c r="B646" s="80"/>
      <c r="C646" s="121"/>
      <c r="D646" s="121"/>
    </row>
    <row r="647" spans="1:12">
      <c r="B647" s="80"/>
      <c r="C647" s="121"/>
      <c r="D647" s="121"/>
    </row>
    <row r="648" spans="1:12">
      <c r="A648" s="80" t="s">
        <v>120</v>
      </c>
      <c r="C648" s="80" t="s">
        <v>121</v>
      </c>
      <c r="D648" s="292">
        <f>Model!AS382</f>
        <v>847.8</v>
      </c>
    </row>
    <row r="650" spans="1:12">
      <c r="I650" s="320" t="s">
        <v>8</v>
      </c>
    </row>
    <row r="651" spans="1:12">
      <c r="B651" s="285" t="s">
        <v>122</v>
      </c>
      <c r="C651" s="34" t="s">
        <v>4</v>
      </c>
      <c r="D651" s="34" t="s">
        <v>5</v>
      </c>
      <c r="E651" s="34" t="s">
        <v>48</v>
      </c>
      <c r="I651" s="285" t="s">
        <v>122</v>
      </c>
      <c r="J651" s="34" t="s">
        <v>4</v>
      </c>
      <c r="K651" s="34" t="s">
        <v>5</v>
      </c>
      <c r="L651" s="34" t="s">
        <v>48</v>
      </c>
    </row>
    <row r="652" spans="1:12">
      <c r="B652" s="111" t="s">
        <v>9</v>
      </c>
      <c r="C652" s="155">
        <v>582667.21100000001</v>
      </c>
      <c r="D652" s="286">
        <f>C652/$D$648</f>
        <v>687.26965204057569</v>
      </c>
      <c r="E652" s="112"/>
      <c r="I652" s="42" t="s">
        <v>10</v>
      </c>
      <c r="J652" s="295">
        <f>+C662-C659-C654</f>
        <v>4646310.5259999996</v>
      </c>
      <c r="K652" s="45">
        <f>J652/$D$648</f>
        <v>5480.4323260202873</v>
      </c>
      <c r="L652" s="43">
        <f>J652/J656</f>
        <v>6.143001213447234</v>
      </c>
    </row>
    <row r="653" spans="1:12">
      <c r="B653" s="111" t="s">
        <v>11</v>
      </c>
      <c r="C653" s="352">
        <v>322280.636</v>
      </c>
      <c r="D653" s="286">
        <f>C653/$D$648</f>
        <v>380.13757489974051</v>
      </c>
      <c r="E653" s="112"/>
      <c r="I653" s="41" t="s">
        <v>24</v>
      </c>
      <c r="J653" s="295">
        <f>Model!AS252-Model!AS296</f>
        <v>280178.01000000007</v>
      </c>
      <c r="K653" s="45">
        <f>J653/$D$648</f>
        <v>330.47653927813172</v>
      </c>
      <c r="L653" s="44"/>
    </row>
    <row r="654" spans="1:12">
      <c r="B654" s="111" t="s">
        <v>13</v>
      </c>
      <c r="C654" s="352">
        <v>103280.33900000001</v>
      </c>
      <c r="D654" s="286">
        <f>C654/$D$648</f>
        <v>121.8215841000236</v>
      </c>
      <c r="E654" s="112"/>
      <c r="I654" s="42" t="s">
        <v>14</v>
      </c>
      <c r="J654" s="295">
        <f>+J652-J653</f>
        <v>4366132.5159999998</v>
      </c>
      <c r="K654" s="45">
        <f>J654/$D$648</f>
        <v>5149.9557867421563</v>
      </c>
      <c r="L654" s="43">
        <f>J654/J656</f>
        <v>5.7725709880501057</v>
      </c>
    </row>
    <row r="655" spans="1:12">
      <c r="B655" s="111" t="s">
        <v>15</v>
      </c>
      <c r="C655" s="155">
        <v>70473.976999999999</v>
      </c>
      <c r="D655" s="286">
        <f>C655/$D$648</f>
        <v>83.125710073130463</v>
      </c>
      <c r="E655" s="112"/>
      <c r="I655" s="32"/>
      <c r="J655" s="32"/>
      <c r="K655" s="32"/>
      <c r="L655" s="32"/>
    </row>
    <row r="656" spans="1:12">
      <c r="B656" s="109" t="s">
        <v>17</v>
      </c>
      <c r="C656" s="156">
        <f>SUM(C652:C655)</f>
        <v>1078702.1630000002</v>
      </c>
      <c r="D656" s="156">
        <f>SUM(D652:D655)</f>
        <v>1272.3545211134701</v>
      </c>
      <c r="E656" s="110"/>
      <c r="I656" s="84" t="s">
        <v>123</v>
      </c>
      <c r="J656" s="295">
        <f>C672</f>
        <v>756358.39299999992</v>
      </c>
      <c r="K656" s="45"/>
      <c r="L656" s="43"/>
    </row>
    <row r="657" spans="2:5">
      <c r="B657" s="111" t="s">
        <v>18</v>
      </c>
      <c r="C657" s="155">
        <v>482063.98</v>
      </c>
      <c r="D657" s="286">
        <f>C657/$D$648</f>
        <v>568.60577966501535</v>
      </c>
      <c r="E657" s="110"/>
    </row>
    <row r="658" spans="2:5">
      <c r="B658" s="111" t="s">
        <v>19</v>
      </c>
      <c r="C658" s="155">
        <v>3188824.7220000001</v>
      </c>
      <c r="D658" s="286">
        <f>C658/$D$648</f>
        <v>3761.2936093418261</v>
      </c>
      <c r="E658" s="110"/>
    </row>
    <row r="659" spans="2:5">
      <c r="B659" s="111" t="s">
        <v>20</v>
      </c>
      <c r="C659" s="352">
        <v>1076202.28</v>
      </c>
      <c r="D659" s="286">
        <f>C659/$D$648</f>
        <v>1269.4058504364239</v>
      </c>
      <c r="E659" s="110"/>
    </row>
    <row r="660" spans="2:5">
      <c r="B660" s="111" t="s">
        <v>15</v>
      </c>
      <c r="C660" s="155">
        <v>0</v>
      </c>
      <c r="D660" s="286">
        <f>C660/$D$648</f>
        <v>0</v>
      </c>
      <c r="E660" s="110"/>
    </row>
    <row r="661" spans="2:5">
      <c r="B661" s="109" t="s">
        <v>22</v>
      </c>
      <c r="C661" s="156">
        <f>SUM(C657:C660)</f>
        <v>4747090.9819999998</v>
      </c>
      <c r="D661" s="156">
        <f>SUM(D657:D660)</f>
        <v>5599.3052394432652</v>
      </c>
      <c r="E661" s="110"/>
    </row>
    <row r="662" spans="2:5">
      <c r="B662" s="303" t="s">
        <v>23</v>
      </c>
      <c r="C662" s="304">
        <f>C661+C656</f>
        <v>5825793.1449999996</v>
      </c>
      <c r="D662" s="304">
        <f>D661+D656</f>
        <v>6871.6597605567349</v>
      </c>
      <c r="E662" s="305">
        <f>+C662/C672</f>
        <v>7.702424140350618</v>
      </c>
    </row>
    <row r="663" spans="2:5">
      <c r="B663" s="306" t="s">
        <v>24</v>
      </c>
      <c r="C663" s="304">
        <f>Model!AS252</f>
        <v>624072.76100000006</v>
      </c>
      <c r="D663" s="286">
        <f>C663/$D$648</f>
        <v>736.10847015805621</v>
      </c>
      <c r="E663" s="307"/>
    </row>
    <row r="664" spans="2:5">
      <c r="B664" s="303" t="s">
        <v>14</v>
      </c>
      <c r="C664" s="304">
        <f>+C662-C663</f>
        <v>5201720.3839999996</v>
      </c>
      <c r="D664" s="304">
        <f>+D662-D663</f>
        <v>6135.5512903986782</v>
      </c>
      <c r="E664" s="305">
        <f>+C664/C672</f>
        <v>6.8773222220329089</v>
      </c>
    </row>
    <row r="665" spans="2:5">
      <c r="B665" s="84"/>
      <c r="C665" s="84"/>
      <c r="D665" s="84"/>
      <c r="E665" s="86"/>
    </row>
    <row r="666" spans="2:5">
      <c r="B666" s="306" t="s">
        <v>25</v>
      </c>
      <c r="C666" s="308">
        <f>Model!AS272</f>
        <v>627607.00300000003</v>
      </c>
      <c r="D666" s="356">
        <f>C666/$D$648</f>
        <v>740.27719155461205</v>
      </c>
      <c r="E666" s="309"/>
    </row>
    <row r="667" spans="2:5">
      <c r="B667" s="306" t="s">
        <v>26</v>
      </c>
      <c r="C667" s="308">
        <f>Model!AS273</f>
        <v>204242.27799999999</v>
      </c>
      <c r="D667" s="356">
        <f>C667/$D$648</f>
        <v>240.90856098136354</v>
      </c>
      <c r="E667" s="310"/>
    </row>
    <row r="668" spans="2:5">
      <c r="B668" s="306" t="s">
        <v>27</v>
      </c>
      <c r="C668" s="308">
        <f>Model!AS274</f>
        <v>24882.984</v>
      </c>
      <c r="D668" s="356">
        <f>C668/$D$648</f>
        <v>29.350063694267519</v>
      </c>
      <c r="E668" s="310"/>
    </row>
    <row r="669" spans="2:5">
      <c r="B669" s="42" t="s">
        <v>28</v>
      </c>
      <c r="C669" s="45">
        <f>C666+C667+C668</f>
        <v>856732.26500000001</v>
      </c>
      <c r="D669" s="45">
        <f>D666+D667+D668</f>
        <v>1010.5358162302431</v>
      </c>
      <c r="E669" s="43"/>
    </row>
    <row r="670" spans="2:5">
      <c r="B670" s="84" t="s">
        <v>29</v>
      </c>
      <c r="C670" s="288">
        <f>Model!AS290</f>
        <v>6501101.6569999997</v>
      </c>
      <c r="D670" s="286">
        <f>C670/$D$648</f>
        <v>7668.2020016513325</v>
      </c>
      <c r="E670" s="86"/>
    </row>
    <row r="671" spans="2:5">
      <c r="B671" s="84" t="s">
        <v>30</v>
      </c>
      <c r="C671" s="288">
        <f>C670+C662+C669</f>
        <v>13183627.067</v>
      </c>
      <c r="D671" s="288">
        <f>D670+D662+D669</f>
        <v>15550.397578438311</v>
      </c>
      <c r="E671" s="86"/>
    </row>
    <row r="672" spans="2:5">
      <c r="B672" s="84" t="s">
        <v>124</v>
      </c>
      <c r="C672" s="288">
        <f>Model!AS204</f>
        <v>756358.39299999992</v>
      </c>
      <c r="D672" s="288"/>
      <c r="E672" s="41"/>
    </row>
    <row r="674" spans="2:4">
      <c r="B674" s="176" t="s">
        <v>32</v>
      </c>
      <c r="C674" s="274">
        <f>C662-Model!AS260</f>
        <v>0</v>
      </c>
    </row>
    <row r="676" spans="2:4">
      <c r="B676" s="33" t="s">
        <v>125</v>
      </c>
      <c r="C676" s="290">
        <f>Model!AS289</f>
        <v>4642184</v>
      </c>
      <c r="D676" s="237"/>
    </row>
    <row r="677" spans="2:4">
      <c r="B677" s="33" t="s">
        <v>34</v>
      </c>
      <c r="C677" s="290">
        <f>C676+Model!AS283</f>
        <v>10145226.791000001</v>
      </c>
      <c r="D677" s="165"/>
    </row>
    <row r="678" spans="2:4">
      <c r="B678" s="238" t="s">
        <v>35</v>
      </c>
      <c r="C678" s="43">
        <f>C677/C680</f>
        <v>10.787997242715475</v>
      </c>
      <c r="D678" s="43"/>
    </row>
    <row r="680" spans="2:4">
      <c r="B680" s="33" t="s">
        <v>36</v>
      </c>
      <c r="C680" s="290">
        <f>Model!AS223</f>
        <v>940418</v>
      </c>
      <c r="D680" s="237"/>
    </row>
    <row r="683" spans="2:4" ht="13.5" thickBot="1"/>
    <row r="684" spans="2:4">
      <c r="B684" s="267" t="s">
        <v>37</v>
      </c>
      <c r="C684" s="278" t="s">
        <v>38</v>
      </c>
      <c r="D684" s="279" t="s">
        <v>5</v>
      </c>
    </row>
    <row r="685" spans="2:4">
      <c r="B685" s="268" t="s">
        <v>39</v>
      </c>
      <c r="C685" s="269">
        <v>0</v>
      </c>
      <c r="D685" s="270">
        <v>0</v>
      </c>
    </row>
    <row r="686" spans="2:4">
      <c r="B686" s="104" t="s">
        <v>40</v>
      </c>
      <c r="C686" s="290">
        <f>C663</f>
        <v>624072.76100000006</v>
      </c>
      <c r="D686" s="365">
        <f>D663</f>
        <v>736.10847015805621</v>
      </c>
    </row>
    <row r="687" spans="2:4" ht="13.5" thickBot="1">
      <c r="B687" s="271" t="s">
        <v>41</v>
      </c>
      <c r="C687" s="272">
        <f>C685+C686</f>
        <v>624072.76100000006</v>
      </c>
      <c r="D687" s="273">
        <f>D685+D686</f>
        <v>736.10847015805621</v>
      </c>
    </row>
    <row r="688" spans="2:4">
      <c r="D688" s="264"/>
    </row>
    <row r="689" spans="1:9">
      <c r="C689" s="36"/>
    </row>
    <row r="690" spans="1:9" ht="13.5" thickBot="1"/>
    <row r="691" spans="1:9">
      <c r="B691" s="323" t="s">
        <v>126</v>
      </c>
      <c r="C691" s="368" t="s">
        <v>58</v>
      </c>
      <c r="D691" s="369" t="s">
        <v>59</v>
      </c>
    </row>
    <row r="692" spans="1:9">
      <c r="B692" s="89">
        <v>2023</v>
      </c>
      <c r="C692" s="353">
        <f t="shared" ref="C692:C697" si="9">D692*$D$648</f>
        <v>846952.2</v>
      </c>
      <c r="D692" s="367">
        <v>999</v>
      </c>
    </row>
    <row r="693" spans="1:9">
      <c r="B693" s="89">
        <v>2024</v>
      </c>
      <c r="C693" s="353">
        <f t="shared" si="9"/>
        <v>183124.8</v>
      </c>
      <c r="D693" s="367">
        <v>216</v>
      </c>
    </row>
    <row r="694" spans="1:9">
      <c r="B694" s="89">
        <v>2025</v>
      </c>
      <c r="C694" s="353">
        <f t="shared" si="9"/>
        <v>438312.6</v>
      </c>
      <c r="D694" s="367">
        <v>517</v>
      </c>
    </row>
    <row r="695" spans="1:9">
      <c r="B695" s="89">
        <v>2026</v>
      </c>
      <c r="C695" s="353">
        <f t="shared" si="9"/>
        <v>123778.79999999999</v>
      </c>
      <c r="D695" s="367">
        <v>146</v>
      </c>
    </row>
    <row r="696" spans="1:9">
      <c r="B696" s="89">
        <v>2027</v>
      </c>
      <c r="C696" s="353">
        <f t="shared" si="9"/>
        <v>414574.19999999995</v>
      </c>
      <c r="D696" s="367">
        <v>489</v>
      </c>
    </row>
    <row r="697" spans="1:9">
      <c r="B697" s="89" t="s">
        <v>119</v>
      </c>
      <c r="C697" s="353">
        <f t="shared" si="9"/>
        <v>2525596.1999999997</v>
      </c>
      <c r="D697" s="367">
        <v>2979</v>
      </c>
    </row>
    <row r="698" spans="1:9" ht="13.5" thickBot="1">
      <c r="B698" s="91"/>
      <c r="C698" s="327"/>
      <c r="D698" s="328"/>
    </row>
    <row r="699" spans="1:9">
      <c r="B699" s="80" t="s">
        <v>44</v>
      </c>
      <c r="C699" s="121">
        <f>SUM(C692:C698)</f>
        <v>4532338.8</v>
      </c>
      <c r="D699" s="121">
        <f>SUM(D692:D698)</f>
        <v>5346</v>
      </c>
    </row>
    <row r="700" spans="1:9">
      <c r="B700" s="80"/>
      <c r="C700" s="121"/>
      <c r="D700" s="121"/>
    </row>
    <row r="701" spans="1:9">
      <c r="B701" s="80"/>
      <c r="C701" s="121"/>
      <c r="D701" s="121"/>
    </row>
    <row r="702" spans="1:9">
      <c r="A702" s="80" t="s">
        <v>127</v>
      </c>
      <c r="C702" s="80" t="s">
        <v>128</v>
      </c>
      <c r="D702" s="292">
        <f>Model!AR382</f>
        <v>962.65</v>
      </c>
    </row>
    <row r="704" spans="1:9">
      <c r="I704" s="320" t="s">
        <v>8</v>
      </c>
    </row>
    <row r="705" spans="1:14">
      <c r="B705" s="285" t="s">
        <v>129</v>
      </c>
      <c r="C705" s="34" t="s">
        <v>4</v>
      </c>
      <c r="D705" s="34" t="s">
        <v>5</v>
      </c>
      <c r="E705" s="34" t="s">
        <v>48</v>
      </c>
      <c r="I705" s="285" t="s">
        <v>129</v>
      </c>
      <c r="J705" s="34" t="s">
        <v>4</v>
      </c>
      <c r="K705" s="34" t="s">
        <v>5</v>
      </c>
      <c r="L705" s="34" t="s">
        <v>48</v>
      </c>
    </row>
    <row r="706" spans="1:14">
      <c r="B706" s="111" t="s">
        <v>9</v>
      </c>
      <c r="C706" s="155">
        <v>720893.89500000002</v>
      </c>
      <c r="D706" s="286">
        <f>C706/$D$702</f>
        <v>748.86396405754954</v>
      </c>
      <c r="E706" s="112"/>
      <c r="I706" s="42" t="s">
        <v>10</v>
      </c>
      <c r="J706" s="295">
        <f>+C716-C713-C708</f>
        <v>5033273.4560000012</v>
      </c>
      <c r="K706" s="45">
        <f>J706/$D$702</f>
        <v>5228.5601786734551</v>
      </c>
      <c r="L706" s="43">
        <f>J706/J710</f>
        <v>5.4481621625113492</v>
      </c>
    </row>
    <row r="707" spans="1:14">
      <c r="B707" s="111" t="s">
        <v>11</v>
      </c>
      <c r="C707" s="352">
        <v>338728.34600000002</v>
      </c>
      <c r="D707" s="286">
        <f>C707/$D$702</f>
        <v>351.87071729081185</v>
      </c>
      <c r="E707" s="112"/>
      <c r="I707" s="41" t="s">
        <v>24</v>
      </c>
      <c r="J707" s="295">
        <f>Model!AR252-Model!AR296</f>
        <v>108615.19299999997</v>
      </c>
      <c r="K707" s="45">
        <f>J707/$D$702</f>
        <v>112.8293699683166</v>
      </c>
      <c r="L707" s="44"/>
    </row>
    <row r="708" spans="1:14">
      <c r="B708" s="111" t="s">
        <v>13</v>
      </c>
      <c r="C708" s="352">
        <v>105748.231</v>
      </c>
      <c r="D708" s="286">
        <f>C708/$D$702</f>
        <v>109.85117228483873</v>
      </c>
      <c r="E708" s="112"/>
      <c r="I708" s="42" t="s">
        <v>14</v>
      </c>
      <c r="J708" s="295">
        <f>+J706-J707</f>
        <v>4924658.2630000012</v>
      </c>
      <c r="K708" s="45">
        <f>J708/$D$702</f>
        <v>5115.7308087051379</v>
      </c>
      <c r="L708" s="43">
        <f>J708/J710</f>
        <v>5.3305939059980734</v>
      </c>
    </row>
    <row r="709" spans="1:14">
      <c r="B709" s="111" t="s">
        <v>15</v>
      </c>
      <c r="C709" s="155">
        <v>88421.108999999997</v>
      </c>
      <c r="D709" s="286">
        <f>C709/$D$702</f>
        <v>91.851772710746374</v>
      </c>
      <c r="E709" s="112"/>
      <c r="I709" s="32"/>
      <c r="J709" s="32"/>
      <c r="K709" s="32"/>
      <c r="L709" s="32"/>
    </row>
    <row r="710" spans="1:14">
      <c r="B710" s="109" t="s">
        <v>17</v>
      </c>
      <c r="C710" s="156">
        <f>SUM(C706:C709)</f>
        <v>1253791.5809999998</v>
      </c>
      <c r="D710" s="156">
        <f>SUM(D706:D709)</f>
        <v>1302.4376263439465</v>
      </c>
      <c r="E710" s="110"/>
      <c r="I710" s="84" t="s">
        <v>130</v>
      </c>
      <c r="J710" s="295">
        <f>C726</f>
        <v>923847.95200000005</v>
      </c>
      <c r="K710" s="45"/>
      <c r="L710" s="43"/>
    </row>
    <row r="711" spans="1:14">
      <c r="B711" s="111" t="s">
        <v>18</v>
      </c>
      <c r="C711" s="155">
        <v>565769.51899999997</v>
      </c>
      <c r="D711" s="286">
        <f>C711/$D$702</f>
        <v>587.72089440606658</v>
      </c>
      <c r="E711" s="110"/>
    </row>
    <row r="712" spans="1:14">
      <c r="B712" s="111" t="s">
        <v>19</v>
      </c>
      <c r="C712" s="155">
        <v>3291920.7220000001</v>
      </c>
      <c r="D712" s="286">
        <f>C712/$D$702</f>
        <v>3419.6444419051577</v>
      </c>
      <c r="E712" s="110"/>
    </row>
    <row r="713" spans="1:14">
      <c r="B713" s="111" t="s">
        <v>20</v>
      </c>
      <c r="C713" s="352">
        <v>1090577.156</v>
      </c>
      <c r="D713" s="286">
        <f>C713/$D$702</f>
        <v>1132.8906206824911</v>
      </c>
      <c r="E713" s="110"/>
    </row>
    <row r="714" spans="1:14">
      <c r="B714" s="111" t="s">
        <v>15</v>
      </c>
      <c r="C714" s="155">
        <v>27539.865000000002</v>
      </c>
      <c r="D714" s="286">
        <f>C714/$D$702</f>
        <v>28.608388303121593</v>
      </c>
      <c r="E714" s="110"/>
    </row>
    <row r="715" spans="1:14">
      <c r="B715" s="109" t="s">
        <v>22</v>
      </c>
      <c r="C715" s="156">
        <f>SUM(C711:C714)</f>
        <v>4975807.2620000001</v>
      </c>
      <c r="D715" s="156">
        <f>SUM(D711:D714)</f>
        <v>5168.8643452968372</v>
      </c>
      <c r="E715" s="110"/>
    </row>
    <row r="716" spans="1:14" s="32" customFormat="1">
      <c r="A716" s="33"/>
      <c r="B716" s="303" t="s">
        <v>23</v>
      </c>
      <c r="C716" s="304">
        <f>C715+C710</f>
        <v>6229598.8430000003</v>
      </c>
      <c r="D716" s="304">
        <f>D715+D710</f>
        <v>6471.3019716407834</v>
      </c>
      <c r="E716" s="305">
        <f>+C716/C726</f>
        <v>6.7430996946129511</v>
      </c>
      <c r="F716" s="33"/>
      <c r="G716" s="33"/>
      <c r="H716" s="33"/>
      <c r="I716" s="33"/>
      <c r="J716" s="33"/>
      <c r="K716" s="33"/>
      <c r="L716" s="33"/>
      <c r="M716" s="33"/>
      <c r="N716" s="33"/>
    </row>
    <row r="717" spans="1:14" s="32" customFormat="1">
      <c r="A717" s="33"/>
      <c r="B717" s="306" t="s">
        <v>24</v>
      </c>
      <c r="C717" s="304">
        <f>Model!AR252</f>
        <v>658219.54099999997</v>
      </c>
      <c r="D717" s="286">
        <f>C717/$D$702</f>
        <v>683.75789850932324</v>
      </c>
      <c r="E717" s="307"/>
      <c r="F717" s="33"/>
      <c r="G717" s="33"/>
      <c r="H717" s="33"/>
      <c r="I717" s="33"/>
      <c r="J717" s="33"/>
      <c r="K717" s="33"/>
      <c r="L717" s="33"/>
      <c r="M717" s="33"/>
      <c r="N717" s="33"/>
    </row>
    <row r="718" spans="1:14" s="32" customFormat="1">
      <c r="A718" s="33"/>
      <c r="B718" s="303" t="s">
        <v>14</v>
      </c>
      <c r="C718" s="304">
        <f>+C716-C717</f>
        <v>5571379.3020000001</v>
      </c>
      <c r="D718" s="304">
        <f>+D716-D717</f>
        <v>5787.5440731314602</v>
      </c>
      <c r="E718" s="305">
        <f>+C718/C726</f>
        <v>6.0306236431425244</v>
      </c>
      <c r="F718" s="33"/>
      <c r="G718" s="33"/>
      <c r="H718" s="33"/>
      <c r="I718" s="33"/>
      <c r="J718" s="33"/>
      <c r="K718" s="33"/>
      <c r="L718" s="33"/>
      <c r="M718" s="33"/>
      <c r="N718" s="33"/>
    </row>
    <row r="719" spans="1:14" s="32" customFormat="1">
      <c r="A719" s="33"/>
      <c r="B719" s="84"/>
      <c r="C719" s="84"/>
      <c r="D719" s="84"/>
      <c r="E719" s="86"/>
      <c r="F719" s="33"/>
      <c r="G719" s="33"/>
      <c r="H719" s="33"/>
      <c r="I719" s="33"/>
      <c r="J719" s="33"/>
      <c r="K719" s="33"/>
      <c r="L719" s="33"/>
      <c r="M719" s="33"/>
      <c r="N719" s="33"/>
    </row>
    <row r="720" spans="1:14" s="32" customFormat="1">
      <c r="A720" s="33"/>
      <c r="B720" s="306" t="s">
        <v>25</v>
      </c>
      <c r="C720" s="308">
        <f>Model!AR272</f>
        <v>676088.18</v>
      </c>
      <c r="D720" s="356">
        <f>C720/$D$702</f>
        <v>702.31982548174312</v>
      </c>
      <c r="E720" s="309"/>
      <c r="F720" s="33"/>
      <c r="G720" s="33"/>
      <c r="H720" s="33"/>
      <c r="I720" s="33"/>
      <c r="J720" s="33"/>
      <c r="K720" s="33"/>
      <c r="L720" s="33"/>
      <c r="M720" s="33"/>
      <c r="N720" s="33"/>
    </row>
    <row r="721" spans="1:14" s="32" customFormat="1">
      <c r="A721" s="33"/>
      <c r="B721" s="306" t="s">
        <v>26</v>
      </c>
      <c r="C721" s="308">
        <f>Model!AR273</f>
        <v>201880.60800000001</v>
      </c>
      <c r="D721" s="356">
        <f>C721/$D$702</f>
        <v>209.71340362540903</v>
      </c>
      <c r="E721" s="310"/>
      <c r="F721" s="33"/>
      <c r="G721" s="33"/>
      <c r="H721" s="33"/>
      <c r="I721" s="33"/>
      <c r="J721" s="33"/>
      <c r="K721" s="33"/>
      <c r="L721" s="33"/>
      <c r="M721" s="33"/>
      <c r="N721" s="33"/>
    </row>
    <row r="722" spans="1:14" s="32" customFormat="1">
      <c r="A722" s="33"/>
      <c r="B722" s="306" t="s">
        <v>27</v>
      </c>
      <c r="C722" s="308">
        <f>Model!AR274</f>
        <v>26875.983</v>
      </c>
      <c r="D722" s="356">
        <f>C722/$D$702</f>
        <v>27.918748247026439</v>
      </c>
      <c r="E722" s="310"/>
      <c r="F722" s="33"/>
      <c r="G722" s="33"/>
      <c r="H722" s="33"/>
      <c r="I722" s="33"/>
      <c r="J722" s="33"/>
      <c r="K722" s="33"/>
      <c r="L722" s="33"/>
      <c r="M722" s="33"/>
      <c r="N722" s="33"/>
    </row>
    <row r="723" spans="1:14" s="32" customFormat="1">
      <c r="A723" s="33"/>
      <c r="B723" s="42" t="s">
        <v>28</v>
      </c>
      <c r="C723" s="45">
        <f>C720+C721+C722</f>
        <v>904844.77100000007</v>
      </c>
      <c r="D723" s="45">
        <f>D720+D721+D722</f>
        <v>939.95197735417855</v>
      </c>
      <c r="E723" s="43"/>
      <c r="F723" s="33"/>
      <c r="G723" s="33"/>
      <c r="H723" s="33"/>
      <c r="I723" s="33"/>
      <c r="J723" s="33"/>
      <c r="K723" s="33"/>
      <c r="L723" s="33"/>
      <c r="M723" s="33"/>
      <c r="N723" s="33"/>
    </row>
    <row r="724" spans="1:14" s="32" customFormat="1">
      <c r="A724" s="33"/>
      <c r="B724" s="84" t="s">
        <v>29</v>
      </c>
      <c r="C724" s="288">
        <f>Model!AR290</f>
        <v>6855913.7980000004</v>
      </c>
      <c r="D724" s="286">
        <f>C724/$D$702</f>
        <v>7121.9174133901215</v>
      </c>
      <c r="E724" s="86"/>
      <c r="F724" s="33"/>
      <c r="G724" s="33"/>
      <c r="H724" s="33"/>
      <c r="I724" s="33"/>
      <c r="J724" s="33"/>
      <c r="K724" s="33"/>
      <c r="L724" s="33"/>
      <c r="M724" s="33"/>
      <c r="N724" s="33"/>
    </row>
    <row r="725" spans="1:14" s="32" customFormat="1">
      <c r="A725" s="33"/>
      <c r="B725" s="84" t="s">
        <v>30</v>
      </c>
      <c r="C725" s="288">
        <f>C724+C716+C723</f>
        <v>13990357.412</v>
      </c>
      <c r="D725" s="288">
        <f>D724+D716+D723</f>
        <v>14533.171362385083</v>
      </c>
      <c r="E725" s="86"/>
      <c r="F725" s="33"/>
      <c r="G725" s="33"/>
      <c r="H725" s="33"/>
      <c r="I725" s="33"/>
      <c r="J725" s="33"/>
      <c r="K725" s="33"/>
      <c r="L725" s="33"/>
      <c r="M725" s="33"/>
      <c r="N725" s="33"/>
    </row>
    <row r="726" spans="1:14" s="32" customFormat="1">
      <c r="A726" s="33"/>
      <c r="B726" s="84" t="s">
        <v>131</v>
      </c>
      <c r="C726" s="288">
        <f>Model!AR204</f>
        <v>923847.95200000005</v>
      </c>
      <c r="D726" s="288"/>
      <c r="E726" s="41"/>
      <c r="F726" s="33"/>
      <c r="G726" s="33"/>
      <c r="H726" s="33"/>
      <c r="I726" s="33"/>
      <c r="J726" s="33"/>
      <c r="K726" s="33"/>
      <c r="L726" s="33"/>
      <c r="M726" s="33"/>
      <c r="N726" s="33"/>
    </row>
    <row r="728" spans="1:14">
      <c r="B728" s="176" t="s">
        <v>32</v>
      </c>
      <c r="C728" s="274">
        <f>C716-Model!AR260</f>
        <v>0</v>
      </c>
    </row>
    <row r="730" spans="1:14">
      <c r="B730" s="33" t="s">
        <v>132</v>
      </c>
      <c r="C730" s="290">
        <f>Model!AR289</f>
        <v>4650000</v>
      </c>
      <c r="D730" s="237"/>
    </row>
    <row r="731" spans="1:14">
      <c r="B731" s="33" t="s">
        <v>34</v>
      </c>
      <c r="C731" s="290">
        <f>C730+Model!AR283</f>
        <v>10588118.227</v>
      </c>
      <c r="D731" s="165"/>
    </row>
    <row r="732" spans="1:14">
      <c r="B732" s="238" t="s">
        <v>35</v>
      </c>
      <c r="C732" s="43">
        <f>C731/C734</f>
        <v>8.8336715534423647</v>
      </c>
      <c r="D732" s="43"/>
    </row>
    <row r="734" spans="1:14">
      <c r="B734" s="33" t="s">
        <v>36</v>
      </c>
      <c r="C734" s="290">
        <f>Model!AR223</f>
        <v>1198609</v>
      </c>
      <c r="D734" s="237"/>
    </row>
    <row r="737" spans="2:4" ht="13.5" thickBot="1"/>
    <row r="738" spans="2:4">
      <c r="B738" s="267" t="s">
        <v>37</v>
      </c>
      <c r="C738" s="278" t="s">
        <v>38</v>
      </c>
      <c r="D738" s="279" t="s">
        <v>5</v>
      </c>
    </row>
    <row r="739" spans="2:4">
      <c r="B739" s="268" t="s">
        <v>39</v>
      </c>
      <c r="C739" s="269">
        <v>0</v>
      </c>
      <c r="D739" s="270">
        <v>0</v>
      </c>
    </row>
    <row r="740" spans="2:4">
      <c r="B740" s="104" t="s">
        <v>40</v>
      </c>
      <c r="C740" s="290">
        <f>C717</f>
        <v>658219.54099999997</v>
      </c>
      <c r="D740" s="365">
        <f>D717</f>
        <v>683.75789850932324</v>
      </c>
    </row>
    <row r="741" spans="2:4" ht="13.5" thickBot="1">
      <c r="B741" s="271" t="s">
        <v>41</v>
      </c>
      <c r="C741" s="272">
        <f>C739+C740</f>
        <v>658219.54099999997</v>
      </c>
      <c r="D741" s="273">
        <f>D739+D740</f>
        <v>683.75789850932324</v>
      </c>
    </row>
    <row r="742" spans="2:4">
      <c r="D742" s="264"/>
    </row>
    <row r="743" spans="2:4">
      <c r="C743" s="36"/>
    </row>
    <row r="744" spans="2:4" ht="13.5" thickBot="1"/>
    <row r="745" spans="2:4">
      <c r="B745" s="323" t="s">
        <v>133</v>
      </c>
      <c r="C745" s="368" t="s">
        <v>58</v>
      </c>
      <c r="D745" s="369" t="s">
        <v>59</v>
      </c>
    </row>
    <row r="746" spans="2:4">
      <c r="B746" s="89">
        <v>2022</v>
      </c>
      <c r="C746" s="353">
        <f t="shared" ref="C746:C751" si="10">D746*$D$702</f>
        <v>453408.14999999997</v>
      </c>
      <c r="D746" s="367">
        <v>471</v>
      </c>
    </row>
    <row r="747" spans="2:4">
      <c r="B747" s="89">
        <v>2023</v>
      </c>
      <c r="C747" s="353">
        <f t="shared" si="10"/>
        <v>602618.9</v>
      </c>
      <c r="D747" s="367">
        <v>626</v>
      </c>
    </row>
    <row r="748" spans="2:4">
      <c r="B748" s="89">
        <v>2024</v>
      </c>
      <c r="C748" s="353">
        <f t="shared" si="10"/>
        <v>212745.65</v>
      </c>
      <c r="D748" s="367">
        <v>221</v>
      </c>
    </row>
    <row r="749" spans="2:4">
      <c r="B749" s="89">
        <v>2025</v>
      </c>
      <c r="C749" s="353">
        <f t="shared" si="10"/>
        <v>482287.64999999997</v>
      </c>
      <c r="D749" s="367">
        <v>501</v>
      </c>
    </row>
    <row r="750" spans="2:4">
      <c r="B750" s="89">
        <v>2026</v>
      </c>
      <c r="C750" s="353">
        <f t="shared" si="10"/>
        <v>134771</v>
      </c>
      <c r="D750" s="367">
        <v>140</v>
      </c>
    </row>
    <row r="751" spans="2:4" ht="12" customHeight="1">
      <c r="B751" s="89" t="s">
        <v>134</v>
      </c>
      <c r="C751" s="353">
        <f t="shared" si="10"/>
        <v>3078554.6999999997</v>
      </c>
      <c r="D751" s="367">
        <v>3198</v>
      </c>
    </row>
    <row r="752" spans="2:4" ht="13.5" thickBot="1">
      <c r="B752" s="91"/>
      <c r="C752" s="327"/>
      <c r="D752" s="328"/>
    </row>
    <row r="753" spans="1:14">
      <c r="B753" s="80" t="s">
        <v>44</v>
      </c>
      <c r="C753" s="121">
        <f>SUM(C746:C752)</f>
        <v>4964386.05</v>
      </c>
      <c r="D753" s="121">
        <f>SUM(D746:D752)</f>
        <v>5157</v>
      </c>
    </row>
    <row r="754" spans="1:14">
      <c r="B754" s="80"/>
      <c r="C754" s="121"/>
      <c r="D754" s="121"/>
    </row>
    <row r="755" spans="1:14">
      <c r="B755" s="80"/>
      <c r="C755" s="121"/>
      <c r="D755" s="121"/>
    </row>
    <row r="756" spans="1:14">
      <c r="A756" s="80" t="s">
        <v>135</v>
      </c>
      <c r="C756" s="80" t="s">
        <v>136</v>
      </c>
      <c r="D756" s="292">
        <f>Model!AQ382</f>
        <v>782.84</v>
      </c>
    </row>
    <row r="758" spans="1:14">
      <c r="I758" s="320" t="s">
        <v>8</v>
      </c>
    </row>
    <row r="759" spans="1:14">
      <c r="B759" s="285" t="s">
        <v>137</v>
      </c>
      <c r="C759" s="34" t="s">
        <v>4</v>
      </c>
      <c r="D759" s="34" t="s">
        <v>5</v>
      </c>
      <c r="E759" s="34" t="s">
        <v>48</v>
      </c>
      <c r="I759" s="285" t="s">
        <v>137</v>
      </c>
      <c r="J759" s="34" t="s">
        <v>4</v>
      </c>
      <c r="K759" s="34" t="s">
        <v>5</v>
      </c>
      <c r="L759" s="34" t="s">
        <v>48</v>
      </c>
    </row>
    <row r="760" spans="1:14">
      <c r="B760" s="111" t="s">
        <v>9</v>
      </c>
      <c r="C760" s="155">
        <v>581156.36300000001</v>
      </c>
      <c r="D760" s="286">
        <f>C760/$D$756</f>
        <v>742.36927469214652</v>
      </c>
      <c r="E760" s="112"/>
      <c r="I760" s="42" t="s">
        <v>10</v>
      </c>
      <c r="J760" s="295">
        <f>+C770-C767-C762</f>
        <v>4525011.4780000001</v>
      </c>
      <c r="K760" s="45">
        <f>J760/$D$756</f>
        <v>5780.2507255633336</v>
      </c>
      <c r="L760" s="43">
        <f>J760/J764</f>
        <v>4.1066980410945755</v>
      </c>
    </row>
    <row r="761" spans="1:14">
      <c r="B761" s="111" t="s">
        <v>11</v>
      </c>
      <c r="C761" s="352">
        <v>334552.63299999997</v>
      </c>
      <c r="D761" s="286">
        <f>C761/$D$756</f>
        <v>427.35761202800057</v>
      </c>
      <c r="E761" s="112"/>
      <c r="I761" s="41" t="s">
        <v>24</v>
      </c>
      <c r="J761" s="295">
        <f>Model!AQ252-Model!AQ296</f>
        <v>-18624.497999999905</v>
      </c>
      <c r="K761" s="45">
        <f>J761/$D$756</f>
        <v>-23.790938122732491</v>
      </c>
      <c r="L761" s="44"/>
    </row>
    <row r="762" spans="1:14">
      <c r="B762" s="111" t="s">
        <v>13</v>
      </c>
      <c r="C762" s="352">
        <v>104282.587</v>
      </c>
      <c r="D762" s="286">
        <f>C762/$D$756</f>
        <v>133.21060114455059</v>
      </c>
      <c r="E762" s="112"/>
      <c r="I762" s="42" t="s">
        <v>14</v>
      </c>
      <c r="J762" s="295">
        <f>+J760-J761</f>
        <v>4543635.9759999998</v>
      </c>
      <c r="K762" s="45">
        <f>J762/$D$756</f>
        <v>5804.0416636860655</v>
      </c>
      <c r="L762" s="43">
        <f>J762/J764</f>
        <v>4.1236008025184594</v>
      </c>
    </row>
    <row r="763" spans="1:14">
      <c r="B763" s="111" t="s">
        <v>15</v>
      </c>
      <c r="C763" s="155">
        <v>71386.120999999999</v>
      </c>
      <c r="D763" s="286">
        <f>C763/$D$756</f>
        <v>91.188647744111179</v>
      </c>
      <c r="E763" s="112"/>
      <c r="I763" s="32"/>
      <c r="J763" s="32"/>
      <c r="K763" s="32"/>
      <c r="L763" s="32"/>
    </row>
    <row r="764" spans="1:14">
      <c r="B764" s="109" t="s">
        <v>17</v>
      </c>
      <c r="C764" s="156">
        <f>SUM(C760:C763)</f>
        <v>1091377.7040000001</v>
      </c>
      <c r="D764" s="156">
        <f>SUM(D760:D763)</f>
        <v>1394.1261356088089</v>
      </c>
      <c r="E764" s="110"/>
      <c r="I764" s="84" t="s">
        <v>138</v>
      </c>
      <c r="J764" s="295">
        <f>C780</f>
        <v>1101861.2599999998</v>
      </c>
      <c r="K764" s="45"/>
      <c r="L764" s="43"/>
    </row>
    <row r="765" spans="1:14">
      <c r="B765" s="111" t="s">
        <v>18</v>
      </c>
      <c r="C765" s="155">
        <v>572052.27</v>
      </c>
      <c r="D765" s="286">
        <f>C765/$D$756</f>
        <v>730.73970415410554</v>
      </c>
      <c r="E765" s="110"/>
    </row>
    <row r="766" spans="1:14">
      <c r="B766" s="111" t="s">
        <v>19</v>
      </c>
      <c r="C766" s="155">
        <v>2926855.8110000002</v>
      </c>
      <c r="D766" s="286">
        <f>C766/$D$756</f>
        <v>3738.7663009043995</v>
      </c>
      <c r="E766" s="110"/>
    </row>
    <row r="767" spans="1:14">
      <c r="B767" s="111" t="s">
        <v>20</v>
      </c>
      <c r="C767" s="352">
        <v>1071760.763</v>
      </c>
      <c r="D767" s="286">
        <f>C767/$D$756</f>
        <v>1369.0674505646109</v>
      </c>
      <c r="E767" s="110"/>
    </row>
    <row r="768" spans="1:14" s="32" customFormat="1">
      <c r="A768" s="33"/>
      <c r="B768" s="111" t="s">
        <v>15</v>
      </c>
      <c r="C768" s="155">
        <v>39008.28</v>
      </c>
      <c r="D768" s="286">
        <f>C768/$D$756</f>
        <v>49.829186040570228</v>
      </c>
      <c r="E768" s="110"/>
      <c r="F768" s="33"/>
      <c r="G768" s="33"/>
      <c r="H768" s="33"/>
      <c r="I768" s="33"/>
      <c r="J768" s="33"/>
      <c r="K768" s="33"/>
      <c r="L768" s="33"/>
      <c r="M768" s="33"/>
      <c r="N768" s="33"/>
    </row>
    <row r="769" spans="1:14" s="32" customFormat="1">
      <c r="A769" s="33"/>
      <c r="B769" s="109" t="s">
        <v>22</v>
      </c>
      <c r="C769" s="156">
        <f>SUM(C765:C768)</f>
        <v>4609677.1240000008</v>
      </c>
      <c r="D769" s="156">
        <f>SUM(D765:D768)</f>
        <v>5888.4026416636871</v>
      </c>
      <c r="E769" s="110"/>
      <c r="F769" s="33"/>
      <c r="G769" s="33"/>
      <c r="H769" s="33"/>
      <c r="I769" s="33"/>
      <c r="J769" s="33"/>
      <c r="K769" s="33"/>
      <c r="L769" s="33"/>
      <c r="M769" s="33"/>
      <c r="N769" s="33"/>
    </row>
    <row r="770" spans="1:14" s="32" customFormat="1">
      <c r="A770" s="33"/>
      <c r="B770" s="303" t="s">
        <v>23</v>
      </c>
      <c r="C770" s="304">
        <f>C769+C764</f>
        <v>5701054.8280000007</v>
      </c>
      <c r="D770" s="304">
        <f>D769+D764</f>
        <v>7282.528777272496</v>
      </c>
      <c r="E770" s="305">
        <f>+C770/C780</f>
        <v>5.1740223882632934</v>
      </c>
      <c r="F770" s="33"/>
      <c r="G770" s="33"/>
      <c r="H770" s="33"/>
      <c r="I770" s="33"/>
      <c r="J770" s="33"/>
      <c r="K770" s="33"/>
      <c r="L770" s="33"/>
      <c r="M770" s="33"/>
    </row>
    <row r="771" spans="1:14" s="32" customFormat="1">
      <c r="A771" s="33"/>
      <c r="B771" s="306" t="s">
        <v>24</v>
      </c>
      <c r="C771" s="304">
        <f>Model!AQ252</f>
        <v>547018.77300000004</v>
      </c>
      <c r="D771" s="286">
        <f>C771/$D$756</f>
        <v>698.76190920239128</v>
      </c>
      <c r="E771" s="307"/>
      <c r="F771" s="33"/>
      <c r="G771" s="33"/>
      <c r="H771" s="33"/>
      <c r="I771" s="33"/>
      <c r="J771" s="33"/>
      <c r="K771" s="33"/>
      <c r="L771" s="33"/>
      <c r="M771" s="33"/>
    </row>
    <row r="772" spans="1:14" s="32" customFormat="1">
      <c r="A772" s="33"/>
      <c r="B772" s="303" t="s">
        <v>14</v>
      </c>
      <c r="C772" s="304">
        <f>+C770-C771</f>
        <v>5154036.0550000006</v>
      </c>
      <c r="D772" s="304">
        <f>+D770-D771</f>
        <v>6583.7668680701045</v>
      </c>
      <c r="E772" s="305">
        <f>+C772/C780</f>
        <v>4.6775726147228385</v>
      </c>
      <c r="F772" s="33"/>
      <c r="G772" s="33"/>
      <c r="H772" s="33"/>
      <c r="I772" s="33"/>
      <c r="J772" s="33"/>
      <c r="K772" s="33"/>
      <c r="L772" s="33"/>
      <c r="M772" s="33"/>
    </row>
    <row r="773" spans="1:14" s="32" customFormat="1">
      <c r="A773" s="33"/>
      <c r="B773" s="84"/>
      <c r="C773" s="84"/>
      <c r="D773" s="84"/>
      <c r="E773" s="86"/>
      <c r="F773" s="33"/>
      <c r="G773" s="33"/>
      <c r="H773" s="33"/>
      <c r="I773" s="33"/>
      <c r="J773" s="33"/>
      <c r="K773" s="33"/>
      <c r="L773" s="33"/>
      <c r="M773" s="33"/>
    </row>
    <row r="774" spans="1:14" s="32" customFormat="1">
      <c r="A774" s="33"/>
      <c r="B774" s="306" t="s">
        <v>25</v>
      </c>
      <c r="C774" s="308">
        <f>Model!AQ272</f>
        <v>840984.52599999995</v>
      </c>
      <c r="D774" s="356">
        <f>C774/$D$756</f>
        <v>1074.2738311787848</v>
      </c>
      <c r="E774" s="309"/>
      <c r="F774" s="33"/>
      <c r="G774" s="33"/>
      <c r="H774" s="33"/>
      <c r="I774" s="33"/>
      <c r="J774" s="33"/>
      <c r="K774" s="33"/>
      <c r="L774" s="33"/>
      <c r="M774" s="33"/>
    </row>
    <row r="775" spans="1:14" s="32" customFormat="1">
      <c r="A775" s="33"/>
      <c r="B775" s="306" t="s">
        <v>26</v>
      </c>
      <c r="C775" s="308">
        <f>Model!AQ273</f>
        <v>194245.27799999999</v>
      </c>
      <c r="D775" s="356">
        <f>C775/$D$756</f>
        <v>248.12896377292932</v>
      </c>
      <c r="E775" s="310"/>
      <c r="F775" s="33"/>
      <c r="G775" s="33"/>
      <c r="H775" s="33"/>
      <c r="I775" s="33"/>
      <c r="J775" s="33"/>
      <c r="K775" s="33"/>
      <c r="L775" s="33"/>
      <c r="M775" s="33"/>
    </row>
    <row r="776" spans="1:14" s="32" customFormat="1">
      <c r="A776" s="33"/>
      <c r="B776" s="306" t="s">
        <v>27</v>
      </c>
      <c r="C776" s="308">
        <f>Model!AQ274</f>
        <v>26232.929</v>
      </c>
      <c r="D776" s="356">
        <f>C776/$D$756</f>
        <v>33.509949670430736</v>
      </c>
      <c r="E776" s="310"/>
      <c r="F776" s="33"/>
      <c r="G776" s="33"/>
      <c r="H776" s="33"/>
      <c r="I776" s="33"/>
      <c r="J776" s="33"/>
      <c r="K776" s="33"/>
      <c r="L776" s="33"/>
      <c r="M776" s="33"/>
    </row>
    <row r="777" spans="1:14" s="32" customFormat="1">
      <c r="A777" s="33"/>
      <c r="B777" s="42" t="s">
        <v>28</v>
      </c>
      <c r="C777" s="45">
        <f>C774+C775+C776</f>
        <v>1061462.733</v>
      </c>
      <c r="D777" s="45">
        <f>D774+D775+D776</f>
        <v>1355.9127446221451</v>
      </c>
      <c r="E777" s="43"/>
      <c r="F777" s="33"/>
      <c r="G777" s="33"/>
      <c r="H777" s="33"/>
      <c r="I777" s="33"/>
      <c r="J777" s="33"/>
      <c r="K777" s="33"/>
      <c r="L777" s="33"/>
      <c r="M777" s="33"/>
    </row>
    <row r="778" spans="1:14" s="32" customFormat="1">
      <c r="A778" s="33"/>
      <c r="B778" s="84" t="s">
        <v>29</v>
      </c>
      <c r="C778" s="288">
        <f>Model!AQ290</f>
        <v>7037133.7580000004</v>
      </c>
      <c r="D778" s="286">
        <f>C778/$D$756</f>
        <v>8989.2363164886829</v>
      </c>
      <c r="E778" s="86"/>
      <c r="F778" s="33"/>
      <c r="G778" s="33"/>
      <c r="H778" s="33"/>
      <c r="I778" s="33"/>
      <c r="J778" s="33"/>
      <c r="K778" s="33"/>
      <c r="L778" s="33"/>
      <c r="M778" s="33"/>
    </row>
    <row r="779" spans="1:14">
      <c r="B779" s="84" t="s">
        <v>30</v>
      </c>
      <c r="C779" s="288">
        <f>C778+C770+C777</f>
        <v>13799651.319000002</v>
      </c>
      <c r="D779" s="288">
        <f>D778+D770+D777</f>
        <v>17627.677838383326</v>
      </c>
      <c r="E779" s="86"/>
      <c r="N779" s="32"/>
    </row>
    <row r="780" spans="1:14">
      <c r="B780" s="84" t="s">
        <v>139</v>
      </c>
      <c r="C780" s="288">
        <f>Model!AQ204</f>
        <v>1101861.2599999998</v>
      </c>
      <c r="D780" s="288"/>
      <c r="E780" s="41"/>
      <c r="N780" s="32"/>
    </row>
    <row r="782" spans="1:14">
      <c r="B782" s="176" t="s">
        <v>32</v>
      </c>
      <c r="C782" s="274">
        <f>C770-Model!AQ260</f>
        <v>0</v>
      </c>
    </row>
    <row r="784" spans="1:14">
      <c r="B784" s="33" t="s">
        <v>140</v>
      </c>
      <c r="C784" s="290">
        <f>Model!AQ289</f>
        <v>5394015.9500000002</v>
      </c>
      <c r="D784" s="237"/>
    </row>
    <row r="785" spans="2:4">
      <c r="B785" s="33" t="s">
        <v>34</v>
      </c>
      <c r="C785" s="290">
        <f>C784+Model!AQ283</f>
        <v>10980490.161</v>
      </c>
      <c r="D785" s="165"/>
    </row>
    <row r="786" spans="2:4">
      <c r="B786" s="238" t="s">
        <v>35</v>
      </c>
      <c r="C786" s="43">
        <f>C785/C788</f>
        <v>7.7890234724300047</v>
      </c>
      <c r="D786" s="43"/>
    </row>
    <row r="788" spans="2:4">
      <c r="B788" s="33" t="s">
        <v>36</v>
      </c>
      <c r="C788" s="290">
        <f>Model!AQ223</f>
        <v>1409738.9999999998</v>
      </c>
      <c r="D788" s="237"/>
    </row>
    <row r="791" spans="2:4" ht="13.5" thickBot="1"/>
    <row r="792" spans="2:4">
      <c r="B792" s="267" t="s">
        <v>37</v>
      </c>
      <c r="C792" s="278" t="s">
        <v>38</v>
      </c>
      <c r="D792" s="279" t="s">
        <v>5</v>
      </c>
    </row>
    <row r="793" spans="2:4">
      <c r="B793" s="268" t="s">
        <v>39</v>
      </c>
      <c r="C793" s="269">
        <v>0</v>
      </c>
      <c r="D793" s="270">
        <v>0</v>
      </c>
    </row>
    <row r="794" spans="2:4">
      <c r="B794" s="104" t="s">
        <v>40</v>
      </c>
      <c r="C794" s="290">
        <f>C771</f>
        <v>547018.77300000004</v>
      </c>
      <c r="D794" s="365">
        <f>D771</f>
        <v>698.76190920239128</v>
      </c>
    </row>
    <row r="795" spans="2:4" ht="13.5" thickBot="1">
      <c r="B795" s="271" t="s">
        <v>41</v>
      </c>
      <c r="C795" s="272">
        <f>C793+C794</f>
        <v>547018.77300000004</v>
      </c>
      <c r="D795" s="273">
        <f>D793+D794</f>
        <v>698.76190920239128</v>
      </c>
    </row>
    <row r="796" spans="2:4">
      <c r="D796" s="264"/>
    </row>
    <row r="797" spans="2:4">
      <c r="C797" s="36"/>
    </row>
    <row r="798" spans="2:4" ht="13.5" thickBot="1"/>
    <row r="799" spans="2:4">
      <c r="B799" s="323" t="s">
        <v>141</v>
      </c>
      <c r="C799" s="324" t="s">
        <v>58</v>
      </c>
      <c r="D799" s="325" t="s">
        <v>59</v>
      </c>
    </row>
    <row r="800" spans="2:4">
      <c r="B800" s="89">
        <v>2022</v>
      </c>
      <c r="C800" s="353">
        <f t="shared" ref="C800:C805" si="11">D800*$D$756</f>
        <v>274776.84000000003</v>
      </c>
      <c r="D800" s="367">
        <v>351</v>
      </c>
    </row>
    <row r="801" spans="1:12">
      <c r="B801" s="89">
        <v>2023</v>
      </c>
      <c r="C801" s="353">
        <f t="shared" si="11"/>
        <v>500234.76</v>
      </c>
      <c r="D801" s="367">
        <v>639</v>
      </c>
    </row>
    <row r="802" spans="1:12">
      <c r="B802" s="89">
        <v>2024</v>
      </c>
      <c r="C802" s="353">
        <f t="shared" si="11"/>
        <v>177704.68</v>
      </c>
      <c r="D802" s="367">
        <v>227</v>
      </c>
    </row>
    <row r="803" spans="1:12" ht="12" customHeight="1">
      <c r="B803" s="89">
        <v>2025</v>
      </c>
      <c r="C803" s="353">
        <f t="shared" si="11"/>
        <v>403945.44</v>
      </c>
      <c r="D803" s="367">
        <v>516</v>
      </c>
    </row>
    <row r="804" spans="1:12">
      <c r="B804" s="89">
        <v>2026</v>
      </c>
      <c r="C804" s="353">
        <f t="shared" si="11"/>
        <v>113511.8</v>
      </c>
      <c r="D804" s="367">
        <v>145</v>
      </c>
    </row>
    <row r="805" spans="1:12">
      <c r="B805" s="89" t="s">
        <v>134</v>
      </c>
      <c r="C805" s="353">
        <f t="shared" si="11"/>
        <v>2283544.2800000003</v>
      </c>
      <c r="D805" s="367">
        <v>2917</v>
      </c>
    </row>
    <row r="806" spans="1:12" ht="13.5" thickBot="1">
      <c r="B806" s="91"/>
      <c r="C806" s="327"/>
      <c r="D806" s="328"/>
    </row>
    <row r="807" spans="1:12">
      <c r="B807" s="80" t="s">
        <v>44</v>
      </c>
      <c r="C807" s="121">
        <f>SUM(C800:C806)</f>
        <v>3753717.8000000003</v>
      </c>
      <c r="D807" s="121">
        <f>SUM(D800:D806)</f>
        <v>4795</v>
      </c>
    </row>
    <row r="808" spans="1:12">
      <c r="B808" s="80"/>
      <c r="C808" s="121"/>
      <c r="D808" s="121"/>
    </row>
    <row r="809" spans="1:12">
      <c r="B809" s="80"/>
      <c r="C809" s="121"/>
      <c r="D809" s="121"/>
    </row>
    <row r="811" spans="1:12">
      <c r="A811" s="80" t="s">
        <v>142</v>
      </c>
      <c r="C811" s="80" t="s">
        <v>143</v>
      </c>
      <c r="D811" s="292">
        <f>Model!AP382</f>
        <v>789.17</v>
      </c>
    </row>
    <row r="813" spans="1:12">
      <c r="I813" s="320" t="s">
        <v>8</v>
      </c>
    </row>
    <row r="814" spans="1:12">
      <c r="B814" s="285" t="s">
        <v>144</v>
      </c>
      <c r="C814" s="34" t="s">
        <v>4</v>
      </c>
      <c r="D814" s="34" t="s">
        <v>5</v>
      </c>
      <c r="E814" s="34" t="s">
        <v>48</v>
      </c>
      <c r="I814" s="285" t="s">
        <v>144</v>
      </c>
      <c r="J814" s="34" t="s">
        <v>4</v>
      </c>
      <c r="K814" s="34" t="s">
        <v>5</v>
      </c>
      <c r="L814" s="34" t="s">
        <v>48</v>
      </c>
    </row>
    <row r="815" spans="1:12">
      <c r="B815" s="111" t="s">
        <v>9</v>
      </c>
      <c r="C815" s="155">
        <v>545146.65</v>
      </c>
      <c r="D815" s="286">
        <f>C815/$D$811</f>
        <v>690.78481189097408</v>
      </c>
      <c r="E815" s="112"/>
      <c r="I815" s="42" t="s">
        <v>10</v>
      </c>
      <c r="J815" s="295">
        <f>+C825-C822-C817</f>
        <v>3758657.4050000003</v>
      </c>
      <c r="K815" s="45">
        <f>J815/$D$811</f>
        <v>4762.7981360163212</v>
      </c>
      <c r="L815" s="43">
        <f>J815/J819</f>
        <v>3.1499321057781904</v>
      </c>
    </row>
    <row r="816" spans="1:12">
      <c r="B816" s="111" t="s">
        <v>11</v>
      </c>
      <c r="C816" s="352">
        <v>71453.34</v>
      </c>
      <c r="D816" s="286">
        <f t="shared" ref="D816:D823" si="12">C816/$D$811</f>
        <v>90.542392640369002</v>
      </c>
      <c r="E816" s="112"/>
      <c r="I816" s="41" t="s">
        <v>24</v>
      </c>
      <c r="J816" s="295">
        <f>Model!AP252-Model!AP296</f>
        <v>-11143.282000000007</v>
      </c>
      <c r="K816" s="45">
        <f>J816/$D$811</f>
        <v>-14.120255458266289</v>
      </c>
      <c r="L816" s="44"/>
    </row>
    <row r="817" spans="1:14">
      <c r="B817" s="111" t="s">
        <v>13</v>
      </c>
      <c r="C817" s="352">
        <v>98684.142999999996</v>
      </c>
      <c r="D817" s="286">
        <f t="shared" si="12"/>
        <v>125.04801627025863</v>
      </c>
      <c r="E817" s="112"/>
      <c r="I817" s="42" t="s">
        <v>14</v>
      </c>
      <c r="J817" s="295">
        <f>+J815-J816</f>
        <v>3769800.6870000004</v>
      </c>
      <c r="K817" s="45">
        <f>J817/$D$811</f>
        <v>4776.9183914745881</v>
      </c>
      <c r="L817" s="43">
        <f>J817/J819</f>
        <v>3.1592707014397283</v>
      </c>
    </row>
    <row r="818" spans="1:14">
      <c r="B818" s="111" t="s">
        <v>15</v>
      </c>
      <c r="C818" s="155">
        <v>80171.740999999995</v>
      </c>
      <c r="D818" s="286">
        <f t="shared" si="12"/>
        <v>101.58995020084393</v>
      </c>
      <c r="E818" s="112"/>
      <c r="I818" s="32"/>
      <c r="J818" s="32"/>
      <c r="K818" s="32"/>
      <c r="L818" s="32"/>
    </row>
    <row r="819" spans="1:14">
      <c r="B819" s="109" t="s">
        <v>17</v>
      </c>
      <c r="C819" s="156">
        <f>SUM(C815:C818)</f>
        <v>795455.87400000007</v>
      </c>
      <c r="D819" s="156">
        <f>SUM(D815:D818)</f>
        <v>1007.9651710024457</v>
      </c>
      <c r="E819" s="110"/>
      <c r="I819" s="84" t="s">
        <v>145</v>
      </c>
      <c r="J819" s="295">
        <f>C835</f>
        <v>1193250.2919999999</v>
      </c>
      <c r="K819" s="45"/>
      <c r="L819" s="43"/>
    </row>
    <row r="820" spans="1:14" s="32" customFormat="1">
      <c r="A820" s="33"/>
      <c r="B820" s="111" t="s">
        <v>18</v>
      </c>
      <c r="C820" s="155">
        <v>390171.30099999998</v>
      </c>
      <c r="D820" s="286">
        <f t="shared" si="12"/>
        <v>494.40716322211944</v>
      </c>
      <c r="E820" s="110"/>
      <c r="F820" s="33"/>
      <c r="G820" s="33"/>
      <c r="H820" s="33"/>
      <c r="I820" s="33"/>
      <c r="J820" s="33"/>
      <c r="K820" s="33"/>
      <c r="L820" s="33"/>
      <c r="M820" s="33"/>
      <c r="N820" s="33"/>
    </row>
    <row r="821" spans="1:14" s="32" customFormat="1">
      <c r="A821" s="33"/>
      <c r="B821" s="111" t="s">
        <v>19</v>
      </c>
      <c r="C821" s="155">
        <v>2654623.9470000002</v>
      </c>
      <c r="D821" s="286">
        <f t="shared" si="12"/>
        <v>3363.8176147091253</v>
      </c>
      <c r="E821" s="110"/>
      <c r="F821" s="33"/>
      <c r="G821" s="33"/>
      <c r="H821" s="33"/>
      <c r="I821" s="33"/>
      <c r="J821" s="33"/>
      <c r="K821" s="33"/>
      <c r="L821" s="33"/>
      <c r="M821" s="33"/>
      <c r="N821" s="33"/>
    </row>
    <row r="822" spans="1:14" s="32" customFormat="1">
      <c r="A822" s="33"/>
      <c r="B822" s="111" t="s">
        <v>20</v>
      </c>
      <c r="C822" s="352">
        <v>999525.94400000002</v>
      </c>
      <c r="D822" s="286">
        <f t="shared" si="12"/>
        <v>1266.5533966065614</v>
      </c>
      <c r="E822" s="110"/>
      <c r="F822" s="33"/>
      <c r="G822" s="33"/>
      <c r="H822" s="33"/>
      <c r="I822" s="33"/>
      <c r="J822" s="33"/>
      <c r="K822" s="33"/>
      <c r="L822" s="33"/>
      <c r="M822" s="33"/>
    </row>
    <row r="823" spans="1:14" s="32" customFormat="1">
      <c r="A823" s="33"/>
      <c r="B823" s="111" t="s">
        <v>15</v>
      </c>
      <c r="C823" s="155">
        <v>17090.425999999999</v>
      </c>
      <c r="D823" s="286">
        <f t="shared" si="12"/>
        <v>21.656203352889744</v>
      </c>
      <c r="E823" s="110"/>
      <c r="F823" s="33"/>
      <c r="G823" s="33"/>
      <c r="H823" s="33"/>
      <c r="I823" s="33"/>
      <c r="J823" s="33"/>
      <c r="K823" s="33"/>
      <c r="L823" s="33"/>
      <c r="M823" s="33"/>
    </row>
    <row r="824" spans="1:14" s="32" customFormat="1">
      <c r="A824" s="33"/>
      <c r="B824" s="109" t="s">
        <v>22</v>
      </c>
      <c r="C824" s="156">
        <f>SUM(C820:C823)</f>
        <v>4061411.6180000002</v>
      </c>
      <c r="D824" s="156">
        <f>SUM(D820:D823)</f>
        <v>5146.4343778906959</v>
      </c>
      <c r="E824" s="110"/>
      <c r="F824" s="33"/>
      <c r="G824" s="33"/>
      <c r="H824" s="33"/>
      <c r="I824" s="33"/>
      <c r="J824" s="33"/>
      <c r="K824" s="33"/>
      <c r="L824" s="33"/>
      <c r="M824" s="33"/>
    </row>
    <row r="825" spans="1:14" s="32" customFormat="1">
      <c r="A825" s="33"/>
      <c r="B825" s="303" t="s">
        <v>23</v>
      </c>
      <c r="C825" s="304">
        <f>C824+C819</f>
        <v>4856867.4920000006</v>
      </c>
      <c r="D825" s="304">
        <f>D824+D819</f>
        <v>6154.3995488931414</v>
      </c>
      <c r="E825" s="305">
        <f>+C825/C835</f>
        <v>4.0702839333560377</v>
      </c>
      <c r="F825" s="33"/>
      <c r="G825" s="33"/>
      <c r="H825" s="33"/>
      <c r="I825" s="33"/>
      <c r="J825" s="33"/>
      <c r="K825" s="33"/>
      <c r="L825" s="33"/>
      <c r="M825" s="33"/>
    </row>
    <row r="826" spans="1:14" s="32" customFormat="1">
      <c r="A826" s="33"/>
      <c r="B826" s="306" t="s">
        <v>24</v>
      </c>
      <c r="C826" s="304">
        <f>Model!AP252</f>
        <v>352744.19099999999</v>
      </c>
      <c r="D826" s="286">
        <f>C826/$D$811</f>
        <v>446.98124738649466</v>
      </c>
      <c r="E826" s="307"/>
      <c r="F826" s="33"/>
      <c r="G826" s="33"/>
      <c r="H826" s="33"/>
      <c r="I826" s="33"/>
      <c r="J826" s="33"/>
      <c r="K826" s="33"/>
      <c r="L826" s="33"/>
      <c r="M826" s="33"/>
    </row>
    <row r="827" spans="1:14" s="32" customFormat="1">
      <c r="A827" s="33"/>
      <c r="B827" s="303" t="s">
        <v>14</v>
      </c>
      <c r="C827" s="304">
        <f>+C825-C826</f>
        <v>4504123.3010000009</v>
      </c>
      <c r="D827" s="304">
        <f>+D825-D826</f>
        <v>5707.4183015066465</v>
      </c>
      <c r="E827" s="305">
        <f>+C827/C835</f>
        <v>3.77466767131535</v>
      </c>
      <c r="F827" s="33"/>
      <c r="G827" s="33"/>
      <c r="H827" s="33"/>
      <c r="I827" s="33"/>
      <c r="J827" s="33"/>
      <c r="K827" s="33"/>
      <c r="L827" s="33"/>
      <c r="M827" s="33"/>
    </row>
    <row r="828" spans="1:14" s="32" customFormat="1">
      <c r="A828" s="33"/>
      <c r="B828" s="84"/>
      <c r="C828" s="84"/>
      <c r="D828" s="84"/>
      <c r="E828" s="86"/>
      <c r="F828" s="33"/>
      <c r="G828" s="33"/>
      <c r="H828" s="33"/>
      <c r="I828" s="33"/>
      <c r="J828" s="33"/>
      <c r="K828" s="33"/>
      <c r="L828" s="33"/>
      <c r="M828" s="33"/>
    </row>
    <row r="829" spans="1:14" s="32" customFormat="1">
      <c r="A829" s="33"/>
      <c r="B829" s="306" t="s">
        <v>25</v>
      </c>
      <c r="C829" s="308">
        <f>Model!AP272</f>
        <v>772679.55099999998</v>
      </c>
      <c r="D829" s="356">
        <f>C829/$D$811</f>
        <v>979.10405996173199</v>
      </c>
      <c r="E829" s="309"/>
      <c r="F829" s="33"/>
      <c r="G829" s="33"/>
      <c r="H829" s="33"/>
      <c r="I829" s="33"/>
      <c r="J829" s="33"/>
      <c r="K829" s="33"/>
      <c r="L829" s="33"/>
      <c r="M829" s="33"/>
    </row>
    <row r="830" spans="1:14" s="32" customFormat="1">
      <c r="A830" s="33"/>
      <c r="B830" s="306" t="s">
        <v>26</v>
      </c>
      <c r="C830" s="308">
        <f>Model!AP273</f>
        <v>188674.215</v>
      </c>
      <c r="D830" s="356">
        <f>C830/$D$811</f>
        <v>239.07930483926151</v>
      </c>
      <c r="E830" s="310"/>
      <c r="F830" s="33"/>
      <c r="G830" s="33"/>
      <c r="H830" s="33"/>
      <c r="I830" s="33"/>
      <c r="J830" s="33"/>
      <c r="K830" s="33"/>
      <c r="L830" s="33"/>
      <c r="M830" s="33"/>
    </row>
    <row r="831" spans="1:14">
      <c r="B831" s="306" t="s">
        <v>27</v>
      </c>
      <c r="C831" s="308">
        <f>Model!AP274</f>
        <v>24434.395</v>
      </c>
      <c r="D831" s="356">
        <f>C831/$D$811</f>
        <v>30.962143771304032</v>
      </c>
      <c r="E831" s="310"/>
      <c r="N831" s="32"/>
    </row>
    <row r="832" spans="1:14">
      <c r="B832" s="42" t="s">
        <v>28</v>
      </c>
      <c r="C832" s="45">
        <f>C829+C830+C831</f>
        <v>985788.16099999996</v>
      </c>
      <c r="D832" s="45">
        <f>D829+D830+D831</f>
        <v>1249.1455085722976</v>
      </c>
      <c r="E832" s="43"/>
      <c r="N832" s="32"/>
    </row>
    <row r="833" spans="2:5">
      <c r="B833" s="84" t="s">
        <v>29</v>
      </c>
      <c r="C833" s="288">
        <f>Model!AP290</f>
        <v>6721013.5959999999</v>
      </c>
      <c r="D833" s="286">
        <f>C833/$D$811</f>
        <v>8516.5599249844781</v>
      </c>
      <c r="E833" s="86"/>
    </row>
    <row r="834" spans="2:5">
      <c r="B834" s="84" t="s">
        <v>30</v>
      </c>
      <c r="C834" s="288">
        <f>C833+C825+C832</f>
        <v>12563669.249</v>
      </c>
      <c r="D834" s="288">
        <f>D833+D825+D832</f>
        <v>15920.104982449917</v>
      </c>
      <c r="E834" s="86"/>
    </row>
    <row r="835" spans="2:5">
      <c r="B835" s="84" t="s">
        <v>146</v>
      </c>
      <c r="C835" s="288">
        <f>Model!AP204</f>
        <v>1193250.2919999999</v>
      </c>
      <c r="D835" s="288"/>
      <c r="E835" s="41"/>
    </row>
    <row r="837" spans="2:5">
      <c r="B837" s="176" t="s">
        <v>32</v>
      </c>
      <c r="C837" s="274">
        <f>C825-Model!AP260</f>
        <v>0</v>
      </c>
    </row>
    <row r="839" spans="2:5">
      <c r="B839" s="33" t="s">
        <v>147</v>
      </c>
      <c r="C839" s="290">
        <f>Model!AP289</f>
        <v>6309493.3574721003</v>
      </c>
      <c r="D839" s="237"/>
    </row>
    <row r="840" spans="2:5">
      <c r="B840" s="33" t="s">
        <v>34</v>
      </c>
      <c r="C840" s="290">
        <f>C839+Model!AP283</f>
        <v>11053938.923472101</v>
      </c>
      <c r="D840" s="165"/>
    </row>
    <row r="841" spans="2:5">
      <c r="B841" s="238" t="s">
        <v>35</v>
      </c>
      <c r="C841" s="43">
        <f>C840/C843</f>
        <v>7.2525459657225113</v>
      </c>
      <c r="D841" s="43"/>
    </row>
    <row r="843" spans="2:5">
      <c r="B843" s="33" t="s">
        <v>36</v>
      </c>
      <c r="C843" s="290">
        <f>Model!AP223</f>
        <v>1524145.9999999998</v>
      </c>
      <c r="D843" s="237"/>
    </row>
    <row r="846" spans="2:5" ht="13.5" thickBot="1"/>
    <row r="847" spans="2:5">
      <c r="B847" s="267" t="s">
        <v>37</v>
      </c>
      <c r="C847" s="278" t="s">
        <v>38</v>
      </c>
      <c r="D847" s="279" t="s">
        <v>5</v>
      </c>
    </row>
    <row r="848" spans="2:5">
      <c r="B848" s="268" t="s">
        <v>39</v>
      </c>
      <c r="C848" s="269">
        <v>0</v>
      </c>
      <c r="D848" s="270">
        <v>0</v>
      </c>
    </row>
    <row r="849" spans="2:4">
      <c r="B849" s="104" t="s">
        <v>40</v>
      </c>
      <c r="C849" s="290">
        <f>C826</f>
        <v>352744.19099999999</v>
      </c>
      <c r="D849" s="365">
        <f>D826</f>
        <v>446.98124738649466</v>
      </c>
    </row>
    <row r="850" spans="2:4" ht="13.5" thickBot="1">
      <c r="B850" s="271" t="s">
        <v>41</v>
      </c>
      <c r="C850" s="272">
        <f>C848+C849</f>
        <v>352744.19099999999</v>
      </c>
      <c r="D850" s="273">
        <f>D848+D849</f>
        <v>446.98124738649466</v>
      </c>
    </row>
    <row r="851" spans="2:4">
      <c r="D851" s="264"/>
    </row>
    <row r="852" spans="2:4">
      <c r="C852" s="36"/>
    </row>
    <row r="853" spans="2:4" ht="13.5" thickBot="1"/>
    <row r="854" spans="2:4">
      <c r="B854" s="323" t="s">
        <v>148</v>
      </c>
      <c r="C854" s="324" t="s">
        <v>58</v>
      </c>
      <c r="D854" s="325" t="s">
        <v>59</v>
      </c>
    </row>
    <row r="855" spans="2:4" ht="12" customHeight="1">
      <c r="B855" s="89">
        <v>2022</v>
      </c>
      <c r="C855" s="353">
        <f t="shared" ref="C855:C860" si="13">D855*$D$811</f>
        <v>497177.1</v>
      </c>
      <c r="D855" s="321">
        <v>630</v>
      </c>
    </row>
    <row r="856" spans="2:4">
      <c r="B856" s="89">
        <v>2023</v>
      </c>
      <c r="C856" s="353">
        <f t="shared" si="13"/>
        <v>474291.17</v>
      </c>
      <c r="D856" s="321">
        <v>601</v>
      </c>
    </row>
    <row r="857" spans="2:4">
      <c r="B857" s="89">
        <v>2024</v>
      </c>
      <c r="C857" s="353">
        <f t="shared" si="13"/>
        <v>138104.75</v>
      </c>
      <c r="D857" s="321">
        <v>175</v>
      </c>
    </row>
    <row r="858" spans="2:4">
      <c r="B858" s="89">
        <v>2025</v>
      </c>
      <c r="C858" s="353">
        <f t="shared" si="13"/>
        <v>236751</v>
      </c>
      <c r="D858" s="321">
        <v>300</v>
      </c>
    </row>
    <row r="859" spans="2:4">
      <c r="B859" s="89">
        <v>2026</v>
      </c>
      <c r="C859" s="353">
        <f t="shared" si="13"/>
        <v>84441.19</v>
      </c>
      <c r="D859" s="321">
        <v>107</v>
      </c>
    </row>
    <row r="860" spans="2:4">
      <c r="B860" s="89" t="s">
        <v>134</v>
      </c>
      <c r="C860" s="353">
        <f t="shared" si="13"/>
        <v>2282279.6399999997</v>
      </c>
      <c r="D860" s="321">
        <v>2892</v>
      </c>
    </row>
    <row r="861" spans="2:4" ht="13.5" thickBot="1">
      <c r="B861" s="91"/>
      <c r="C861" s="327"/>
      <c r="D861" s="328"/>
    </row>
    <row r="862" spans="2:4">
      <c r="B862" s="80" t="s">
        <v>44</v>
      </c>
      <c r="C862" s="121">
        <f>SUM(C855:C861)</f>
        <v>3713044.8499999996</v>
      </c>
      <c r="D862" s="121">
        <f>SUM(D855:D861)</f>
        <v>4705</v>
      </c>
    </row>
    <row r="865" spans="1:14">
      <c r="A865" s="80" t="s">
        <v>149</v>
      </c>
      <c r="C865" s="80" t="s">
        <v>150</v>
      </c>
      <c r="D865" s="292">
        <f>Model!AO382</f>
        <v>851.1</v>
      </c>
    </row>
    <row r="867" spans="1:14">
      <c r="I867" s="320" t="s">
        <v>8</v>
      </c>
    </row>
    <row r="868" spans="1:14">
      <c r="B868" s="285" t="s">
        <v>151</v>
      </c>
      <c r="C868" s="34" t="s">
        <v>4</v>
      </c>
      <c r="D868" s="34" t="s">
        <v>5</v>
      </c>
      <c r="E868" s="34" t="s">
        <v>48</v>
      </c>
      <c r="I868" s="285" t="s">
        <v>151</v>
      </c>
      <c r="J868" s="34" t="s">
        <v>4</v>
      </c>
      <c r="K868" s="34" t="s">
        <v>5</v>
      </c>
      <c r="L868" s="34" t="s">
        <v>48</v>
      </c>
    </row>
    <row r="869" spans="1:14">
      <c r="B869" s="111" t="s">
        <v>9</v>
      </c>
      <c r="C869" s="155">
        <v>379889.66</v>
      </c>
      <c r="D869" s="286">
        <f>C869/$D$865</f>
        <v>446.35138056632587</v>
      </c>
      <c r="E869" s="112"/>
      <c r="I869" s="42" t="s">
        <v>10</v>
      </c>
      <c r="J869" s="295">
        <f>+C879-C876-C871</f>
        <v>3652008.0050000004</v>
      </c>
      <c r="K869" s="45">
        <f>J869/$D$865</f>
        <v>4290.9270414757375</v>
      </c>
      <c r="L869" s="43">
        <f>J869/J873</f>
        <v>2.9610141816847184</v>
      </c>
    </row>
    <row r="870" spans="1:14">
      <c r="B870" s="111" t="s">
        <v>11</v>
      </c>
      <c r="C870" s="352">
        <v>55879.712</v>
      </c>
      <c r="D870" s="286">
        <f>C870/$D$865</f>
        <v>65.655871225472922</v>
      </c>
      <c r="E870" s="112"/>
      <c r="I870" s="41" t="s">
        <v>24</v>
      </c>
      <c r="J870" s="295">
        <f>Model!AO252-Model!AO296</f>
        <v>49058.248999999953</v>
      </c>
      <c r="K870" s="45">
        <f>J870/$D$865</f>
        <v>57.64099283280455</v>
      </c>
      <c r="L870" s="44"/>
    </row>
    <row r="871" spans="1:14">
      <c r="B871" s="111" t="s">
        <v>13</v>
      </c>
      <c r="C871" s="352">
        <v>96132.009000000005</v>
      </c>
      <c r="D871" s="286">
        <f>C871/$D$865</f>
        <v>112.95031018681706</v>
      </c>
      <c r="E871" s="112"/>
      <c r="I871" s="42" t="s">
        <v>14</v>
      </c>
      <c r="J871" s="295">
        <f>+J869-J870</f>
        <v>3602949.7560000005</v>
      </c>
      <c r="K871" s="45">
        <f>+K869-K870</f>
        <v>4233.2860486429327</v>
      </c>
      <c r="L871" s="43">
        <f>J871/J873</f>
        <v>2.9212382088996804</v>
      </c>
    </row>
    <row r="872" spans="1:14" s="32" customFormat="1">
      <c r="A872" s="33"/>
      <c r="B872" s="111" t="s">
        <v>15</v>
      </c>
      <c r="C872" s="155">
        <v>72312.707999999999</v>
      </c>
      <c r="D872" s="286">
        <f>C872/$D$865</f>
        <v>84.963820937610151</v>
      </c>
      <c r="E872" s="112"/>
      <c r="F872" s="33"/>
      <c r="G872" s="33"/>
      <c r="H872" s="33"/>
      <c r="M872" s="33"/>
      <c r="N872" s="33"/>
    </row>
    <row r="873" spans="1:14" s="32" customFormat="1">
      <c r="A873" s="33"/>
      <c r="B873" s="109" t="s">
        <v>17</v>
      </c>
      <c r="C873" s="156">
        <f>SUM(C869:C872)</f>
        <v>604214.08899999992</v>
      </c>
      <c r="D873" s="156">
        <f>SUM(D869:D872)</f>
        <v>709.92138291622609</v>
      </c>
      <c r="E873" s="110"/>
      <c r="F873" s="33"/>
      <c r="G873" s="33"/>
      <c r="H873" s="33"/>
      <c r="I873" s="84" t="s">
        <v>152</v>
      </c>
      <c r="J873" s="295">
        <f>C889</f>
        <v>1233363.9019999998</v>
      </c>
      <c r="K873" s="45"/>
      <c r="L873" s="43"/>
      <c r="M873" s="33"/>
      <c r="N873" s="33"/>
    </row>
    <row r="874" spans="1:14" s="32" customFormat="1">
      <c r="A874" s="33"/>
      <c r="B874" s="111" t="s">
        <v>18</v>
      </c>
      <c r="C874" s="155">
        <v>415596.29100000003</v>
      </c>
      <c r="D874" s="286">
        <f>C874/$D$865</f>
        <v>488.30488896721891</v>
      </c>
      <c r="E874" s="110"/>
      <c r="F874" s="33"/>
      <c r="G874" s="33"/>
      <c r="H874" s="33"/>
      <c r="I874" s="33"/>
      <c r="J874" s="33"/>
      <c r="K874" s="33"/>
      <c r="L874" s="33"/>
      <c r="M874" s="33"/>
    </row>
    <row r="875" spans="1:14" s="32" customFormat="1">
      <c r="A875" s="33"/>
      <c r="B875" s="111" t="s">
        <v>19</v>
      </c>
      <c r="C875" s="155">
        <v>2706338.48</v>
      </c>
      <c r="D875" s="286">
        <f>C875/$D$865</f>
        <v>3179.8125719656914</v>
      </c>
      <c r="E875" s="110"/>
      <c r="F875" s="33"/>
      <c r="G875" s="33"/>
      <c r="H875" s="33"/>
      <c r="I875" s="33"/>
      <c r="J875" s="33"/>
      <c r="K875" s="33"/>
      <c r="L875" s="33"/>
      <c r="M875" s="33"/>
    </row>
    <row r="876" spans="1:14" s="32" customFormat="1">
      <c r="A876" s="33"/>
      <c r="B876" s="111" t="s">
        <v>20</v>
      </c>
      <c r="C876" s="352">
        <v>978459.87600000005</v>
      </c>
      <c r="D876" s="286">
        <f>C876/$D$865</f>
        <v>1149.6414945364822</v>
      </c>
      <c r="E876" s="110"/>
      <c r="F876" s="33"/>
      <c r="G876" s="33"/>
      <c r="H876" s="33"/>
      <c r="I876" s="33"/>
      <c r="J876" s="33"/>
      <c r="K876" s="33"/>
      <c r="L876" s="33"/>
      <c r="M876" s="33"/>
    </row>
    <row r="877" spans="1:14" s="32" customFormat="1">
      <c r="A877" s="33"/>
      <c r="B877" s="111" t="s">
        <v>15</v>
      </c>
      <c r="C877" s="155">
        <v>21991.153999999999</v>
      </c>
      <c r="D877" s="286">
        <f>C877/$D$865</f>
        <v>25.838507813417927</v>
      </c>
      <c r="E877" s="110"/>
      <c r="F877" s="33"/>
      <c r="G877" s="33"/>
      <c r="H877" s="33"/>
      <c r="I877" s="33"/>
      <c r="J877" s="33"/>
      <c r="K877" s="33"/>
      <c r="L877" s="33"/>
      <c r="M877" s="33"/>
    </row>
    <row r="878" spans="1:14" s="32" customFormat="1">
      <c r="A878" s="33"/>
      <c r="B878" s="109" t="s">
        <v>22</v>
      </c>
      <c r="C878" s="156">
        <f>SUM(C874:C877)</f>
        <v>4122385.8010000004</v>
      </c>
      <c r="D878" s="156">
        <f>SUM(D874:D877)</f>
        <v>4843.5974632828111</v>
      </c>
      <c r="E878" s="110"/>
      <c r="F878" s="33"/>
      <c r="G878" s="33"/>
      <c r="H878" s="33"/>
      <c r="I878" s="33"/>
      <c r="J878" s="33"/>
      <c r="K878" s="33"/>
      <c r="L878" s="33"/>
      <c r="M878" s="33"/>
    </row>
    <row r="879" spans="1:14" s="32" customFormat="1">
      <c r="A879" s="33"/>
      <c r="B879" s="303" t="s">
        <v>23</v>
      </c>
      <c r="C879" s="304">
        <f>C878+C873</f>
        <v>4726599.8900000006</v>
      </c>
      <c r="D879" s="304">
        <f>D878+D873</f>
        <v>5553.5188461990374</v>
      </c>
      <c r="E879" s="305">
        <f>+C879/C889</f>
        <v>3.8322833044938602</v>
      </c>
      <c r="F879" s="33"/>
      <c r="G879" s="33"/>
      <c r="H879" s="33"/>
      <c r="I879" s="33"/>
      <c r="J879" s="33"/>
      <c r="K879" s="33"/>
      <c r="L879" s="33"/>
      <c r="M879" s="33"/>
    </row>
    <row r="880" spans="1:14" s="32" customFormat="1">
      <c r="A880" s="33"/>
      <c r="B880" s="306" t="s">
        <v>24</v>
      </c>
      <c r="C880" s="304">
        <f>Model!AO252</f>
        <v>533265.53799999994</v>
      </c>
      <c r="D880" s="286">
        <f>C880/$D$921</f>
        <v>657.95376357711098</v>
      </c>
      <c r="E880" s="307"/>
      <c r="F880" s="33"/>
      <c r="G880" s="33"/>
      <c r="H880" s="33"/>
      <c r="I880" s="33"/>
      <c r="J880" s="33"/>
      <c r="K880" s="33"/>
      <c r="L880" s="33"/>
      <c r="M880" s="33"/>
    </row>
    <row r="881" spans="1:14" s="32" customFormat="1">
      <c r="A881" s="33"/>
      <c r="B881" s="303" t="s">
        <v>14</v>
      </c>
      <c r="C881" s="304">
        <f>+C879-C880</f>
        <v>4193334.3520000009</v>
      </c>
      <c r="D881" s="304">
        <f>+D879-D880</f>
        <v>4895.5650826219262</v>
      </c>
      <c r="E881" s="305">
        <f>+C881/C889</f>
        <v>3.3999165576357218</v>
      </c>
      <c r="F881" s="33"/>
      <c r="G881" s="33"/>
      <c r="H881" s="33"/>
      <c r="I881" s="33"/>
      <c r="J881" s="33"/>
      <c r="K881" s="33"/>
      <c r="L881" s="33"/>
      <c r="M881" s="33"/>
    </row>
    <row r="882" spans="1:14" s="32" customFormat="1">
      <c r="A882" s="33"/>
      <c r="B882" s="84"/>
      <c r="C882" s="84"/>
      <c r="D882" s="84"/>
      <c r="E882" s="86"/>
      <c r="F882" s="33"/>
      <c r="G882" s="33"/>
      <c r="H882" s="33"/>
      <c r="I882" s="33"/>
      <c r="J882" s="33"/>
      <c r="K882" s="33"/>
      <c r="L882" s="33"/>
      <c r="M882" s="33"/>
    </row>
    <row r="883" spans="1:14">
      <c r="B883" s="306" t="s">
        <v>25</v>
      </c>
      <c r="C883" s="308">
        <f>Model!AO272</f>
        <v>781593.37600000005</v>
      </c>
      <c r="D883" s="356">
        <f>C883/$D$921</f>
        <v>964.34565273959277</v>
      </c>
      <c r="E883" s="309"/>
      <c r="N883" s="32"/>
    </row>
    <row r="884" spans="1:14">
      <c r="B884" s="306" t="s">
        <v>26</v>
      </c>
      <c r="C884" s="308">
        <f>Model!AO273</f>
        <v>183629.54500000001</v>
      </c>
      <c r="D884" s="356">
        <f>C884/$D$921</f>
        <v>226.56583189274551</v>
      </c>
      <c r="E884" s="310"/>
      <c r="N884" s="32"/>
    </row>
    <row r="885" spans="1:14">
      <c r="B885" s="306" t="s">
        <v>27</v>
      </c>
      <c r="C885" s="308">
        <f>Model!AO274</f>
        <v>26397.415000000001</v>
      </c>
      <c r="D885" s="356">
        <f>C885/$D$921</f>
        <v>32.569662410768586</v>
      </c>
      <c r="E885" s="310"/>
    </row>
    <row r="886" spans="1:14">
      <c r="B886" s="42" t="s">
        <v>28</v>
      </c>
      <c r="C886" s="45">
        <f>C883+C884+C885</f>
        <v>991620.33600000013</v>
      </c>
      <c r="D886" s="45">
        <f>D883+D884+D885</f>
        <v>1223.4811470431068</v>
      </c>
      <c r="E886" s="43"/>
    </row>
    <row r="887" spans="1:14">
      <c r="B887" s="84" t="s">
        <v>29</v>
      </c>
      <c r="C887" s="288">
        <f>Model!AO290</f>
        <v>6645064.7300000004</v>
      </c>
      <c r="D887" s="286">
        <f>C887/$D$921</f>
        <v>8198.8147306774208</v>
      </c>
      <c r="E887" s="86"/>
    </row>
    <row r="888" spans="1:14">
      <c r="B888" s="84" t="s">
        <v>30</v>
      </c>
      <c r="C888" s="288">
        <f>C887+C879+C886</f>
        <v>12363284.956</v>
      </c>
      <c r="D888" s="288">
        <f>D887+D879+D886</f>
        <v>14975.814723919566</v>
      </c>
      <c r="E888" s="86"/>
    </row>
    <row r="889" spans="1:14">
      <c r="B889" s="84" t="s">
        <v>153</v>
      </c>
      <c r="C889" s="288">
        <f>Model!AO204</f>
        <v>1233363.9019999998</v>
      </c>
      <c r="D889" s="288"/>
      <c r="E889" s="41"/>
    </row>
    <row r="891" spans="1:14">
      <c r="B891" s="176" t="s">
        <v>32</v>
      </c>
      <c r="C891" s="274">
        <f>C879-Model!AO260</f>
        <v>0</v>
      </c>
    </row>
    <row r="893" spans="1:14">
      <c r="B893" s="33" t="s">
        <v>154</v>
      </c>
      <c r="C893" s="290">
        <f>Model!AO289</f>
        <v>6309744</v>
      </c>
      <c r="D893" s="237"/>
    </row>
    <row r="894" spans="1:14">
      <c r="B894" s="33" t="s">
        <v>34</v>
      </c>
      <c r="C894" s="290">
        <f>C893+Model!AO283</f>
        <v>10953372.341</v>
      </c>
      <c r="D894" s="165"/>
    </row>
    <row r="895" spans="1:14">
      <c r="B895" s="238" t="s">
        <v>35</v>
      </c>
      <c r="C895" s="43">
        <f>C894/C897</f>
        <v>6.9139776781994611</v>
      </c>
      <c r="D895" s="43"/>
    </row>
    <row r="897" spans="2:4">
      <c r="B897" s="33" t="s">
        <v>36</v>
      </c>
      <c r="C897" s="290">
        <f>Model!AO223</f>
        <v>1584235.9999999998</v>
      </c>
      <c r="D897" s="237"/>
    </row>
    <row r="900" spans="2:4" ht="13.5" thickBot="1"/>
    <row r="901" spans="2:4">
      <c r="B901" s="267" t="s">
        <v>37</v>
      </c>
      <c r="C901" s="278" t="s">
        <v>38</v>
      </c>
      <c r="D901" s="279" t="s">
        <v>5</v>
      </c>
    </row>
    <row r="902" spans="2:4">
      <c r="B902" s="268" t="s">
        <v>39</v>
      </c>
      <c r="C902" s="269">
        <v>0</v>
      </c>
      <c r="D902" s="270">
        <v>0</v>
      </c>
    </row>
    <row r="903" spans="2:4">
      <c r="B903" s="104" t="s">
        <v>40</v>
      </c>
      <c r="C903" s="243">
        <f>C880</f>
        <v>533265.53799999994</v>
      </c>
      <c r="D903" s="266">
        <f>D880</f>
        <v>657.95376357711098</v>
      </c>
    </row>
    <row r="904" spans="2:4" ht="13.5" thickBot="1">
      <c r="B904" s="271" t="s">
        <v>41</v>
      </c>
      <c r="C904" s="272">
        <f>C902+C903</f>
        <v>533265.53799999994</v>
      </c>
      <c r="D904" s="273">
        <f>D902+D903</f>
        <v>657.95376357711098</v>
      </c>
    </row>
    <row r="905" spans="2:4">
      <c r="D905" s="264"/>
    </row>
    <row r="906" spans="2:4">
      <c r="C906" s="36"/>
    </row>
    <row r="907" spans="2:4" ht="12" customHeight="1" thickBot="1"/>
    <row r="908" spans="2:4">
      <c r="B908" s="323" t="s">
        <v>155</v>
      </c>
      <c r="C908" s="324" t="s">
        <v>58</v>
      </c>
      <c r="D908" s="325" t="s">
        <v>59</v>
      </c>
    </row>
    <row r="909" spans="2:4">
      <c r="B909" s="89">
        <v>2022</v>
      </c>
      <c r="C909" s="353">
        <f t="shared" ref="C909:C914" si="14">D909*$D$865</f>
        <v>477467.10000000003</v>
      </c>
      <c r="D909" s="321">
        <v>561</v>
      </c>
    </row>
    <row r="910" spans="2:4">
      <c r="B910" s="89">
        <v>2023</v>
      </c>
      <c r="C910" s="353">
        <f t="shared" si="14"/>
        <v>447678.60000000003</v>
      </c>
      <c r="D910" s="321">
        <v>526</v>
      </c>
    </row>
    <row r="911" spans="2:4">
      <c r="B911" s="89">
        <v>2024</v>
      </c>
      <c r="C911" s="353">
        <f t="shared" si="14"/>
        <v>112345.2</v>
      </c>
      <c r="D911" s="321">
        <v>132</v>
      </c>
    </row>
    <row r="912" spans="2:4">
      <c r="B912" s="89">
        <v>2025</v>
      </c>
      <c r="C912" s="353">
        <f t="shared" si="14"/>
        <v>250223.4</v>
      </c>
      <c r="D912" s="321">
        <v>294</v>
      </c>
    </row>
    <row r="913" spans="1:14">
      <c r="B913" s="89">
        <v>2026</v>
      </c>
      <c r="C913" s="353">
        <f t="shared" si="14"/>
        <v>84258.900000000009</v>
      </c>
      <c r="D913" s="321">
        <v>99</v>
      </c>
    </row>
    <row r="914" spans="1:14">
      <c r="B914" s="89" t="s">
        <v>134</v>
      </c>
      <c r="C914" s="353">
        <f t="shared" si="14"/>
        <v>2278394.7000000002</v>
      </c>
      <c r="D914" s="321">
        <v>2677</v>
      </c>
    </row>
    <row r="915" spans="1:14" ht="13.5" thickBot="1">
      <c r="B915" s="91"/>
      <c r="C915" s="327"/>
      <c r="D915" s="328"/>
    </row>
    <row r="916" spans="1:14">
      <c r="B916" s="80" t="s">
        <v>44</v>
      </c>
      <c r="C916" s="121">
        <f>SUM(C909:C915)</f>
        <v>3650367.9000000004</v>
      </c>
      <c r="D916" s="121">
        <f>SUM(D909:D915)</f>
        <v>4289</v>
      </c>
    </row>
    <row r="917" spans="1:14">
      <c r="B917" s="80"/>
      <c r="C917" s="121"/>
      <c r="D917" s="121"/>
    </row>
    <row r="918" spans="1:14">
      <c r="B918" s="80"/>
      <c r="C918" s="121"/>
      <c r="D918" s="121"/>
    </row>
    <row r="919" spans="1:14">
      <c r="B919" s="80"/>
      <c r="C919" s="121"/>
      <c r="D919" s="121"/>
    </row>
    <row r="921" spans="1:14">
      <c r="A921" s="80" t="s">
        <v>156</v>
      </c>
      <c r="C921" s="80" t="s">
        <v>157</v>
      </c>
      <c r="D921" s="292">
        <f>Model!AN382</f>
        <v>810.49090000000001</v>
      </c>
    </row>
    <row r="923" spans="1:14">
      <c r="I923" s="320" t="s">
        <v>8</v>
      </c>
    </row>
    <row r="924" spans="1:14">
      <c r="B924" s="285" t="s">
        <v>158</v>
      </c>
      <c r="C924" s="34" t="s">
        <v>4</v>
      </c>
      <c r="D924" s="34" t="s">
        <v>5</v>
      </c>
      <c r="E924" s="34" t="s">
        <v>48</v>
      </c>
      <c r="I924" s="285" t="s">
        <v>158</v>
      </c>
      <c r="J924" s="34" t="s">
        <v>4</v>
      </c>
      <c r="K924" s="34" t="s">
        <v>5</v>
      </c>
      <c r="L924" s="34" t="s">
        <v>48</v>
      </c>
    </row>
    <row r="925" spans="1:14" s="32" customFormat="1">
      <c r="A925" s="33"/>
      <c r="B925" s="111" t="s">
        <v>9</v>
      </c>
      <c r="C925" s="155">
        <v>334066.66700000002</v>
      </c>
      <c r="D925" s="286">
        <f>C925/$D$921</f>
        <v>412.17818361686727</v>
      </c>
      <c r="E925" s="112"/>
      <c r="F925" s="33"/>
      <c r="G925" s="33"/>
      <c r="H925" s="33"/>
      <c r="I925" s="42" t="s">
        <v>10</v>
      </c>
      <c r="J925" s="295">
        <f>+C935-C932-C927</f>
        <v>3527169.6030000001</v>
      </c>
      <c r="K925" s="45">
        <f>J925/$D$921</f>
        <v>4351.8929120610728</v>
      </c>
      <c r="L925" s="43">
        <f>J925/J929</f>
        <v>2.9023033589545109</v>
      </c>
      <c r="M925" s="33"/>
      <c r="N925" s="33"/>
    </row>
    <row r="926" spans="1:14" s="32" customFormat="1">
      <c r="A926" s="33"/>
      <c r="B926" s="111" t="s">
        <v>11</v>
      </c>
      <c r="C926" s="352">
        <v>160088.277</v>
      </c>
      <c r="D926" s="286">
        <f>C926/$D$921</f>
        <v>197.52014118850687</v>
      </c>
      <c r="E926" s="112"/>
      <c r="F926" s="33"/>
      <c r="G926" s="33"/>
      <c r="H926" s="33"/>
      <c r="I926" s="41" t="s">
        <v>24</v>
      </c>
      <c r="J926" s="295">
        <f>Model!AN252-Model!AN296</f>
        <v>956938.99500000011</v>
      </c>
      <c r="K926" s="45">
        <f>J926/$D$921</f>
        <v>1180.6906098513878</v>
      </c>
      <c r="L926" s="44"/>
      <c r="M926" s="33"/>
    </row>
    <row r="927" spans="1:14" s="32" customFormat="1">
      <c r="A927" s="33"/>
      <c r="B927" s="111" t="s">
        <v>13</v>
      </c>
      <c r="C927" s="352">
        <v>82277.494000000006</v>
      </c>
      <c r="D927" s="286">
        <f>C927/$D$921</f>
        <v>101.51562960176358</v>
      </c>
      <c r="E927" s="112"/>
      <c r="F927" s="33"/>
      <c r="G927" s="33"/>
      <c r="H927" s="33"/>
      <c r="I927" s="42" t="s">
        <v>14</v>
      </c>
      <c r="J927" s="295">
        <f>+J925-J926</f>
        <v>2570230.608</v>
      </c>
      <c r="K927" s="45">
        <f>+K925-K926</f>
        <v>3171.2023022096851</v>
      </c>
      <c r="L927" s="43">
        <f>J927/J929</f>
        <v>2.114893743850994</v>
      </c>
      <c r="M927" s="33"/>
    </row>
    <row r="928" spans="1:14" s="32" customFormat="1">
      <c r="A928" s="33"/>
      <c r="B928" s="111" t="s">
        <v>15</v>
      </c>
      <c r="C928" s="155">
        <v>39539.970999999998</v>
      </c>
      <c r="D928" s="286">
        <f>C928/$D$921</f>
        <v>48.785212764264223</v>
      </c>
      <c r="E928" s="112"/>
      <c r="F928" s="33"/>
      <c r="G928" s="33"/>
      <c r="H928" s="33"/>
      <c r="M928" s="33"/>
    </row>
    <row r="929" spans="1:14" s="32" customFormat="1">
      <c r="A929" s="33"/>
      <c r="B929" s="109" t="s">
        <v>17</v>
      </c>
      <c r="C929" s="156">
        <f>SUM(C925:C928)</f>
        <v>615972.4090000001</v>
      </c>
      <c r="D929" s="156">
        <f>SUM(D925:D928)</f>
        <v>759.99916717140184</v>
      </c>
      <c r="E929" s="110"/>
      <c r="F929" s="33"/>
      <c r="G929" s="33"/>
      <c r="H929" s="33"/>
      <c r="I929" s="84" t="s">
        <v>159</v>
      </c>
      <c r="J929" s="295">
        <f>C945</f>
        <v>1215300.1140000001</v>
      </c>
      <c r="K929" s="45"/>
      <c r="L929" s="43"/>
      <c r="M929" s="33"/>
    </row>
    <row r="930" spans="1:14" s="32" customFormat="1">
      <c r="A930" s="33"/>
      <c r="B930" s="111" t="s">
        <v>18</v>
      </c>
      <c r="C930" s="155">
        <v>451240.19400000002</v>
      </c>
      <c r="D930" s="286">
        <f>C930/$D$921</f>
        <v>556.74924172498424</v>
      </c>
      <c r="E930" s="110"/>
      <c r="F930" s="33"/>
      <c r="G930" s="33"/>
      <c r="H930" s="33"/>
      <c r="I930" s="33"/>
      <c r="J930" s="33"/>
      <c r="K930" s="33"/>
      <c r="L930" s="33"/>
      <c r="M930" s="33"/>
    </row>
    <row r="931" spans="1:14" s="32" customFormat="1">
      <c r="A931" s="33"/>
      <c r="B931" s="111" t="s">
        <v>19</v>
      </c>
      <c r="C931" s="155">
        <v>2523628.6639999999</v>
      </c>
      <c r="D931" s="286">
        <f>C931/$D$921</f>
        <v>3113.7038848924767</v>
      </c>
      <c r="E931" s="110"/>
      <c r="F931" s="33"/>
      <c r="G931" s="33"/>
      <c r="H931" s="33"/>
      <c r="I931" s="33"/>
      <c r="J931" s="33"/>
      <c r="K931" s="33"/>
      <c r="L931" s="33"/>
    </row>
    <row r="932" spans="1:14" s="32" customFormat="1">
      <c r="A932" s="33"/>
      <c r="B932" s="111" t="s">
        <v>20</v>
      </c>
      <c r="C932" s="352">
        <v>892776.80099999998</v>
      </c>
      <c r="D932" s="286">
        <f>C932/$D$921</f>
        <v>1101.5260023277251</v>
      </c>
      <c r="E932" s="110"/>
      <c r="F932" s="33"/>
      <c r="G932" s="33"/>
      <c r="H932" s="33"/>
      <c r="I932" s="33"/>
      <c r="J932" s="33"/>
      <c r="K932" s="33"/>
      <c r="L932" s="33"/>
    </row>
    <row r="933" spans="1:14" s="32" customFormat="1">
      <c r="A933" s="33"/>
      <c r="B933" s="111" t="s">
        <v>15</v>
      </c>
      <c r="C933" s="155">
        <v>18605.830000000002</v>
      </c>
      <c r="D933" s="286">
        <f>C933/$D$921</f>
        <v>22.956247873973663</v>
      </c>
      <c r="E933" s="110"/>
      <c r="F933" s="33"/>
      <c r="G933" s="33"/>
      <c r="H933" s="33"/>
      <c r="I933" s="33"/>
      <c r="J933" s="33"/>
      <c r="K933" s="33"/>
      <c r="L933" s="33"/>
    </row>
    <row r="934" spans="1:14" s="32" customFormat="1">
      <c r="A934" s="33"/>
      <c r="B934" s="109" t="s">
        <v>22</v>
      </c>
      <c r="C934" s="156">
        <f>SUM(C930:C933)</f>
        <v>3886251.4890000001</v>
      </c>
      <c r="D934" s="156">
        <f>SUM(D930:D933)</f>
        <v>4794.9353768191595</v>
      </c>
      <c r="E934" s="110"/>
      <c r="F934" s="33"/>
      <c r="G934" s="33"/>
      <c r="H934" s="33"/>
      <c r="I934" s="33"/>
      <c r="J934" s="33"/>
      <c r="K934" s="33"/>
      <c r="L934" s="33"/>
    </row>
    <row r="935" spans="1:14" s="32" customFormat="1">
      <c r="A935" s="33"/>
      <c r="B935" s="303" t="s">
        <v>23</v>
      </c>
      <c r="C935" s="304">
        <f>C934+C929</f>
        <v>4502223.898</v>
      </c>
      <c r="D935" s="304">
        <f>D934+D929</f>
        <v>5554.934543990561</v>
      </c>
      <c r="E935" s="305">
        <f>+C935/C945</f>
        <v>3.7046190040923501</v>
      </c>
      <c r="F935" s="33"/>
      <c r="G935" s="33"/>
      <c r="H935" s="33"/>
      <c r="I935" s="33"/>
      <c r="J935" s="33"/>
      <c r="K935" s="33"/>
      <c r="L935" s="33"/>
    </row>
    <row r="936" spans="1:14">
      <c r="B936" s="306" t="s">
        <v>24</v>
      </c>
      <c r="C936" s="304">
        <f>Model!AN252</f>
        <v>527594.04</v>
      </c>
      <c r="D936" s="286">
        <f>C936/$D$921</f>
        <v>650.95615509069876</v>
      </c>
      <c r="E936" s="307"/>
      <c r="M936" s="32"/>
      <c r="N936" s="32"/>
    </row>
    <row r="937" spans="1:14">
      <c r="B937" s="303" t="s">
        <v>14</v>
      </c>
      <c r="C937" s="304">
        <f>+C935-C936</f>
        <v>3974629.858</v>
      </c>
      <c r="D937" s="304">
        <f>+D935-D936</f>
        <v>4903.9783888998627</v>
      </c>
      <c r="E937" s="305">
        <f>+C937/C945</f>
        <v>3.270492458787015</v>
      </c>
      <c r="M937" s="32"/>
    </row>
    <row r="938" spans="1:14">
      <c r="B938" s="84"/>
      <c r="C938" s="84"/>
      <c r="D938" s="84"/>
      <c r="E938" s="86"/>
      <c r="M938" s="32"/>
    </row>
    <row r="939" spans="1:14">
      <c r="B939" s="306" t="s">
        <v>25</v>
      </c>
      <c r="C939" s="308">
        <f>Model!AN272</f>
        <v>714553.56400000001</v>
      </c>
      <c r="D939" s="356">
        <f>C939/$D$921</f>
        <v>881.63058215706064</v>
      </c>
      <c r="E939" s="309"/>
      <c r="M939" s="32"/>
    </row>
    <row r="940" spans="1:14">
      <c r="B940" s="306" t="s">
        <v>26</v>
      </c>
      <c r="C940" s="308">
        <f>Model!AN273</f>
        <v>210207.12</v>
      </c>
      <c r="D940" s="356">
        <f>C940/$D$921</f>
        <v>259.35777934089083</v>
      </c>
      <c r="E940" s="310"/>
      <c r="M940" s="32"/>
    </row>
    <row r="941" spans="1:14">
      <c r="B941" s="306" t="s">
        <v>27</v>
      </c>
      <c r="C941" s="308">
        <f>Model!AN274</f>
        <v>26990.294000000002</v>
      </c>
      <c r="D941" s="356">
        <f>C941/$D$921</f>
        <v>33.301168464692203</v>
      </c>
      <c r="E941" s="310"/>
      <c r="M941" s="32"/>
    </row>
    <row r="942" spans="1:14">
      <c r="B942" s="42" t="s">
        <v>28</v>
      </c>
      <c r="C942" s="45">
        <f>C939+C940+C941</f>
        <v>951750.978</v>
      </c>
      <c r="D942" s="45">
        <f>D939+D940+D941</f>
        <v>1174.2895299626437</v>
      </c>
      <c r="E942" s="43"/>
    </row>
    <row r="943" spans="1:14">
      <c r="B943" s="84" t="s">
        <v>29</v>
      </c>
      <c r="C943" s="288">
        <f>Model!AN290</f>
        <v>6482817.2199999997</v>
      </c>
      <c r="D943" s="286">
        <f>C943/$D$921</f>
        <v>7998.6304843151229</v>
      </c>
      <c r="E943" s="86"/>
    </row>
    <row r="944" spans="1:14">
      <c r="B944" s="84" t="s">
        <v>30</v>
      </c>
      <c r="C944" s="288">
        <f>C943+C935+C942</f>
        <v>11936792.096000001</v>
      </c>
      <c r="D944" s="288">
        <f>D943+D935+D942</f>
        <v>14727.854558268327</v>
      </c>
      <c r="E944" s="86"/>
    </row>
    <row r="945" spans="2:5">
      <c r="B945" s="84" t="s">
        <v>160</v>
      </c>
      <c r="C945" s="288">
        <f>Model!AN204</f>
        <v>1215300.1140000001</v>
      </c>
      <c r="D945" s="288"/>
      <c r="E945" s="41"/>
    </row>
    <row r="947" spans="2:5">
      <c r="B947" s="176" t="s">
        <v>32</v>
      </c>
      <c r="C947" s="274">
        <f>C935-Model!AN260</f>
        <v>0</v>
      </c>
    </row>
    <row r="949" spans="2:5">
      <c r="B949" s="33" t="s">
        <v>161</v>
      </c>
      <c r="C949" s="290">
        <f>Model!AN289</f>
        <v>7099000</v>
      </c>
      <c r="D949" s="237"/>
    </row>
    <row r="950" spans="2:5">
      <c r="B950" s="33" t="s">
        <v>34</v>
      </c>
      <c r="C950" s="290">
        <f>C949+Model!AN283</f>
        <v>11577920.581</v>
      </c>
      <c r="D950" s="165"/>
    </row>
    <row r="951" spans="2:5">
      <c r="B951" s="238" t="s">
        <v>35</v>
      </c>
      <c r="C951" s="43">
        <f>C950/C953</f>
        <v>7.400637912133921</v>
      </c>
      <c r="D951" s="43"/>
    </row>
    <row r="953" spans="2:5">
      <c r="B953" s="33" t="s">
        <v>36</v>
      </c>
      <c r="C953" s="290">
        <f>Model!AN223</f>
        <v>1564449</v>
      </c>
      <c r="D953" s="237"/>
    </row>
    <row r="956" spans="2:5" ht="13.5" thickBot="1"/>
    <row r="957" spans="2:5">
      <c r="B957" s="267" t="s">
        <v>37</v>
      </c>
      <c r="C957" s="278" t="s">
        <v>38</v>
      </c>
      <c r="D957" s="279" t="s">
        <v>5</v>
      </c>
    </row>
    <row r="958" spans="2:5">
      <c r="B958" s="268" t="s">
        <v>39</v>
      </c>
      <c r="C958" s="269">
        <v>0</v>
      </c>
      <c r="D958" s="270">
        <v>0</v>
      </c>
    </row>
    <row r="959" spans="2:5">
      <c r="B959" s="104" t="s">
        <v>40</v>
      </c>
      <c r="C959" s="243">
        <f>C936</f>
        <v>527594.04</v>
      </c>
      <c r="D959" s="266">
        <f>D936</f>
        <v>650.95615509069876</v>
      </c>
    </row>
    <row r="960" spans="2:5" ht="12" customHeight="1" thickBot="1">
      <c r="B960" s="271" t="s">
        <v>41</v>
      </c>
      <c r="C960" s="272">
        <f>C958+C959</f>
        <v>527594.04</v>
      </c>
      <c r="D960" s="273">
        <f>D958+D959</f>
        <v>650.95615509069876</v>
      </c>
    </row>
    <row r="961" spans="2:4">
      <c r="D961" s="264"/>
    </row>
    <row r="962" spans="2:4">
      <c r="C962" s="36"/>
    </row>
    <row r="963" spans="2:4" ht="13.5" thickBot="1"/>
    <row r="964" spans="2:4">
      <c r="B964" s="323" t="s">
        <v>162</v>
      </c>
      <c r="C964" s="324" t="s">
        <v>58</v>
      </c>
      <c r="D964" s="325" t="s">
        <v>59</v>
      </c>
    </row>
    <row r="965" spans="2:4">
      <c r="B965" s="89">
        <v>2021</v>
      </c>
      <c r="C965" s="353">
        <f t="shared" ref="C965:C970" si="15">D965*$D$921</f>
        <v>154803.76190000001</v>
      </c>
      <c r="D965" s="321">
        <v>191</v>
      </c>
    </row>
    <row r="966" spans="2:4">
      <c r="B966" s="89">
        <v>2022</v>
      </c>
      <c r="C966" s="353">
        <f t="shared" si="15"/>
        <v>359857.9596</v>
      </c>
      <c r="D966" s="321">
        <v>444</v>
      </c>
    </row>
    <row r="967" spans="2:4">
      <c r="B967" s="89">
        <v>2023</v>
      </c>
      <c r="C967" s="353">
        <f t="shared" si="15"/>
        <v>734304.75540000002</v>
      </c>
      <c r="D967" s="321">
        <v>906</v>
      </c>
    </row>
    <row r="968" spans="2:4">
      <c r="B968" s="89">
        <v>2024</v>
      </c>
      <c r="C968" s="353">
        <f t="shared" si="15"/>
        <v>76186.1446</v>
      </c>
      <c r="D968" s="321">
        <v>94</v>
      </c>
    </row>
    <row r="969" spans="2:4">
      <c r="B969" s="89">
        <v>2025</v>
      </c>
      <c r="C969" s="353">
        <f t="shared" si="15"/>
        <v>382551.70480000001</v>
      </c>
      <c r="D969" s="321">
        <v>472</v>
      </c>
    </row>
    <row r="970" spans="2:4">
      <c r="B970" s="89" t="s">
        <v>163</v>
      </c>
      <c r="C970" s="353">
        <f t="shared" si="15"/>
        <v>1780648.5072999999</v>
      </c>
      <c r="D970" s="321">
        <v>2197</v>
      </c>
    </row>
    <row r="971" spans="2:4" ht="13.5" thickBot="1">
      <c r="B971" s="91"/>
      <c r="C971" s="327"/>
      <c r="D971" s="328"/>
    </row>
    <row r="972" spans="2:4">
      <c r="B972" s="80" t="s">
        <v>44</v>
      </c>
      <c r="C972" s="121">
        <f>SUM(C965:C971)</f>
        <v>3488352.8336</v>
      </c>
      <c r="D972" s="121">
        <f>SUM(D965:D971)</f>
        <v>4304</v>
      </c>
    </row>
    <row r="973" spans="2:4">
      <c r="B973" s="80"/>
      <c r="C973" s="121"/>
      <c r="D973" s="121"/>
    </row>
    <row r="974" spans="2:4">
      <c r="B974" s="80"/>
      <c r="C974" s="121"/>
      <c r="D974" s="121"/>
    </row>
    <row r="975" spans="2:4">
      <c r="B975" s="80"/>
      <c r="C975" s="121"/>
      <c r="D975" s="121"/>
    </row>
    <row r="977" spans="1:14">
      <c r="A977" s="80" t="s">
        <v>164</v>
      </c>
      <c r="C977" s="80" t="s">
        <v>165</v>
      </c>
      <c r="D977" s="292">
        <f>Model!AM382</f>
        <v>734.38</v>
      </c>
    </row>
    <row r="978" spans="1:14" s="32" customForma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</row>
    <row r="979" spans="1:14" s="32" customFormat="1">
      <c r="A979" s="33"/>
      <c r="B979" s="33"/>
      <c r="C979" s="33"/>
      <c r="D979" s="33"/>
      <c r="E979" s="33"/>
      <c r="F979" s="33"/>
      <c r="G979" s="33"/>
      <c r="H979" s="33"/>
      <c r="I979" s="320" t="s">
        <v>8</v>
      </c>
      <c r="J979" s="33"/>
      <c r="K979" s="33"/>
      <c r="L979" s="33"/>
      <c r="M979" s="33"/>
    </row>
    <row r="980" spans="1:14" s="32" customFormat="1">
      <c r="A980" s="33"/>
      <c r="B980" s="285" t="s">
        <v>166</v>
      </c>
      <c r="C980" s="34" t="s">
        <v>4</v>
      </c>
      <c r="D980" s="34" t="s">
        <v>5</v>
      </c>
      <c r="E980" s="34" t="s">
        <v>48</v>
      </c>
      <c r="F980" s="33"/>
      <c r="G980" s="33"/>
      <c r="H980" s="33"/>
      <c r="I980" s="285" t="s">
        <v>166</v>
      </c>
      <c r="J980" s="34" t="s">
        <v>4</v>
      </c>
      <c r="K980" s="34" t="s">
        <v>5</v>
      </c>
      <c r="L980" s="34" t="s">
        <v>48</v>
      </c>
      <c r="M980" s="33"/>
    </row>
    <row r="981" spans="1:14" s="32" customFormat="1">
      <c r="A981" s="33"/>
      <c r="B981" s="111" t="s">
        <v>9</v>
      </c>
      <c r="C981" s="155">
        <v>282566.25400000002</v>
      </c>
      <c r="D981" s="286">
        <f>C981/$D$977</f>
        <v>384.76844957651355</v>
      </c>
      <c r="E981" s="112"/>
      <c r="F981" s="33"/>
      <c r="G981" s="33"/>
      <c r="H981" s="33"/>
      <c r="I981" s="42" t="s">
        <v>10</v>
      </c>
      <c r="J981" s="295">
        <f>+C991-C988-C983</f>
        <v>3414487.1810000003</v>
      </c>
      <c r="K981" s="45">
        <f>J981/$D$977</f>
        <v>4649.4828031809147</v>
      </c>
      <c r="L981" s="43">
        <f>J981/J985</f>
        <v>3.2883283526440104</v>
      </c>
      <c r="M981" s="33"/>
    </row>
    <row r="982" spans="1:14" s="32" customFormat="1">
      <c r="A982" s="33"/>
      <c r="B982" s="111" t="s">
        <v>11</v>
      </c>
      <c r="C982" s="352">
        <v>144858.04699999999</v>
      </c>
      <c r="D982" s="286">
        <f>C982/$D$977</f>
        <v>197.25216781502763</v>
      </c>
      <c r="E982" s="112"/>
      <c r="F982" s="33"/>
      <c r="G982" s="33"/>
      <c r="H982" s="33"/>
      <c r="I982" s="41" t="s">
        <v>24</v>
      </c>
      <c r="J982" s="295">
        <f>Model!AM252-Model!AM296</f>
        <v>1069798.0759999999</v>
      </c>
      <c r="K982" s="45">
        <f>J982/$D$977</f>
        <v>1456.7363980500556</v>
      </c>
      <c r="L982" s="44"/>
      <c r="M982" s="33"/>
    </row>
    <row r="983" spans="1:14" s="32" customFormat="1">
      <c r="A983" s="33"/>
      <c r="B983" s="111" t="s">
        <v>13</v>
      </c>
      <c r="C983" s="352">
        <v>80001.498000000007</v>
      </c>
      <c r="D983" s="286">
        <f>C983/$D$977</f>
        <v>108.93746834064109</v>
      </c>
      <c r="E983" s="112"/>
      <c r="F983" s="33"/>
      <c r="G983" s="33"/>
      <c r="H983" s="33"/>
      <c r="I983" s="42" t="s">
        <v>14</v>
      </c>
      <c r="J983" s="295">
        <f>+J981-J982</f>
        <v>2344689.1050000004</v>
      </c>
      <c r="K983" s="45">
        <f>+K981-K982</f>
        <v>3192.7464051308589</v>
      </c>
      <c r="L983" s="43">
        <f>J983/J985</f>
        <v>2.2580572874925693</v>
      </c>
    </row>
    <row r="984" spans="1:14" s="32" customFormat="1">
      <c r="A984" s="33"/>
      <c r="B984" s="111" t="s">
        <v>15</v>
      </c>
      <c r="C984" s="155">
        <v>17017.531999999999</v>
      </c>
      <c r="D984" s="286">
        <f>C984/$D$977</f>
        <v>23.172651760668863</v>
      </c>
      <c r="E984" s="112"/>
      <c r="F984" s="33"/>
      <c r="G984" s="33"/>
      <c r="H984" s="33"/>
    </row>
    <row r="985" spans="1:14" s="32" customFormat="1">
      <c r="A985" s="33"/>
      <c r="B985" s="109" t="s">
        <v>17</v>
      </c>
      <c r="C985" s="156">
        <f>SUM(C981:C984)</f>
        <v>524443.33100000001</v>
      </c>
      <c r="D985" s="156">
        <f>SUM(D981:D984)</f>
        <v>714.13073749285115</v>
      </c>
      <c r="E985" s="110"/>
      <c r="F985" s="33"/>
      <c r="G985" s="33"/>
      <c r="H985" s="33"/>
      <c r="I985" s="84" t="s">
        <v>167</v>
      </c>
      <c r="J985" s="295">
        <f>C1001</f>
        <v>1038365.642</v>
      </c>
      <c r="K985" s="45"/>
      <c r="L985" s="43"/>
    </row>
    <row r="986" spans="1:14" s="32" customFormat="1">
      <c r="A986" s="33"/>
      <c r="B986" s="111" t="s">
        <v>18</v>
      </c>
      <c r="C986" s="155">
        <v>568273.17500000005</v>
      </c>
      <c r="D986" s="286">
        <f>C986/$D$977</f>
        <v>773.81352297175852</v>
      </c>
      <c r="E986" s="110"/>
      <c r="F986" s="33"/>
      <c r="G986" s="33"/>
      <c r="H986" s="33"/>
      <c r="I986" s="33"/>
      <c r="J986" s="33"/>
      <c r="K986" s="33"/>
      <c r="L986" s="33"/>
    </row>
    <row r="987" spans="1:14" s="32" customFormat="1">
      <c r="A987" s="33"/>
      <c r="B987" s="111" t="s">
        <v>19</v>
      </c>
      <c r="C987" s="155">
        <v>2397764.3390000002</v>
      </c>
      <c r="D987" s="286">
        <f>C987/$D$977</f>
        <v>3265.0185721288708</v>
      </c>
      <c r="E987" s="110"/>
      <c r="F987" s="33"/>
      <c r="G987" s="33"/>
      <c r="H987" s="33"/>
      <c r="I987" s="33"/>
      <c r="J987" s="33"/>
      <c r="K987" s="33"/>
      <c r="L987" s="33"/>
    </row>
    <row r="988" spans="1:14" s="32" customFormat="1">
      <c r="A988" s="33"/>
      <c r="B988" s="111" t="s">
        <v>20</v>
      </c>
      <c r="C988" s="352">
        <v>857019.228</v>
      </c>
      <c r="D988" s="286">
        <f>C988/$D$977</f>
        <v>1166.9969607015441</v>
      </c>
      <c r="E988" s="110"/>
      <c r="F988" s="33"/>
      <c r="G988" s="33"/>
      <c r="H988" s="33"/>
      <c r="I988" s="33"/>
      <c r="J988" s="33"/>
      <c r="K988" s="33"/>
      <c r="L988" s="33"/>
    </row>
    <row r="989" spans="1:14">
      <c r="B989" s="111" t="s">
        <v>15</v>
      </c>
      <c r="C989" s="155">
        <v>4007.8339999999998</v>
      </c>
      <c r="D989" s="286">
        <f>C989/$D$977</f>
        <v>5.4574389280753834</v>
      </c>
      <c r="E989" s="110"/>
      <c r="M989" s="32"/>
      <c r="N989" s="32"/>
    </row>
    <row r="990" spans="1:14">
      <c r="B990" s="109" t="s">
        <v>22</v>
      </c>
      <c r="C990" s="156">
        <f>SUM(C986:C989)</f>
        <v>3827064.5760000004</v>
      </c>
      <c r="D990" s="156">
        <f>SUM(D986:D989)</f>
        <v>5211.2864947302487</v>
      </c>
      <c r="E990" s="110"/>
      <c r="M990" s="32"/>
    </row>
    <row r="991" spans="1:14">
      <c r="B991" s="303" t="s">
        <v>23</v>
      </c>
      <c r="C991" s="304">
        <f>C990+C985</f>
        <v>4351507.9070000006</v>
      </c>
      <c r="D991" s="304">
        <f>D990+D985</f>
        <v>5925.4172322230997</v>
      </c>
      <c r="E991" s="305">
        <f>+C991/C1001</f>
        <v>4.1907279391665391</v>
      </c>
      <c r="M991" s="32"/>
    </row>
    <row r="992" spans="1:14">
      <c r="B992" s="306" t="s">
        <v>24</v>
      </c>
      <c r="C992" s="304">
        <f>Model!AM252</f>
        <v>814874.99</v>
      </c>
      <c r="D992" s="286">
        <f>C992/$D$977</f>
        <v>1109.6094528718102</v>
      </c>
      <c r="E992" s="307"/>
      <c r="M992" s="32"/>
    </row>
    <row r="993" spans="2:13">
      <c r="B993" s="303" t="s">
        <v>14</v>
      </c>
      <c r="C993" s="304">
        <f>+C991-C992</f>
        <v>3536632.9170000004</v>
      </c>
      <c r="D993" s="304">
        <f>+D991-D992</f>
        <v>4815.8077793512894</v>
      </c>
      <c r="E993" s="305">
        <f>+C993/C1001</f>
        <v>3.4059610352554408</v>
      </c>
      <c r="M993" s="32"/>
    </row>
    <row r="994" spans="2:13">
      <c r="B994" s="84"/>
      <c r="C994" s="84"/>
      <c r="D994" s="84"/>
      <c r="E994" s="86"/>
    </row>
    <row r="995" spans="2:13">
      <c r="B995" s="306" t="s">
        <v>25</v>
      </c>
      <c r="C995" s="308">
        <f>Model!AM272</f>
        <v>602010.92200000002</v>
      </c>
      <c r="D995" s="356">
        <f>C995/$D$977</f>
        <v>819.75397205806257</v>
      </c>
      <c r="E995" s="309"/>
    </row>
    <row r="996" spans="2:13">
      <c r="B996" s="306" t="s">
        <v>26</v>
      </c>
      <c r="C996" s="308">
        <f>Model!AM273</f>
        <v>206606.47200000001</v>
      </c>
      <c r="D996" s="356">
        <f>C996/$D$977</f>
        <v>281.33455704131376</v>
      </c>
      <c r="E996" s="310"/>
    </row>
    <row r="997" spans="2:13">
      <c r="B997" s="306" t="s">
        <v>27</v>
      </c>
      <c r="C997" s="308">
        <f>Model!AM274</f>
        <v>25772.531999999999</v>
      </c>
      <c r="D997" s="356">
        <f>C997/$D$977</f>
        <v>35.094272719845314</v>
      </c>
      <c r="E997" s="310"/>
    </row>
    <row r="998" spans="2:13">
      <c r="B998" s="42" t="s">
        <v>28</v>
      </c>
      <c r="C998" s="45">
        <f>C995+C996+C997</f>
        <v>834389.92600000009</v>
      </c>
      <c r="D998" s="45">
        <f>D995+D996+D997</f>
        <v>1136.1828018192216</v>
      </c>
      <c r="E998" s="43"/>
    </row>
    <row r="999" spans="2:13">
      <c r="B999" s="84" t="s">
        <v>29</v>
      </c>
      <c r="C999" s="288">
        <f>Model!AM290</f>
        <v>6194141.1880000001</v>
      </c>
      <c r="D999" s="286">
        <f>C999/$D$1034</f>
        <v>8614.4598186470848</v>
      </c>
      <c r="E999" s="86"/>
    </row>
    <row r="1000" spans="2:13">
      <c r="B1000" s="84" t="s">
        <v>30</v>
      </c>
      <c r="C1000" s="288">
        <f>C999+C991+C998</f>
        <v>11380039.021000002</v>
      </c>
      <c r="D1000" s="288">
        <f>D999+D991+D998</f>
        <v>15676.059852689406</v>
      </c>
      <c r="E1000" s="86"/>
    </row>
    <row r="1001" spans="2:13">
      <c r="B1001" s="84" t="s">
        <v>168</v>
      </c>
      <c r="C1001" s="288">
        <f>Model!AM204</f>
        <v>1038365.642</v>
      </c>
      <c r="D1001" s="288"/>
      <c r="E1001" s="41"/>
    </row>
    <row r="1003" spans="2:13">
      <c r="B1003" s="176" t="s">
        <v>32</v>
      </c>
      <c r="C1003" s="274">
        <f>C991-Model!AM260</f>
        <v>0</v>
      </c>
    </row>
    <row r="1005" spans="2:13">
      <c r="B1005" s="33" t="s">
        <v>169</v>
      </c>
      <c r="C1005" s="290">
        <f>Model!AM289</f>
        <v>9725636.5600000005</v>
      </c>
      <c r="D1005" s="237"/>
    </row>
    <row r="1006" spans="2:13">
      <c r="B1006" s="33" t="s">
        <v>34</v>
      </c>
      <c r="C1006" s="290">
        <f>C1005+Model!AM283</f>
        <v>13974513.667000001</v>
      </c>
      <c r="D1006" s="165"/>
    </row>
    <row r="1007" spans="2:13">
      <c r="B1007" s="238" t="s">
        <v>35</v>
      </c>
      <c r="C1007" s="43">
        <f>C1006/C1009</f>
        <v>10.322534982977382</v>
      </c>
      <c r="D1007" s="43"/>
    </row>
    <row r="1009" spans="2:4">
      <c r="B1009" s="33" t="s">
        <v>36</v>
      </c>
      <c r="C1009" s="290">
        <f>Model!AM223</f>
        <v>1353787</v>
      </c>
      <c r="D1009" s="237"/>
    </row>
    <row r="1012" spans="2:4" ht="13.5" thickBot="1"/>
    <row r="1013" spans="2:4" ht="12" customHeight="1">
      <c r="B1013" s="267" t="s">
        <v>37</v>
      </c>
      <c r="C1013" s="278" t="s">
        <v>38</v>
      </c>
      <c r="D1013" s="279" t="s">
        <v>5</v>
      </c>
    </row>
    <row r="1014" spans="2:4">
      <c r="B1014" s="268" t="s">
        <v>39</v>
      </c>
      <c r="C1014" s="269">
        <v>0</v>
      </c>
      <c r="D1014" s="270">
        <v>0</v>
      </c>
    </row>
    <row r="1015" spans="2:4">
      <c r="B1015" s="104" t="s">
        <v>40</v>
      </c>
      <c r="C1015" s="243">
        <f>C992</f>
        <v>814874.99</v>
      </c>
      <c r="D1015" s="266">
        <f>D992</f>
        <v>1109.6094528718102</v>
      </c>
    </row>
    <row r="1016" spans="2:4" ht="13.5" thickBot="1">
      <c r="B1016" s="271" t="s">
        <v>41</v>
      </c>
      <c r="C1016" s="272">
        <f>C1014+C1015</f>
        <v>814874.99</v>
      </c>
      <c r="D1016" s="273">
        <f>D1014+D1015</f>
        <v>1109.6094528718102</v>
      </c>
    </row>
    <row r="1017" spans="2:4">
      <c r="D1017" s="264"/>
    </row>
    <row r="1018" spans="2:4">
      <c r="C1018" s="36"/>
    </row>
    <row r="1019" spans="2:4" ht="13.5" thickBot="1"/>
    <row r="1020" spans="2:4">
      <c r="B1020" s="323" t="s">
        <v>170</v>
      </c>
      <c r="C1020" s="324" t="s">
        <v>58</v>
      </c>
      <c r="D1020" s="325" t="s">
        <v>59</v>
      </c>
    </row>
    <row r="1021" spans="2:4">
      <c r="B1021" s="89">
        <v>2021</v>
      </c>
      <c r="C1021" s="353">
        <f t="shared" ref="C1021:C1026" si="16">D1021*$D$977</f>
        <v>170376.16</v>
      </c>
      <c r="D1021" s="321">
        <v>232</v>
      </c>
    </row>
    <row r="1022" spans="2:4">
      <c r="B1022" s="89">
        <v>2022</v>
      </c>
      <c r="C1022" s="353">
        <f t="shared" si="16"/>
        <v>328267.86</v>
      </c>
      <c r="D1022" s="321">
        <v>447</v>
      </c>
    </row>
    <row r="1023" spans="2:4">
      <c r="B1023" s="89">
        <v>2023</v>
      </c>
      <c r="C1023" s="353">
        <f t="shared" si="16"/>
        <v>810021.14</v>
      </c>
      <c r="D1023" s="321">
        <v>1103</v>
      </c>
    </row>
    <row r="1024" spans="2:4">
      <c r="B1024" s="89">
        <v>2024</v>
      </c>
      <c r="C1024" s="353">
        <f t="shared" si="16"/>
        <v>71969.240000000005</v>
      </c>
      <c r="D1024" s="321">
        <v>98</v>
      </c>
    </row>
    <row r="1025" spans="1:13">
      <c r="B1025" s="89">
        <v>2025</v>
      </c>
      <c r="C1025" s="353">
        <f t="shared" si="16"/>
        <v>348096.12</v>
      </c>
      <c r="D1025" s="321">
        <v>474</v>
      </c>
    </row>
    <row r="1026" spans="1:13">
      <c r="B1026" s="89" t="s">
        <v>163</v>
      </c>
      <c r="C1026" s="353">
        <f t="shared" si="16"/>
        <v>1730199.28</v>
      </c>
      <c r="D1026" s="321">
        <v>2356</v>
      </c>
    </row>
    <row r="1027" spans="1:13" ht="13.5" thickBot="1">
      <c r="B1027" s="91"/>
      <c r="C1027" s="327"/>
      <c r="D1027" s="328"/>
    </row>
    <row r="1028" spans="1:13">
      <c r="B1028" s="80" t="s">
        <v>44</v>
      </c>
      <c r="C1028" s="121">
        <f>SUM(C1021:C1027)</f>
        <v>3458929.8</v>
      </c>
      <c r="D1028" s="121">
        <f>SUM(D1021:D1027)</f>
        <v>4710</v>
      </c>
    </row>
    <row r="1032" spans="1:13" s="32" customFormat="1">
      <c r="A1032" s="33"/>
      <c r="B1032" s="33"/>
      <c r="C1032" s="3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</row>
    <row r="1033" spans="1:13" s="32" customFormat="1">
      <c r="A1033" s="33"/>
      <c r="B1033" s="33"/>
      <c r="C1033" s="3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</row>
    <row r="1034" spans="1:13" s="32" customFormat="1">
      <c r="A1034" s="80" t="s">
        <v>171</v>
      </c>
      <c r="B1034" s="33"/>
      <c r="C1034" s="80" t="s">
        <v>172</v>
      </c>
      <c r="D1034" s="292">
        <f>Model!AL382</f>
        <v>719.04</v>
      </c>
      <c r="E1034" s="33"/>
      <c r="F1034" s="33"/>
      <c r="G1034" s="33"/>
      <c r="H1034" s="33"/>
      <c r="I1034" s="33"/>
      <c r="J1034" s="33"/>
      <c r="K1034" s="33"/>
      <c r="L1034" s="33"/>
      <c r="M1034" s="33"/>
    </row>
    <row r="1035" spans="1:13" s="32" customFormat="1">
      <c r="A1035" s="33"/>
      <c r="B1035" s="33"/>
      <c r="C1035" s="33"/>
      <c r="D1035" s="33"/>
      <c r="E1035" s="33"/>
      <c r="F1035" s="33"/>
      <c r="G1035" s="33"/>
      <c r="H1035" s="33"/>
      <c r="I1035" s="33"/>
      <c r="J1035" s="33"/>
      <c r="K1035" s="33"/>
      <c r="L1035" s="33"/>
    </row>
    <row r="1036" spans="1:13" s="32" customFormat="1">
      <c r="A1036" s="33"/>
      <c r="B1036" s="33"/>
      <c r="C1036" s="33"/>
      <c r="D1036" s="33"/>
      <c r="E1036" s="33"/>
      <c r="F1036" s="33"/>
      <c r="G1036" s="33"/>
      <c r="H1036" s="33"/>
      <c r="I1036" s="320" t="s">
        <v>8</v>
      </c>
      <c r="J1036" s="33"/>
      <c r="K1036" s="33"/>
      <c r="L1036" s="33"/>
    </row>
    <row r="1037" spans="1:13" s="32" customFormat="1">
      <c r="B1037" s="285" t="s">
        <v>173</v>
      </c>
      <c r="C1037" s="34" t="s">
        <v>4</v>
      </c>
      <c r="D1037" s="34" t="s">
        <v>5</v>
      </c>
      <c r="E1037" s="34" t="s">
        <v>48</v>
      </c>
      <c r="F1037"/>
      <c r="G1037"/>
      <c r="I1037" s="285" t="s">
        <v>173</v>
      </c>
      <c r="J1037" s="34" t="s">
        <v>4</v>
      </c>
      <c r="K1037" s="34" t="s">
        <v>5</v>
      </c>
      <c r="L1037" s="34" t="s">
        <v>48</v>
      </c>
    </row>
    <row r="1038" spans="1:13" s="32" customFormat="1">
      <c r="B1038" s="111" t="s">
        <v>9</v>
      </c>
      <c r="C1038" s="155">
        <v>242904.76300000001</v>
      </c>
      <c r="D1038" s="286">
        <f>C1038/$D$1034</f>
        <v>337.81815058967516</v>
      </c>
      <c r="E1038" s="112"/>
      <c r="F1038"/>
      <c r="G1038"/>
      <c r="I1038" s="42" t="s">
        <v>10</v>
      </c>
      <c r="J1038" s="295">
        <f>+C1048-C1045-C1040</f>
        <v>3724436.0449999999</v>
      </c>
      <c r="K1038" s="45">
        <f>J1038/$D$1034</f>
        <v>5179.7341524810863</v>
      </c>
      <c r="L1038" s="43">
        <f>J1038/J1042</f>
        <v>5.1274829660321846</v>
      </c>
    </row>
    <row r="1039" spans="1:13" s="32" customFormat="1">
      <c r="B1039" s="111" t="s">
        <v>11</v>
      </c>
      <c r="C1039" s="352">
        <v>157093.33100000001</v>
      </c>
      <c r="D1039" s="286">
        <f>C1039/$D$1034</f>
        <v>218.47648392300849</v>
      </c>
      <c r="E1039" s="112"/>
      <c r="F1039"/>
      <c r="G1039"/>
      <c r="I1039" s="41" t="s">
        <v>24</v>
      </c>
      <c r="J1039" s="295">
        <f>Model!AL252-Model!AL296</f>
        <v>1239491.233</v>
      </c>
      <c r="K1039" s="45">
        <f>J1039/$D$1034</f>
        <v>1723.814020082332</v>
      </c>
      <c r="L1039" s="44"/>
    </row>
    <row r="1040" spans="1:13" s="32" customFormat="1">
      <c r="B1040" s="111" t="s">
        <v>13</v>
      </c>
      <c r="C1040" s="352">
        <v>79700.713000000003</v>
      </c>
      <c r="D1040" s="286">
        <f>C1040/$D$1034</f>
        <v>110.84322568980865</v>
      </c>
      <c r="E1040" s="112"/>
      <c r="F1040"/>
      <c r="G1040"/>
      <c r="I1040" s="42" t="s">
        <v>14</v>
      </c>
      <c r="J1040" s="295">
        <f>+J1038-J1039</f>
        <v>2484944.8119999999</v>
      </c>
      <c r="K1040" s="45">
        <f>+K1038-K1039</f>
        <v>3455.9201323987545</v>
      </c>
      <c r="L1040" s="43">
        <f>J1040/J1042</f>
        <v>3.4210581256094703</v>
      </c>
    </row>
    <row r="1041" spans="1:13" s="32" customFormat="1">
      <c r="B1041" s="111" t="s">
        <v>15</v>
      </c>
      <c r="C1041" s="155">
        <v>87285.324999999997</v>
      </c>
      <c r="D1041" s="286">
        <f>C1041/$D$1034</f>
        <v>121.39147335336004</v>
      </c>
      <c r="E1041" s="112"/>
      <c r="F1041"/>
      <c r="G1041"/>
    </row>
    <row r="1042" spans="1:13" s="32" customFormat="1">
      <c r="B1042" s="109" t="s">
        <v>17</v>
      </c>
      <c r="C1042" s="156">
        <f>SUM(C1038:C1041)</f>
        <v>566984.13199999998</v>
      </c>
      <c r="D1042" s="156">
        <f>SUM(D1038:D1041)</f>
        <v>788.5293335558523</v>
      </c>
      <c r="E1042" s="110"/>
      <c r="F1042"/>
      <c r="G1042"/>
      <c r="I1042" s="84" t="s">
        <v>174</v>
      </c>
      <c r="J1042" s="295">
        <f>C1058</f>
        <v>726367.31700000004</v>
      </c>
      <c r="K1042" s="45"/>
      <c r="L1042" s="43"/>
    </row>
    <row r="1043" spans="1:13">
      <c r="A1043" s="32"/>
      <c r="B1043" s="111" t="s">
        <v>18</v>
      </c>
      <c r="C1043" s="155">
        <v>835710.15</v>
      </c>
      <c r="D1043" s="286">
        <f>C1043/$D$1034</f>
        <v>1162.2582192923899</v>
      </c>
      <c r="E1043" s="110"/>
      <c r="F1043"/>
      <c r="G1043"/>
      <c r="H1043" s="32"/>
      <c r="I1043" s="32"/>
      <c r="J1043" s="32"/>
      <c r="K1043" s="32"/>
      <c r="L1043" s="32"/>
      <c r="M1043" s="32"/>
    </row>
    <row r="1044" spans="1:13">
      <c r="A1044" s="32"/>
      <c r="B1044" s="111" t="s">
        <v>19</v>
      </c>
      <c r="C1044" s="155">
        <v>2399211.727</v>
      </c>
      <c r="D1044" s="286">
        <f>C1044/$D$1034</f>
        <v>3336.6874262906099</v>
      </c>
      <c r="E1044" s="110"/>
      <c r="F1044"/>
      <c r="G1044"/>
      <c r="H1044" s="32"/>
      <c r="I1044" s="32"/>
      <c r="J1044" s="32"/>
      <c r="K1044" s="32"/>
      <c r="L1044" s="32"/>
      <c r="M1044" s="32"/>
    </row>
    <row r="1045" spans="1:13">
      <c r="A1045" s="32"/>
      <c r="B1045" s="111" t="s">
        <v>20</v>
      </c>
      <c r="C1045" s="352">
        <v>853868.84900000005</v>
      </c>
      <c r="D1045" s="286">
        <f>C1045/$D$1034</f>
        <v>1187.5123066866936</v>
      </c>
      <c r="E1045" s="110"/>
      <c r="F1045"/>
      <c r="G1045"/>
      <c r="H1045" s="32"/>
      <c r="I1045" s="32"/>
      <c r="J1045" s="32"/>
      <c r="K1045" s="32"/>
      <c r="L1045" s="32"/>
      <c r="M1045" s="32"/>
    </row>
    <row r="1046" spans="1:13">
      <c r="A1046" s="32"/>
      <c r="B1046" s="111" t="s">
        <v>15</v>
      </c>
      <c r="C1046" s="155">
        <v>2230.7489999999998</v>
      </c>
      <c r="D1046" s="286">
        <f>C1046/$D$1034</f>
        <v>3.1023990320427237</v>
      </c>
      <c r="E1046" s="110"/>
      <c r="F1046"/>
      <c r="G1046"/>
      <c r="H1046" s="32"/>
      <c r="I1046" s="32"/>
      <c r="J1046" s="32"/>
      <c r="K1046" s="32"/>
      <c r="L1046" s="32"/>
    </row>
    <row r="1047" spans="1:13">
      <c r="A1047" s="32"/>
      <c r="B1047" s="109" t="s">
        <v>22</v>
      </c>
      <c r="C1047" s="156">
        <f>SUM(C1043:C1046)</f>
        <v>4091021.4749999996</v>
      </c>
      <c r="D1047" s="156">
        <f>SUM(D1043:D1046)</f>
        <v>5689.5603513017359</v>
      </c>
      <c r="E1047" s="110"/>
      <c r="F1047"/>
      <c r="G1047"/>
      <c r="H1047" s="32"/>
      <c r="I1047" s="32"/>
      <c r="J1047" s="32"/>
      <c r="K1047" s="32"/>
      <c r="L1047" s="311"/>
    </row>
    <row r="1048" spans="1:13">
      <c r="B1048" s="303" t="s">
        <v>23</v>
      </c>
      <c r="C1048" s="304">
        <f>C1047+C1042</f>
        <v>4658005.6069999998</v>
      </c>
      <c r="D1048" s="304">
        <f>D1047+D1042</f>
        <v>6478.0896848575885</v>
      </c>
      <c r="E1048" s="305">
        <f>+C1048/C1058</f>
        <v>6.4127411820209961</v>
      </c>
      <c r="F1048"/>
      <c r="G1048"/>
      <c r="J1048" s="312"/>
    </row>
    <row r="1049" spans="1:13">
      <c r="B1049" s="306" t="s">
        <v>24</v>
      </c>
      <c r="C1049" s="304">
        <f>Model!AL252</f>
        <v>1019794.078</v>
      </c>
      <c r="D1049" s="286">
        <f>C1049/$D$1034</f>
        <v>1418.2716928126392</v>
      </c>
      <c r="E1049" s="307"/>
      <c r="F1049"/>
      <c r="G1049"/>
      <c r="J1049" s="312"/>
    </row>
    <row r="1050" spans="1:13">
      <c r="B1050" s="303" t="s">
        <v>14</v>
      </c>
      <c r="C1050" s="304">
        <f>+C1048-C1049</f>
        <v>3638211.5290000001</v>
      </c>
      <c r="D1050" s="304">
        <f>+D1048-D1049</f>
        <v>5059.8179920449493</v>
      </c>
      <c r="E1050" s="305">
        <f>+C1050/C1058</f>
        <v>5.0087764741760816</v>
      </c>
      <c r="F1050"/>
      <c r="G1050"/>
      <c r="J1050" s="312"/>
    </row>
    <row r="1051" spans="1:13">
      <c r="B1051" s="84"/>
      <c r="C1051" s="84"/>
      <c r="D1051" s="84"/>
      <c r="E1051" s="86"/>
    </row>
    <row r="1052" spans="1:13">
      <c r="B1052" s="306" t="s">
        <v>25</v>
      </c>
      <c r="C1052" s="308">
        <f>Model!AL272</f>
        <v>363341.21</v>
      </c>
      <c r="D1052" s="286">
        <f>C1052/$D$1034</f>
        <v>505.31432187360929</v>
      </c>
      <c r="E1052" s="309"/>
      <c r="J1052" s="312"/>
    </row>
    <row r="1053" spans="1:13">
      <c r="B1053" s="306" t="s">
        <v>26</v>
      </c>
      <c r="C1053" s="308">
        <f>Model!AL273</f>
        <v>208685.742</v>
      </c>
      <c r="D1053" s="286">
        <f>C1053/$D$1034</f>
        <v>290.22827937249667</v>
      </c>
      <c r="E1053" s="310"/>
    </row>
    <row r="1054" spans="1:13">
      <c r="B1054" s="306" t="s">
        <v>27</v>
      </c>
      <c r="C1054" s="308">
        <f>Model!AL273</f>
        <v>208685.742</v>
      </c>
      <c r="D1054" s="286">
        <f>C1054/$D$1034</f>
        <v>290.22827937249667</v>
      </c>
      <c r="E1054" s="310"/>
    </row>
    <row r="1055" spans="1:13">
      <c r="B1055" s="42" t="s">
        <v>28</v>
      </c>
      <c r="C1055" s="45">
        <f>C1052+C1053+C1054</f>
        <v>780712.69400000002</v>
      </c>
      <c r="D1055" s="45">
        <f>D1052+D1053+D1054</f>
        <v>1085.7708806186026</v>
      </c>
      <c r="E1055" s="43"/>
      <c r="J1055" s="164"/>
    </row>
    <row r="1056" spans="1:13">
      <c r="B1056" s="84" t="s">
        <v>29</v>
      </c>
      <c r="C1056" s="288">
        <f>Model!AL290</f>
        <v>6063286.4440000001</v>
      </c>
      <c r="D1056" s="286">
        <f>C1056/$D$1034</f>
        <v>8432.4744715175802</v>
      </c>
      <c r="E1056" s="86"/>
    </row>
    <row r="1057" spans="2:8">
      <c r="B1057" s="84" t="s">
        <v>30</v>
      </c>
      <c r="C1057" s="288">
        <f>C1056+C1048+C1055</f>
        <v>11502004.744999999</v>
      </c>
      <c r="D1057" s="288">
        <f>D1056+D1048+D1055</f>
        <v>15996.335036993771</v>
      </c>
      <c r="E1057" s="86"/>
    </row>
    <row r="1058" spans="2:8">
      <c r="B1058" s="84" t="s">
        <v>175</v>
      </c>
      <c r="C1058" s="288">
        <f>Model!AL204</f>
        <v>726367.31700000004</v>
      </c>
      <c r="D1058" s="288"/>
      <c r="E1058" s="41"/>
      <c r="F1058" s="164"/>
      <c r="G1058" s="164"/>
    </row>
    <row r="1059" spans="2:8">
      <c r="F1059" s="164"/>
      <c r="G1059" s="164"/>
    </row>
    <row r="1060" spans="2:8">
      <c r="B1060" s="176" t="s">
        <v>32</v>
      </c>
      <c r="C1060" s="274">
        <f>C1048-(Model!AL260)</f>
        <v>0</v>
      </c>
      <c r="D1060" s="274">
        <f>D1048-(Model!AL260/D1034)</f>
        <v>0</v>
      </c>
    </row>
    <row r="1061" spans="2:8">
      <c r="B1061" s="176"/>
      <c r="C1061" s="176"/>
      <c r="D1061" s="177"/>
    </row>
    <row r="1062" spans="2:8">
      <c r="B1062" s="33" t="s">
        <v>176</v>
      </c>
      <c r="C1062" s="290">
        <f>Model!AL289</f>
        <v>8208939.5999999996</v>
      </c>
      <c r="D1062" s="237"/>
    </row>
    <row r="1063" spans="2:8">
      <c r="B1063" s="33" t="s">
        <v>34</v>
      </c>
      <c r="C1063" s="290">
        <f>+Model!AL283+Capitalisation!C1062</f>
        <v>12532517.497</v>
      </c>
      <c r="D1063" s="165"/>
    </row>
    <row r="1064" spans="2:8">
      <c r="B1064" s="238" t="s">
        <v>35</v>
      </c>
      <c r="C1064" s="43">
        <f>C1063/C1066</f>
        <v>12.93078569645068</v>
      </c>
      <c r="D1064" s="43"/>
    </row>
    <row r="1066" spans="2:8">
      <c r="B1066" s="33" t="s">
        <v>36</v>
      </c>
      <c r="C1066" s="290">
        <f>Model!AL223</f>
        <v>969200</v>
      </c>
      <c r="D1066" s="237"/>
    </row>
    <row r="1067" spans="2:8" ht="12" customHeight="1"/>
    <row r="1069" spans="2:8" ht="13.5" thickBot="1"/>
    <row r="1070" spans="2:8">
      <c r="B1070" s="267" t="s">
        <v>37</v>
      </c>
      <c r="C1070" s="278" t="s">
        <v>38</v>
      </c>
      <c r="D1070" s="279" t="s">
        <v>5</v>
      </c>
      <c r="E1070" s="113"/>
    </row>
    <row r="1071" spans="2:8">
      <c r="B1071" s="268" t="s">
        <v>39</v>
      </c>
      <c r="C1071" s="269">
        <v>0</v>
      </c>
      <c r="D1071" s="270">
        <v>0</v>
      </c>
      <c r="E1071" s="113"/>
    </row>
    <row r="1072" spans="2:8">
      <c r="B1072" s="104" t="s">
        <v>40</v>
      </c>
      <c r="C1072" s="243">
        <f>C1049</f>
        <v>1019794.078</v>
      </c>
      <c r="D1072" s="266">
        <f>D1049</f>
        <v>1418.2716928126392</v>
      </c>
      <c r="H1072" s="155"/>
    </row>
    <row r="1073" spans="1:13" ht="13.5" thickBot="1">
      <c r="B1073" s="271" t="s">
        <v>41</v>
      </c>
      <c r="C1073" s="272">
        <f>C1071+C1072</f>
        <v>1019794.078</v>
      </c>
      <c r="D1073" s="273">
        <f>D1071+D1072</f>
        <v>1418.2716928126392</v>
      </c>
      <c r="H1073" s="155"/>
    </row>
    <row r="1074" spans="1:13">
      <c r="D1074" s="264"/>
      <c r="H1074" s="155"/>
    </row>
    <row r="1075" spans="1:13">
      <c r="C1075" s="36"/>
      <c r="H1075" s="155"/>
    </row>
    <row r="1076" spans="1:13" ht="13.5" thickBot="1">
      <c r="H1076" s="156"/>
    </row>
    <row r="1077" spans="1:13">
      <c r="B1077" s="323" t="s">
        <v>177</v>
      </c>
      <c r="C1077" s="324" t="s">
        <v>58</v>
      </c>
      <c r="D1077" s="325" t="s">
        <v>59</v>
      </c>
      <c r="H1077" s="155"/>
    </row>
    <row r="1078" spans="1:13">
      <c r="B1078" s="89">
        <v>2021</v>
      </c>
      <c r="C1078" s="353">
        <f t="shared" ref="C1078:C1083" si="17">D1078*$D$1034</f>
        <v>316377.59999999998</v>
      </c>
      <c r="D1078" s="321">
        <v>440</v>
      </c>
      <c r="E1078" s="90"/>
      <c r="H1078" s="155"/>
    </row>
    <row r="1079" spans="1:13">
      <c r="B1079" s="89">
        <v>2022</v>
      </c>
      <c r="C1079" s="353">
        <f t="shared" si="17"/>
        <v>445085.75999999995</v>
      </c>
      <c r="D1079" s="321">
        <v>619</v>
      </c>
      <c r="E1079" s="90"/>
      <c r="H1079" s="155"/>
    </row>
    <row r="1080" spans="1:13">
      <c r="B1080" s="89">
        <v>2023</v>
      </c>
      <c r="C1080" s="353">
        <f t="shared" si="17"/>
        <v>796696.32</v>
      </c>
      <c r="D1080" s="321">
        <v>1108</v>
      </c>
      <c r="E1080" s="90"/>
      <c r="H1080" s="155"/>
    </row>
    <row r="1081" spans="1:13">
      <c r="B1081" s="89">
        <v>2024</v>
      </c>
      <c r="C1081" s="353">
        <f t="shared" si="17"/>
        <v>71184.959999999992</v>
      </c>
      <c r="D1081" s="321">
        <v>99</v>
      </c>
      <c r="E1081" s="90"/>
      <c r="H1081" s="32"/>
    </row>
    <row r="1082" spans="1:13">
      <c r="B1082" s="89">
        <v>2025</v>
      </c>
      <c r="C1082" s="353">
        <f t="shared" si="17"/>
        <v>341544</v>
      </c>
      <c r="D1082" s="321">
        <v>475</v>
      </c>
      <c r="E1082" s="90"/>
    </row>
    <row r="1083" spans="1:13">
      <c r="B1083" s="89" t="s">
        <v>163</v>
      </c>
      <c r="C1083" s="353">
        <f t="shared" si="17"/>
        <v>1696215.3599999999</v>
      </c>
      <c r="D1083" s="321">
        <v>2359</v>
      </c>
      <c r="E1083" s="90"/>
    </row>
    <row r="1084" spans="1:13" ht="13.5" thickBot="1">
      <c r="B1084" s="91"/>
      <c r="C1084" s="327"/>
      <c r="D1084" s="328"/>
      <c r="E1084" s="90"/>
    </row>
    <row r="1085" spans="1:13">
      <c r="B1085" s="80" t="s">
        <v>44</v>
      </c>
      <c r="C1085" s="121">
        <f>SUM(C1078:C1084)</f>
        <v>3667103.9999999995</v>
      </c>
      <c r="D1085" s="121">
        <f>SUM(D1078:D1084)</f>
        <v>5100</v>
      </c>
      <c r="E1085" s="90"/>
    </row>
    <row r="1086" spans="1:13" s="32" customFormat="1">
      <c r="A1086" s="80" t="s">
        <v>178</v>
      </c>
      <c r="B1086" s="33"/>
      <c r="C1086" s="80" t="s">
        <v>179</v>
      </c>
      <c r="D1086" s="292">
        <f>Model!AK382</f>
        <v>711.78</v>
      </c>
      <c r="E1086" s="33"/>
      <c r="F1086" s="33"/>
      <c r="G1086" s="33"/>
      <c r="H1086" s="33"/>
      <c r="I1086" s="33"/>
      <c r="J1086" s="33"/>
      <c r="K1086" s="33"/>
      <c r="L1086" s="33"/>
      <c r="M1086" s="33"/>
    </row>
    <row r="1087" spans="1:13" s="32" customFormat="1">
      <c r="A1087" s="33"/>
      <c r="B1087" s="33"/>
      <c r="C1087" s="33"/>
      <c r="D1087" s="33"/>
      <c r="E1087" s="33"/>
      <c r="F1087" s="33"/>
      <c r="G1087" s="33"/>
      <c r="H1087" s="33"/>
      <c r="I1087" s="33"/>
      <c r="J1087" s="33"/>
      <c r="K1087" s="33"/>
      <c r="L1087" s="33"/>
    </row>
    <row r="1088" spans="1:13" s="32" customFormat="1">
      <c r="A1088" s="33"/>
      <c r="B1088" s="33"/>
      <c r="C1088" s="33"/>
      <c r="D1088" s="33"/>
      <c r="E1088" s="33"/>
      <c r="F1088" s="33"/>
      <c r="G1088" s="33"/>
      <c r="H1088" s="33"/>
      <c r="I1088" s="320" t="s">
        <v>8</v>
      </c>
      <c r="J1088" s="33"/>
      <c r="K1088" s="33"/>
      <c r="L1088" s="33"/>
    </row>
    <row r="1089" spans="1:13" s="32" customFormat="1">
      <c r="B1089" s="285" t="s">
        <v>180</v>
      </c>
      <c r="C1089" s="34" t="s">
        <v>4</v>
      </c>
      <c r="D1089" s="34" t="s">
        <v>5</v>
      </c>
      <c r="E1089" s="34" t="s">
        <v>48</v>
      </c>
      <c r="F1089"/>
      <c r="G1089"/>
      <c r="I1089" s="285" t="s">
        <v>180</v>
      </c>
      <c r="J1089" s="34" t="s">
        <v>4</v>
      </c>
      <c r="K1089" s="34" t="s">
        <v>5</v>
      </c>
      <c r="L1089" s="34" t="s">
        <v>48</v>
      </c>
    </row>
    <row r="1090" spans="1:13" s="32" customFormat="1">
      <c r="B1090" s="111" t="s">
        <v>9</v>
      </c>
      <c r="C1090" s="155">
        <v>269891.31400000001</v>
      </c>
      <c r="D1090" s="286">
        <f>C1090/$D$1086</f>
        <v>379.17799601000314</v>
      </c>
      <c r="E1090" s="112"/>
      <c r="F1090"/>
      <c r="G1090"/>
      <c r="I1090" s="42" t="s">
        <v>10</v>
      </c>
      <c r="J1090" s="295">
        <f>+C1100-C1097-C1092</f>
        <v>3760532.5450000009</v>
      </c>
      <c r="K1090" s="45">
        <f>J1090/$D$1086</f>
        <v>5283.2793068082847</v>
      </c>
      <c r="L1090" s="43">
        <f>J1090/J1094</f>
        <v>6.0405078702622728</v>
      </c>
    </row>
    <row r="1091" spans="1:13" s="32" customFormat="1">
      <c r="B1091" s="111" t="s">
        <v>11</v>
      </c>
      <c r="C1091" s="352">
        <v>145318.75599999999</v>
      </c>
      <c r="D1091" s="286">
        <f>C1091/$D$1086</f>
        <v>204.16246031077017</v>
      </c>
      <c r="E1091" s="112"/>
      <c r="F1091"/>
      <c r="G1091"/>
      <c r="I1091" s="41" t="s">
        <v>24</v>
      </c>
      <c r="J1091" s="295">
        <f>Model!AK252-Model!AK296</f>
        <v>1417841.8859999999</v>
      </c>
      <c r="K1091" s="45">
        <f>J1091/$D$1086</f>
        <v>1991.9664587372504</v>
      </c>
      <c r="L1091" s="44"/>
    </row>
    <row r="1092" spans="1:13" s="32" customFormat="1">
      <c r="B1092" s="111" t="s">
        <v>13</v>
      </c>
      <c r="C1092" s="352">
        <v>79955.073999999993</v>
      </c>
      <c r="D1092" s="286">
        <f>C1092/$D$1086</f>
        <v>112.33116131388911</v>
      </c>
      <c r="E1092" s="112"/>
      <c r="F1092"/>
      <c r="G1092"/>
      <c r="I1092" s="42" t="s">
        <v>14</v>
      </c>
      <c r="J1092" s="295">
        <f>+J1090-J1091</f>
        <v>2342690.6590000009</v>
      </c>
      <c r="K1092" s="45">
        <f>+K1090-K1091</f>
        <v>3291.3128480710343</v>
      </c>
      <c r="L1092" s="43">
        <f>J1092/J1094</f>
        <v>3.7630418548284128</v>
      </c>
    </row>
    <row r="1093" spans="1:13" s="32" customFormat="1">
      <c r="B1093" s="111" t="s">
        <v>15</v>
      </c>
      <c r="C1093" s="155">
        <v>115332.31200000001</v>
      </c>
      <c r="D1093" s="286">
        <f>C1093/$D$1086</f>
        <v>162.03365084717188</v>
      </c>
      <c r="E1093" s="112"/>
      <c r="F1093"/>
      <c r="G1093"/>
    </row>
    <row r="1094" spans="1:13" s="32" customFormat="1">
      <c r="B1094" s="109" t="s">
        <v>17</v>
      </c>
      <c r="C1094" s="156">
        <f>SUM(C1090:C1093)</f>
        <v>610497.45600000001</v>
      </c>
      <c r="D1094" s="156">
        <f>SUM(D1090:D1093)</f>
        <v>857.70526848183431</v>
      </c>
      <c r="E1094" s="110"/>
      <c r="F1094"/>
      <c r="G1094"/>
      <c r="I1094" s="84" t="s">
        <v>174</v>
      </c>
      <c r="J1094" s="295">
        <f>C1110</f>
        <v>622552.37899999996</v>
      </c>
      <c r="K1094" s="45"/>
      <c r="L1094" s="43"/>
    </row>
    <row r="1095" spans="1:13" s="32" customFormat="1">
      <c r="B1095" s="111" t="s">
        <v>18</v>
      </c>
      <c r="C1095" s="155">
        <v>849362.01699999999</v>
      </c>
      <c r="D1095" s="286">
        <f>C1095/$D$1086</f>
        <v>1193.2928952766304</v>
      </c>
      <c r="E1095" s="110"/>
      <c r="F1095"/>
      <c r="G1095"/>
    </row>
    <row r="1096" spans="1:13" s="32" customFormat="1">
      <c r="B1096" s="111" t="s">
        <v>19</v>
      </c>
      <c r="C1096" s="155">
        <v>2377296.35</v>
      </c>
      <c r="D1096" s="286">
        <f>C1096/$D$1086</f>
        <v>3339.9313692433057</v>
      </c>
      <c r="E1096" s="110"/>
      <c r="F1096"/>
      <c r="G1096"/>
    </row>
    <row r="1097" spans="1:13">
      <c r="A1097" s="32"/>
      <c r="B1097" s="111" t="s">
        <v>20</v>
      </c>
      <c r="C1097" s="352">
        <v>853592.98699999996</v>
      </c>
      <c r="D1097" s="286">
        <f>C1097/$D$1086</f>
        <v>1199.2371055663266</v>
      </c>
      <c r="E1097" s="110"/>
      <c r="F1097"/>
      <c r="G1097"/>
      <c r="H1097" s="32"/>
      <c r="I1097" s="32"/>
      <c r="J1097" s="32"/>
      <c r="K1097" s="32"/>
      <c r="L1097" s="32"/>
      <c r="M1097" s="32"/>
    </row>
    <row r="1098" spans="1:13">
      <c r="A1098" s="32"/>
      <c r="B1098" s="111" t="s">
        <v>15</v>
      </c>
      <c r="C1098" s="155">
        <v>3331.7959999999998</v>
      </c>
      <c r="D1098" s="286">
        <f>C1098/$D$1086</f>
        <v>4.6809351204023715</v>
      </c>
      <c r="E1098" s="110"/>
      <c r="F1098"/>
      <c r="G1098"/>
      <c r="H1098" s="32"/>
      <c r="I1098" s="32"/>
      <c r="J1098" s="32"/>
      <c r="K1098" s="32"/>
      <c r="L1098" s="32"/>
    </row>
    <row r="1099" spans="1:13">
      <c r="A1099" s="32"/>
      <c r="B1099" s="109" t="s">
        <v>22</v>
      </c>
      <c r="C1099" s="156">
        <f>SUM(C1095:C1098)</f>
        <v>4083583.1500000004</v>
      </c>
      <c r="D1099" s="156">
        <f>SUM(D1095:D1098)</f>
        <v>5737.1423052066648</v>
      </c>
      <c r="E1099" s="110"/>
      <c r="F1099"/>
      <c r="G1099"/>
      <c r="H1099" s="32"/>
      <c r="I1099" s="32"/>
      <c r="J1099" s="32"/>
      <c r="K1099" s="32"/>
      <c r="L1099" s="311"/>
    </row>
    <row r="1100" spans="1:13">
      <c r="B1100" s="303" t="s">
        <v>23</v>
      </c>
      <c r="C1100" s="304">
        <f>C1099+C1094</f>
        <v>4694080.6060000006</v>
      </c>
      <c r="D1100" s="304">
        <f>D1099+D1094</f>
        <v>6594.8475736884993</v>
      </c>
      <c r="E1100" s="305">
        <f>+C1100/C1110</f>
        <v>7.5400572937172905</v>
      </c>
      <c r="F1100"/>
      <c r="G1100"/>
      <c r="J1100" s="312"/>
    </row>
    <row r="1101" spans="1:13">
      <c r="B1101" s="306" t="s">
        <v>24</v>
      </c>
      <c r="C1101" s="304">
        <f>Model!AK252</f>
        <v>1216193.92</v>
      </c>
      <c r="D1101" s="286">
        <f>C1101/$D$1086</f>
        <v>1708.6654865267358</v>
      </c>
      <c r="E1101" s="307"/>
      <c r="F1101"/>
      <c r="G1101"/>
      <c r="J1101" s="312"/>
    </row>
    <row r="1102" spans="1:13">
      <c r="B1102" s="303" t="s">
        <v>14</v>
      </c>
      <c r="C1102" s="304">
        <f>+C1100-C1101</f>
        <v>3477886.6860000007</v>
      </c>
      <c r="D1102" s="304">
        <f>+D1100-D1101</f>
        <v>4886.1820871617638</v>
      </c>
      <c r="E1102" s="305">
        <f>+C1102/C1110</f>
        <v>5.586496499437521</v>
      </c>
      <c r="F1102"/>
      <c r="G1102"/>
      <c r="J1102" s="312"/>
    </row>
    <row r="1103" spans="1:13">
      <c r="B1103" s="84"/>
      <c r="C1103" s="84"/>
      <c r="D1103" s="84"/>
      <c r="E1103" s="86"/>
    </row>
    <row r="1104" spans="1:13">
      <c r="B1104" s="306" t="s">
        <v>25</v>
      </c>
      <c r="C1104" s="308">
        <f>Model!AK272</f>
        <v>341118.71299999999</v>
      </c>
      <c r="D1104" s="286">
        <f>C1104/$D$1086</f>
        <v>479.2473980724381</v>
      </c>
      <c r="E1104" s="309"/>
      <c r="J1104" s="312"/>
    </row>
    <row r="1105" spans="2:10">
      <c r="B1105" s="306" t="s">
        <v>26</v>
      </c>
      <c r="C1105" s="308">
        <f>Model!AK273</f>
        <v>205447.49100000001</v>
      </c>
      <c r="D1105" s="286">
        <f>C1105/$D$1086</f>
        <v>288.63903312821378</v>
      </c>
      <c r="E1105" s="310"/>
    </row>
    <row r="1106" spans="2:10">
      <c r="B1106" s="306" t="s">
        <v>27</v>
      </c>
      <c r="C1106" s="308">
        <f>Model!AK274</f>
        <v>27237.056</v>
      </c>
      <c r="D1106" s="286">
        <f>C1106/$D$1086</f>
        <v>38.266115934698924</v>
      </c>
      <c r="E1106" s="310"/>
    </row>
    <row r="1107" spans="2:10">
      <c r="B1107" s="42" t="s">
        <v>28</v>
      </c>
      <c r="C1107" s="45">
        <f>C1104+C1105+C1106</f>
        <v>573803.26</v>
      </c>
      <c r="D1107" s="45">
        <f>D1104+D1105+D1106</f>
        <v>806.15254713535091</v>
      </c>
      <c r="E1107" s="43"/>
      <c r="J1107" s="164"/>
    </row>
    <row r="1108" spans="2:10">
      <c r="B1108" s="84" t="s">
        <v>29</v>
      </c>
      <c r="C1108" s="288">
        <f>Model!AK290</f>
        <v>5985255.6909999996</v>
      </c>
      <c r="D1108" s="286">
        <f>C1108/$D$1086</f>
        <v>8408.8562350726352</v>
      </c>
      <c r="E1108" s="86"/>
    </row>
    <row r="1109" spans="2:10">
      <c r="B1109" s="84" t="s">
        <v>30</v>
      </c>
      <c r="C1109" s="288">
        <f>C1108+C1100+C1107</f>
        <v>11253139.557</v>
      </c>
      <c r="D1109" s="288">
        <f>D1108+D1100+D1107</f>
        <v>15809.856355896485</v>
      </c>
      <c r="E1109" s="86"/>
    </row>
    <row r="1110" spans="2:10">
      <c r="B1110" s="84" t="s">
        <v>181</v>
      </c>
      <c r="C1110" s="288">
        <f>Model!AK204</f>
        <v>622552.37899999996</v>
      </c>
      <c r="D1110" s="288"/>
      <c r="E1110" s="41"/>
      <c r="F1110" s="164"/>
      <c r="G1110" s="164"/>
    </row>
    <row r="1111" spans="2:10">
      <c r="F1111" s="164"/>
      <c r="G1111" s="164"/>
    </row>
    <row r="1112" spans="2:10">
      <c r="B1112" s="176" t="s">
        <v>32</v>
      </c>
      <c r="C1112" s="274">
        <f>C1100-(Model!AK260)</f>
        <v>0</v>
      </c>
      <c r="D1112" s="274">
        <f>D1100-(Model!AK260/D1086)</f>
        <v>0</v>
      </c>
    </row>
    <row r="1113" spans="2:10">
      <c r="B1113" s="176"/>
      <c r="C1113" s="176"/>
      <c r="D1113" s="177"/>
    </row>
    <row r="1114" spans="2:10">
      <c r="B1114" s="33" t="s">
        <v>182</v>
      </c>
      <c r="C1114" s="290">
        <f>Model!AK289</f>
        <v>6598261.4000000004</v>
      </c>
      <c r="D1114" s="237"/>
    </row>
    <row r="1115" spans="2:10">
      <c r="B1115" s="33" t="s">
        <v>34</v>
      </c>
      <c r="C1115" s="290">
        <f>+Model!AK283+Capitalisation!C1114</f>
        <v>10932597.205</v>
      </c>
      <c r="D1115" s="165"/>
    </row>
    <row r="1116" spans="2:10">
      <c r="B1116" s="238" t="s">
        <v>35</v>
      </c>
      <c r="C1116" s="43">
        <f>C1115/C1118</f>
        <v>13.19636818535708</v>
      </c>
      <c r="D1116" s="43"/>
    </row>
    <row r="1118" spans="2:10">
      <c r="B1118" s="33" t="s">
        <v>36</v>
      </c>
      <c r="C1118" s="290">
        <f>Model!AK223</f>
        <v>828455</v>
      </c>
      <c r="D1118" s="237"/>
    </row>
    <row r="1121" spans="2:8" ht="12" customHeight="1" thickBot="1"/>
    <row r="1122" spans="2:8">
      <c r="B1122" s="267" t="s">
        <v>37</v>
      </c>
      <c r="C1122" s="278" t="s">
        <v>38</v>
      </c>
      <c r="D1122" s="279" t="s">
        <v>5</v>
      </c>
      <c r="E1122" s="113"/>
    </row>
    <row r="1123" spans="2:8">
      <c r="B1123" s="268" t="s">
        <v>39</v>
      </c>
      <c r="C1123" s="269">
        <v>0</v>
      </c>
      <c r="D1123" s="270">
        <v>0</v>
      </c>
      <c r="E1123" s="113"/>
    </row>
    <row r="1124" spans="2:8">
      <c r="B1124" s="104" t="s">
        <v>40</v>
      </c>
      <c r="C1124" s="243">
        <f>C1101</f>
        <v>1216193.92</v>
      </c>
      <c r="D1124" s="266">
        <f>D1101</f>
        <v>1708.6654865267358</v>
      </c>
      <c r="H1124" s="155"/>
    </row>
    <row r="1125" spans="2:8" ht="13.5" thickBot="1">
      <c r="B1125" s="271" t="s">
        <v>41</v>
      </c>
      <c r="C1125" s="272">
        <f>C1123+C1124</f>
        <v>1216193.92</v>
      </c>
      <c r="D1125" s="273">
        <f>D1123+D1124</f>
        <v>1708.6654865267358</v>
      </c>
      <c r="H1125" s="155"/>
    </row>
    <row r="1126" spans="2:8">
      <c r="D1126" s="264"/>
      <c r="H1126" s="155"/>
    </row>
    <row r="1127" spans="2:8">
      <c r="C1127" s="36"/>
      <c r="H1127" s="155"/>
    </row>
    <row r="1128" spans="2:8" ht="13.5" thickBot="1">
      <c r="H1128" s="156"/>
    </row>
    <row r="1129" spans="2:8">
      <c r="B1129" s="323" t="s">
        <v>183</v>
      </c>
      <c r="C1129" s="324" t="s">
        <v>58</v>
      </c>
      <c r="D1129" s="325" t="s">
        <v>59</v>
      </c>
      <c r="H1129" s="155"/>
    </row>
    <row r="1130" spans="2:8">
      <c r="B1130" s="89">
        <v>2021</v>
      </c>
      <c r="C1130" s="353">
        <f t="shared" ref="C1130:C1135" si="18">D1130*$D$1086</f>
        <v>439168.26</v>
      </c>
      <c r="D1130" s="321">
        <v>617</v>
      </c>
      <c r="E1130" s="90"/>
      <c r="H1130" s="155"/>
    </row>
    <row r="1131" spans="2:8">
      <c r="B1131" s="89">
        <v>2022</v>
      </c>
      <c r="C1131" s="353">
        <f t="shared" si="18"/>
        <v>395037.89999999997</v>
      </c>
      <c r="D1131" s="321">
        <v>555</v>
      </c>
      <c r="E1131" s="90"/>
      <c r="H1131" s="155"/>
    </row>
    <row r="1132" spans="2:8">
      <c r="B1132" s="89">
        <v>2023</v>
      </c>
      <c r="C1132" s="353">
        <f t="shared" si="18"/>
        <v>784381.55999999994</v>
      </c>
      <c r="D1132" s="321">
        <v>1102</v>
      </c>
      <c r="E1132" s="90"/>
      <c r="H1132" s="155"/>
    </row>
    <row r="1133" spans="2:8">
      <c r="B1133" s="89">
        <v>2024</v>
      </c>
      <c r="C1133" s="353">
        <f t="shared" si="18"/>
        <v>71178</v>
      </c>
      <c r="D1133" s="321">
        <v>100</v>
      </c>
      <c r="E1133" s="90"/>
      <c r="H1133" s="32"/>
    </row>
    <row r="1134" spans="2:8">
      <c r="B1134" s="89">
        <v>2025</v>
      </c>
      <c r="C1134" s="353">
        <f t="shared" si="18"/>
        <v>326707.01999999996</v>
      </c>
      <c r="D1134" s="321">
        <v>459</v>
      </c>
      <c r="E1134" s="90"/>
    </row>
    <row r="1135" spans="2:8">
      <c r="B1135" s="89" t="s">
        <v>163</v>
      </c>
      <c r="C1135" s="353">
        <f t="shared" si="18"/>
        <v>1694036.4</v>
      </c>
      <c r="D1135" s="321">
        <v>2380</v>
      </c>
      <c r="E1135" s="90"/>
    </row>
    <row r="1136" spans="2:8" ht="13.5" thickBot="1">
      <c r="B1136" s="91"/>
      <c r="C1136" s="327"/>
      <c r="D1136" s="328"/>
      <c r="E1136" s="90"/>
    </row>
    <row r="1137" spans="1:12">
      <c r="B1137" s="80" t="s">
        <v>44</v>
      </c>
      <c r="C1137" s="121">
        <f>SUM(C1130:C1136)</f>
        <v>3710509.1399999997</v>
      </c>
      <c r="D1137" s="121">
        <f>SUM(D1130:D1136)</f>
        <v>5213</v>
      </c>
      <c r="E1137" s="90"/>
    </row>
    <row r="1138" spans="1:12">
      <c r="A1138" s="80" t="s">
        <v>184</v>
      </c>
      <c r="C1138" s="80" t="s">
        <v>185</v>
      </c>
      <c r="D1138" s="292">
        <f>Model!AJ382</f>
        <v>784.33</v>
      </c>
    </row>
    <row r="1140" spans="1:12" s="32" customFormat="1">
      <c r="A1140" s="33"/>
      <c r="B1140" s="33"/>
      <c r="C1140" s="33"/>
      <c r="D1140" s="33"/>
      <c r="E1140" s="33"/>
      <c r="F1140" s="33"/>
      <c r="G1140" s="33"/>
      <c r="H1140" s="33"/>
      <c r="I1140" s="320" t="s">
        <v>8</v>
      </c>
      <c r="J1140" s="33"/>
      <c r="K1140" s="33"/>
      <c r="L1140" s="33"/>
    </row>
    <row r="1141" spans="1:12" s="32" customFormat="1">
      <c r="B1141" s="285" t="s">
        <v>186</v>
      </c>
      <c r="C1141" s="34" t="s">
        <v>4</v>
      </c>
      <c r="D1141" s="34" t="s">
        <v>5</v>
      </c>
      <c r="E1141" s="34" t="s">
        <v>48</v>
      </c>
      <c r="F1141"/>
      <c r="G1141"/>
      <c r="I1141" s="285" t="s">
        <v>186</v>
      </c>
      <c r="J1141" s="34" t="s">
        <v>4</v>
      </c>
      <c r="K1141" s="34" t="s">
        <v>5</v>
      </c>
      <c r="L1141" s="34" t="s">
        <v>48</v>
      </c>
    </row>
    <row r="1142" spans="1:12" s="32" customFormat="1">
      <c r="B1142" s="111" t="s">
        <v>9</v>
      </c>
      <c r="C1142" s="155">
        <v>562798.29500000004</v>
      </c>
      <c r="D1142" s="286">
        <f>C1142/$D$1138</f>
        <v>717.55293690155929</v>
      </c>
      <c r="E1142" s="112"/>
      <c r="F1142"/>
      <c r="G1142"/>
      <c r="I1142" s="42" t="s">
        <v>10</v>
      </c>
      <c r="J1142" s="295">
        <f>+C1152-C1149-C1144</f>
        <v>4393904.5550000006</v>
      </c>
      <c r="K1142" s="45">
        <f>J1142/$D$1138</f>
        <v>5602.1120637996764</v>
      </c>
      <c r="L1142" s="43">
        <f>J1142/J1146</f>
        <v>9.4983203852929297</v>
      </c>
    </row>
    <row r="1143" spans="1:12" s="32" customFormat="1">
      <c r="B1143" s="111" t="s">
        <v>11</v>
      </c>
      <c r="C1143" s="352">
        <v>82452.479999999996</v>
      </c>
      <c r="D1143" s="286">
        <f>C1143/$D$1138</f>
        <v>105.12473066183875</v>
      </c>
      <c r="E1143" s="112"/>
      <c r="F1143"/>
      <c r="G1143"/>
      <c r="I1143" s="41" t="s">
        <v>24</v>
      </c>
      <c r="J1143" s="295">
        <f>Model!AJ252-Model!AJ296</f>
        <v>1505003.7829999998</v>
      </c>
      <c r="K1143" s="45">
        <f>J1143/$D$1138</f>
        <v>1918.8400073948462</v>
      </c>
      <c r="L1143" s="44"/>
    </row>
    <row r="1144" spans="1:12" s="32" customFormat="1">
      <c r="B1144" s="111" t="s">
        <v>13</v>
      </c>
      <c r="C1144" s="352">
        <v>75554.767000000007</v>
      </c>
      <c r="D1144" s="286">
        <f>C1144/$D$1138</f>
        <v>96.330329070671795</v>
      </c>
      <c r="E1144" s="112"/>
      <c r="F1144"/>
      <c r="G1144"/>
      <c r="I1144" s="42" t="s">
        <v>14</v>
      </c>
      <c r="J1144" s="295">
        <f>+J1142-J1143</f>
        <v>2888900.7720000008</v>
      </c>
      <c r="K1144" s="45">
        <f>+K1142-K1143</f>
        <v>3683.2720564048304</v>
      </c>
      <c r="L1144" s="43">
        <f>J1144/J1146</f>
        <v>6.2449479159831425</v>
      </c>
    </row>
    <row r="1145" spans="1:12" s="32" customFormat="1">
      <c r="B1145" s="111" t="s">
        <v>15</v>
      </c>
      <c r="C1145" s="155">
        <v>86232.812000000005</v>
      </c>
      <c r="D1145" s="286">
        <f>C1145/$D$1138</f>
        <v>109.94455395050552</v>
      </c>
      <c r="E1145" s="112"/>
      <c r="F1145"/>
      <c r="G1145"/>
    </row>
    <row r="1146" spans="1:12" s="32" customFormat="1">
      <c r="B1146" s="109" t="s">
        <v>17</v>
      </c>
      <c r="C1146" s="156">
        <f>SUM(C1142:C1145)</f>
        <v>807038.35400000005</v>
      </c>
      <c r="D1146" s="156">
        <f>SUM(D1142:D1145)</f>
        <v>1028.9525505845754</v>
      </c>
      <c r="E1146" s="110"/>
      <c r="F1146"/>
      <c r="G1146"/>
      <c r="I1146" s="84" t="s">
        <v>174</v>
      </c>
      <c r="J1146" s="295">
        <f>C1162</f>
        <v>462598.05699999997</v>
      </c>
      <c r="K1146" s="45"/>
      <c r="L1146" s="43"/>
    </row>
    <row r="1147" spans="1:12" s="32" customFormat="1">
      <c r="B1147" s="111" t="s">
        <v>18</v>
      </c>
      <c r="C1147" s="155">
        <v>1069255.0830000001</v>
      </c>
      <c r="D1147" s="286">
        <f>C1147/$D$1138</f>
        <v>1363.2719429321842</v>
      </c>
      <c r="E1147" s="110"/>
      <c r="F1147"/>
      <c r="G1147"/>
    </row>
    <row r="1148" spans="1:12" s="32" customFormat="1">
      <c r="B1148" s="111" t="s">
        <v>19</v>
      </c>
      <c r="C1148" s="155">
        <v>2575764.1570000001</v>
      </c>
      <c r="D1148" s="286">
        <f>C1148/$D$1138</f>
        <v>3284.0311565285019</v>
      </c>
      <c r="E1148" s="110"/>
      <c r="F1148"/>
      <c r="G1148"/>
    </row>
    <row r="1149" spans="1:12" s="32" customFormat="1">
      <c r="B1149" s="111" t="s">
        <v>20</v>
      </c>
      <c r="C1149" s="352">
        <v>879246.41700000002</v>
      </c>
      <c r="D1149" s="286">
        <f>C1149/$D$1138</f>
        <v>1121.0159205946477</v>
      </c>
      <c r="E1149" s="110"/>
      <c r="F1149"/>
      <c r="G1149"/>
    </row>
    <row r="1150" spans="1:12" s="32" customFormat="1">
      <c r="B1150" s="111" t="s">
        <v>15</v>
      </c>
      <c r="C1150" s="155">
        <v>17401.727999999999</v>
      </c>
      <c r="D1150" s="286">
        <f>C1150/$D$1138</f>
        <v>22.186742825086377</v>
      </c>
      <c r="E1150" s="110"/>
      <c r="F1150"/>
      <c r="G1150"/>
    </row>
    <row r="1151" spans="1:12">
      <c r="A1151" s="32"/>
      <c r="B1151" s="109" t="s">
        <v>22</v>
      </c>
      <c r="C1151" s="156">
        <f>SUM(C1147:C1150)</f>
        <v>4541667.3850000007</v>
      </c>
      <c r="D1151" s="156">
        <f>SUM(D1147:D1150)</f>
        <v>5790.5057628804198</v>
      </c>
      <c r="E1151" s="110"/>
      <c r="F1151"/>
      <c r="G1151"/>
      <c r="H1151" s="32"/>
      <c r="I1151" s="32"/>
      <c r="J1151" s="32"/>
      <c r="K1151" s="32"/>
      <c r="L1151" s="311"/>
    </row>
    <row r="1152" spans="1:12">
      <c r="B1152" s="303" t="s">
        <v>23</v>
      </c>
      <c r="C1152" s="304">
        <f>C1151+C1146</f>
        <v>5348705.739000001</v>
      </c>
      <c r="D1152" s="304">
        <f>D1151+D1146</f>
        <v>6819.4583134649947</v>
      </c>
      <c r="E1152" s="305">
        <f>+C1152/C1162</f>
        <v>11.562317779039009</v>
      </c>
      <c r="F1152"/>
      <c r="G1152"/>
      <c r="J1152" s="312"/>
    </row>
    <row r="1153" spans="2:10">
      <c r="B1153" s="306" t="s">
        <v>24</v>
      </c>
      <c r="C1153" s="304">
        <f>Model!AJ252</f>
        <v>1213621.4539999999</v>
      </c>
      <c r="D1153" s="286">
        <f>C1153/$D$1138</f>
        <v>1547.335246643632</v>
      </c>
      <c r="E1153" s="307"/>
      <c r="F1153"/>
      <c r="G1153"/>
      <c r="J1153" s="312"/>
    </row>
    <row r="1154" spans="2:10">
      <c r="B1154" s="303" t="s">
        <v>14</v>
      </c>
      <c r="C1154" s="304">
        <f>+C1152-C1153</f>
        <v>4135084.2850000011</v>
      </c>
      <c r="D1154" s="304">
        <f>+D1152-D1153</f>
        <v>5272.123066821363</v>
      </c>
      <c r="E1154" s="305">
        <f>+C1154/C1162</f>
        <v>8.9388276116343501</v>
      </c>
      <c r="F1154"/>
      <c r="G1154"/>
      <c r="J1154" s="312"/>
    </row>
    <row r="1155" spans="2:10">
      <c r="B1155" s="84"/>
      <c r="C1155" s="84"/>
      <c r="D1155" s="84"/>
      <c r="E1155" s="86"/>
    </row>
    <row r="1156" spans="2:10">
      <c r="B1156" s="306" t="s">
        <v>25</v>
      </c>
      <c r="C1156" s="308">
        <f>Model!AJ272</f>
        <v>326640.92599999998</v>
      </c>
      <c r="D1156" s="286">
        <f>C1156/$D$1138</f>
        <v>416.45853913531289</v>
      </c>
      <c r="E1156" s="309"/>
      <c r="J1156" s="312"/>
    </row>
    <row r="1157" spans="2:10">
      <c r="B1157" s="306" t="s">
        <v>26</v>
      </c>
      <c r="C1157" s="308">
        <f>Model!AJ273</f>
        <v>207006.71799999999</v>
      </c>
      <c r="D1157" s="286">
        <f>C1157/$D$1138</f>
        <v>263.92808894215443</v>
      </c>
      <c r="E1157" s="310"/>
    </row>
    <row r="1158" spans="2:10">
      <c r="B1158" s="306" t="s">
        <v>27</v>
      </c>
      <c r="C1158" s="308">
        <f>Model!AJ274</f>
        <v>33131.313000000002</v>
      </c>
      <c r="D1158" s="286">
        <f>C1158/$D$1138</f>
        <v>42.241547562888073</v>
      </c>
      <c r="E1158" s="310"/>
    </row>
    <row r="1159" spans="2:10">
      <c r="B1159" s="42" t="s">
        <v>28</v>
      </c>
      <c r="C1159" s="45">
        <f>C1156+C1157+C1158</f>
        <v>566778.95699999994</v>
      </c>
      <c r="D1159" s="45">
        <f>D1156+D1157+D1158</f>
        <v>722.62817564035538</v>
      </c>
      <c r="E1159" s="43"/>
      <c r="J1159" s="164"/>
    </row>
    <row r="1160" spans="2:10">
      <c r="B1160" s="84" t="s">
        <v>29</v>
      </c>
      <c r="C1160" s="288">
        <f>Model!AJ290</f>
        <v>6016799.5199999996</v>
      </c>
      <c r="D1160" s="286">
        <f>C1160/$D$1138</f>
        <v>7671.2602093506548</v>
      </c>
      <c r="E1160" s="86"/>
    </row>
    <row r="1161" spans="2:10">
      <c r="B1161" s="84" t="s">
        <v>30</v>
      </c>
      <c r="C1161" s="288">
        <f>C1160+C1152+C1159</f>
        <v>11932284.216</v>
      </c>
      <c r="D1161" s="288">
        <f>D1160+D1152+D1159</f>
        <v>15213.346698456004</v>
      </c>
      <c r="E1161" s="86"/>
    </row>
    <row r="1162" spans="2:10">
      <c r="B1162" s="84" t="s">
        <v>187</v>
      </c>
      <c r="C1162" s="288">
        <f>Model!AJ204</f>
        <v>462598.05699999997</v>
      </c>
      <c r="D1162" s="288"/>
      <c r="E1162" s="41"/>
      <c r="F1162" s="164"/>
      <c r="G1162" s="164"/>
    </row>
    <row r="1163" spans="2:10">
      <c r="F1163" s="164"/>
      <c r="G1163" s="164"/>
    </row>
    <row r="1164" spans="2:10">
      <c r="B1164" s="176" t="s">
        <v>32</v>
      </c>
      <c r="C1164" s="274">
        <f>C1152-(Model!AJ260)</f>
        <v>0</v>
      </c>
      <c r="D1164" s="274">
        <f>D1152-(Model!AJ260/D1138)</f>
        <v>0</v>
      </c>
    </row>
    <row r="1165" spans="2:10">
      <c r="B1165" s="176"/>
      <c r="C1165" s="176"/>
      <c r="D1165" s="177"/>
    </row>
    <row r="1166" spans="2:10">
      <c r="B1166" s="33" t="s">
        <v>188</v>
      </c>
      <c r="C1166" s="290">
        <f>Model!AJ289</f>
        <v>6395045</v>
      </c>
      <c r="D1166" s="237"/>
    </row>
    <row r="1167" spans="2:10">
      <c r="B1167" s="33" t="s">
        <v>34</v>
      </c>
      <c r="C1167" s="290">
        <f>+Model!AJ283+Capitalisation!C1166</f>
        <v>11355728.512</v>
      </c>
      <c r="D1167" s="165"/>
    </row>
    <row r="1168" spans="2:10">
      <c r="B1168" s="238" t="s">
        <v>35</v>
      </c>
      <c r="C1168" s="43">
        <f>C1167/C1170</f>
        <v>17.387453528484961</v>
      </c>
      <c r="D1168" s="43"/>
    </row>
    <row r="1170" spans="2:8">
      <c r="B1170" s="33" t="s">
        <v>36</v>
      </c>
      <c r="C1170" s="290">
        <f>Model!AJ223</f>
        <v>653099</v>
      </c>
      <c r="D1170" s="237"/>
    </row>
    <row r="1173" spans="2:8" ht="13.5" thickBot="1"/>
    <row r="1174" spans="2:8">
      <c r="B1174" s="267" t="s">
        <v>37</v>
      </c>
      <c r="C1174" s="278" t="s">
        <v>38</v>
      </c>
      <c r="D1174" s="279" t="s">
        <v>5</v>
      </c>
      <c r="E1174" s="113"/>
    </row>
    <row r="1175" spans="2:8" ht="12" customHeight="1">
      <c r="B1175" s="268" t="s">
        <v>39</v>
      </c>
      <c r="C1175" s="269">
        <v>0</v>
      </c>
      <c r="D1175" s="270">
        <v>0</v>
      </c>
      <c r="E1175" s="113"/>
    </row>
    <row r="1176" spans="2:8">
      <c r="B1176" s="104" t="s">
        <v>40</v>
      </c>
      <c r="C1176" s="243">
        <f>C1153</f>
        <v>1213621.4539999999</v>
      </c>
      <c r="D1176" s="266">
        <f>D1153</f>
        <v>1547.335246643632</v>
      </c>
      <c r="H1176" s="155"/>
    </row>
    <row r="1177" spans="2:8" ht="13.5" thickBot="1">
      <c r="B1177" s="271" t="s">
        <v>41</v>
      </c>
      <c r="C1177" s="272">
        <f>C1175+C1176</f>
        <v>1213621.4539999999</v>
      </c>
      <c r="D1177" s="273">
        <f>D1175+D1176</f>
        <v>1547.335246643632</v>
      </c>
      <c r="H1177" s="155"/>
    </row>
    <row r="1178" spans="2:8">
      <c r="D1178" s="264"/>
      <c r="H1178" s="155"/>
    </row>
    <row r="1179" spans="2:8">
      <c r="C1179" s="36"/>
      <c r="H1179" s="155"/>
    </row>
    <row r="1180" spans="2:8" ht="13.5" thickBot="1">
      <c r="H1180" s="156"/>
    </row>
    <row r="1181" spans="2:8">
      <c r="B1181" s="323" t="s">
        <v>189</v>
      </c>
      <c r="C1181" s="324" t="s">
        <v>58</v>
      </c>
      <c r="D1181" s="325" t="s">
        <v>59</v>
      </c>
      <c r="H1181" s="155"/>
    </row>
    <row r="1182" spans="2:8">
      <c r="B1182" s="89">
        <v>2020</v>
      </c>
      <c r="C1182" s="321">
        <v>100531</v>
      </c>
      <c r="D1182" s="326">
        <f t="shared" ref="D1182:D1187" si="19">C1182/$D$1138</f>
        <v>128.17436538191831</v>
      </c>
      <c r="E1182" s="90"/>
      <c r="H1182" s="155"/>
    </row>
    <row r="1183" spans="2:8">
      <c r="B1183" s="89">
        <v>2021</v>
      </c>
      <c r="C1183" s="321">
        <v>345241</v>
      </c>
      <c r="D1183" s="326">
        <f t="shared" si="19"/>
        <v>440.17314140731577</v>
      </c>
      <c r="E1183" s="90"/>
      <c r="H1183" s="155"/>
    </row>
    <row r="1184" spans="2:8">
      <c r="B1184" s="89">
        <v>2022</v>
      </c>
      <c r="C1184" s="322">
        <v>502052</v>
      </c>
      <c r="D1184" s="326">
        <f t="shared" si="19"/>
        <v>640.10301786237937</v>
      </c>
      <c r="E1184" s="90"/>
      <c r="H1184" s="155"/>
    </row>
    <row r="1185" spans="1:13">
      <c r="B1185" s="89">
        <v>2023</v>
      </c>
      <c r="C1185" s="322">
        <v>871360</v>
      </c>
      <c r="D1185" s="326">
        <f t="shared" si="19"/>
        <v>1110.9609475603381</v>
      </c>
      <c r="E1185" s="90"/>
      <c r="H1185" s="32"/>
    </row>
    <row r="1186" spans="1:13">
      <c r="B1186" s="89">
        <v>2024</v>
      </c>
      <c r="C1186" s="321">
        <v>77675</v>
      </c>
      <c r="D1186" s="326">
        <f t="shared" si="19"/>
        <v>99.033570053421386</v>
      </c>
      <c r="E1186" s="90"/>
    </row>
    <row r="1187" spans="1:13">
      <c r="B1187" s="89" t="s">
        <v>190</v>
      </c>
      <c r="C1187" s="322">
        <v>2083007</v>
      </c>
      <c r="D1187" s="326">
        <f t="shared" si="19"/>
        <v>2655.7788175895348</v>
      </c>
      <c r="E1187" s="90"/>
    </row>
    <row r="1188" spans="1:13" ht="13.5" thickBot="1">
      <c r="B1188" s="91"/>
      <c r="C1188" s="327"/>
      <c r="D1188" s="328"/>
      <c r="E1188" s="90"/>
    </row>
    <row r="1189" spans="1:13">
      <c r="B1189" s="80" t="s">
        <v>44</v>
      </c>
      <c r="C1189" s="121">
        <f>SUM(C1182:C1188)</f>
        <v>3979866</v>
      </c>
      <c r="D1189" s="121">
        <f>SUM(D1182:D1188)</f>
        <v>5074.2238598549084</v>
      </c>
      <c r="E1189" s="90"/>
    </row>
    <row r="1190" spans="1:13">
      <c r="A1190" s="80" t="s">
        <v>191</v>
      </c>
      <c r="C1190" s="80" t="s">
        <v>192</v>
      </c>
      <c r="D1190" s="292">
        <f>Model!AI382</f>
        <v>821.23</v>
      </c>
    </row>
    <row r="1192" spans="1:13">
      <c r="I1192" s="320" t="s">
        <v>8</v>
      </c>
    </row>
    <row r="1193" spans="1:13">
      <c r="A1193" s="32"/>
      <c r="B1193" s="285" t="s">
        <v>193</v>
      </c>
      <c r="C1193" s="34" t="s">
        <v>4</v>
      </c>
      <c r="D1193" s="34" t="s">
        <v>5</v>
      </c>
      <c r="E1193" s="34" t="s">
        <v>48</v>
      </c>
      <c r="F1193"/>
      <c r="G1193"/>
      <c r="H1193" s="32"/>
      <c r="I1193" s="285" t="s">
        <v>193</v>
      </c>
      <c r="J1193" s="34" t="s">
        <v>4</v>
      </c>
      <c r="K1193" s="34" t="s">
        <v>5</v>
      </c>
      <c r="L1193" s="34" t="s">
        <v>48</v>
      </c>
      <c r="M1193" s="32"/>
    </row>
    <row r="1194" spans="1:13" s="32" customFormat="1">
      <c r="B1194" s="111" t="s">
        <v>9</v>
      </c>
      <c r="C1194" s="155">
        <v>806654.66700000002</v>
      </c>
      <c r="D1194" s="286">
        <f>C1194/$D$1190</f>
        <v>982.25182591965711</v>
      </c>
      <c r="E1194" s="112"/>
      <c r="F1194"/>
      <c r="G1194"/>
      <c r="I1194" s="42" t="s">
        <v>10</v>
      </c>
      <c r="J1194" s="295">
        <f>+C1204-C1201-C1196</f>
        <v>4706666.3619999997</v>
      </c>
      <c r="K1194" s="45">
        <f>J1194/$D$1190</f>
        <v>5731.2401665793986</v>
      </c>
      <c r="L1194" s="43">
        <f>J1194/J1198</f>
        <v>9.4741669945151354</v>
      </c>
    </row>
    <row r="1195" spans="1:13" s="32" customFormat="1">
      <c r="B1195" s="111" t="s">
        <v>11</v>
      </c>
      <c r="C1195" s="352">
        <v>94273.327000000005</v>
      </c>
      <c r="D1195" s="286">
        <f>C1195/$D$1190</f>
        <v>114.79527903267051</v>
      </c>
      <c r="E1195" s="112"/>
      <c r="F1195"/>
      <c r="G1195"/>
      <c r="I1195" s="41" t="s">
        <v>24</v>
      </c>
      <c r="J1195" s="295">
        <f>Model!AI252-Model!AI296</f>
        <v>1785431.3319999999</v>
      </c>
      <c r="K1195" s="45">
        <f>J1195/$D$1190</f>
        <v>2174.0941417142576</v>
      </c>
      <c r="L1195" s="44"/>
    </row>
    <row r="1196" spans="1:13" s="32" customFormat="1">
      <c r="B1196" s="111" t="s">
        <v>13</v>
      </c>
      <c r="C1196" s="352">
        <v>78259.850999999995</v>
      </c>
      <c r="D1196" s="286">
        <f>C1196/$D$1190</f>
        <v>95.295898834674816</v>
      </c>
      <c r="E1196" s="112"/>
      <c r="F1196"/>
      <c r="G1196"/>
      <c r="I1196" s="42" t="s">
        <v>14</v>
      </c>
      <c r="J1196" s="295">
        <f>+J1194-J1195</f>
        <v>2921235.03</v>
      </c>
      <c r="K1196" s="45">
        <f>+K1194-K1195</f>
        <v>3557.146024865141</v>
      </c>
      <c r="L1196" s="43">
        <f>J1196/J1198</f>
        <v>5.8802273999908028</v>
      </c>
    </row>
    <row r="1197" spans="1:13" s="32" customFormat="1">
      <c r="B1197" s="111" t="s">
        <v>15</v>
      </c>
      <c r="C1197" s="155">
        <v>35525.025999999998</v>
      </c>
      <c r="D1197" s="286">
        <f>C1197/$D$1190</f>
        <v>43.258314966574524</v>
      </c>
      <c r="E1197" s="112"/>
      <c r="F1197"/>
      <c r="G1197"/>
    </row>
    <row r="1198" spans="1:13" s="32" customFormat="1">
      <c r="B1198" s="109" t="s">
        <v>17</v>
      </c>
      <c r="C1198" s="156">
        <f>SUM(C1194:C1197)</f>
        <v>1014712.871</v>
      </c>
      <c r="D1198" s="156">
        <f>SUM(D1194:D1197)</f>
        <v>1235.6013187535768</v>
      </c>
      <c r="E1198" s="110"/>
      <c r="F1198"/>
      <c r="G1198"/>
      <c r="I1198" s="84" t="s">
        <v>174</v>
      </c>
      <c r="J1198" s="295">
        <f>C1214</f>
        <v>496789.46600000007</v>
      </c>
      <c r="K1198" s="45"/>
      <c r="L1198" s="43"/>
    </row>
    <row r="1199" spans="1:13" s="32" customFormat="1">
      <c r="B1199" s="111" t="s">
        <v>18</v>
      </c>
      <c r="C1199" s="155">
        <v>1064241.5630000001</v>
      </c>
      <c r="D1199" s="286">
        <f>C1199/$D$1190</f>
        <v>1295.9116970885136</v>
      </c>
      <c r="E1199" s="110"/>
      <c r="F1199"/>
      <c r="G1199"/>
    </row>
    <row r="1200" spans="1:13" s="32" customFormat="1">
      <c r="B1200" s="111" t="s">
        <v>19</v>
      </c>
      <c r="C1200" s="155">
        <v>2630710.0260000001</v>
      </c>
      <c r="D1200" s="286">
        <f>C1200/$D$1190</f>
        <v>3203.3778916990368</v>
      </c>
      <c r="E1200" s="110"/>
      <c r="F1200"/>
      <c r="G1200"/>
    </row>
    <row r="1201" spans="1:13" s="32" customFormat="1">
      <c r="B1201" s="111" t="s">
        <v>20</v>
      </c>
      <c r="C1201" s="352">
        <v>915332.56</v>
      </c>
      <c r="D1201" s="286">
        <f>C1201/$D$1190</f>
        <v>1114.5873385044385</v>
      </c>
      <c r="E1201" s="110"/>
      <c r="F1201"/>
      <c r="G1201"/>
    </row>
    <row r="1202" spans="1:13" s="32" customFormat="1">
      <c r="B1202" s="111" t="s">
        <v>15</v>
      </c>
      <c r="C1202" s="155">
        <v>75261.752999999997</v>
      </c>
      <c r="D1202" s="286">
        <f>C1202/$D$1190</f>
        <v>91.645157872946669</v>
      </c>
      <c r="E1202" s="110"/>
      <c r="F1202"/>
      <c r="G1202"/>
    </row>
    <row r="1203" spans="1:13" s="32" customFormat="1">
      <c r="B1203" s="109" t="s">
        <v>22</v>
      </c>
      <c r="C1203" s="156">
        <f>SUM(C1199:C1202)</f>
        <v>4685545.9019999998</v>
      </c>
      <c r="D1203" s="156">
        <f>SUM(D1199:D1202)</f>
        <v>5705.5220851649356</v>
      </c>
      <c r="E1203" s="110"/>
      <c r="F1203"/>
      <c r="G1203"/>
      <c r="L1203" s="311"/>
    </row>
    <row r="1204" spans="1:13" s="32" customFormat="1">
      <c r="A1204" s="33"/>
      <c r="B1204" s="303" t="s">
        <v>23</v>
      </c>
      <c r="C1204" s="304">
        <f>C1203+C1198</f>
        <v>5700258.773</v>
      </c>
      <c r="D1204" s="304">
        <f>D1203+D1198</f>
        <v>6941.1234039185128</v>
      </c>
      <c r="E1204" s="305">
        <f>+C1204/C1214</f>
        <v>11.474194126732952</v>
      </c>
      <c r="F1204"/>
      <c r="G1204"/>
      <c r="H1204" s="33"/>
      <c r="I1204" s="33"/>
      <c r="J1204" s="312"/>
      <c r="K1204" s="33"/>
      <c r="L1204" s="33"/>
      <c r="M1204" s="33"/>
    </row>
    <row r="1205" spans="1:13">
      <c r="B1205" s="306" t="s">
        <v>24</v>
      </c>
      <c r="C1205" s="304">
        <f>Model!AI252</f>
        <v>1430984.8219999999</v>
      </c>
      <c r="D1205" s="286">
        <f>C1205/$D$1190</f>
        <v>1742.4897069030599</v>
      </c>
      <c r="E1205" s="307"/>
      <c r="F1205"/>
      <c r="G1205"/>
      <c r="J1205" s="312"/>
    </row>
    <row r="1206" spans="1:13">
      <c r="B1206" s="303" t="s">
        <v>14</v>
      </c>
      <c r="C1206" s="304">
        <f>+C1204-C1205</f>
        <v>4269273.9510000004</v>
      </c>
      <c r="D1206" s="304">
        <f>+D1204-D1205</f>
        <v>5198.6336970154534</v>
      </c>
      <c r="E1206" s="305">
        <f>+C1206/C1214</f>
        <v>8.5937288191211358</v>
      </c>
      <c r="F1206"/>
      <c r="G1206"/>
      <c r="J1206" s="312"/>
    </row>
    <row r="1207" spans="1:13">
      <c r="B1207" s="84"/>
      <c r="C1207" s="84"/>
      <c r="D1207" s="84"/>
      <c r="E1207" s="86"/>
    </row>
    <row r="1208" spans="1:13">
      <c r="B1208" s="306" t="s">
        <v>25</v>
      </c>
      <c r="C1208" s="308">
        <f>Model!AI272</f>
        <v>448423.05800000002</v>
      </c>
      <c r="D1208" s="286">
        <f>C1208/$D$1190</f>
        <v>546.03833030941394</v>
      </c>
      <c r="E1208" s="309"/>
      <c r="J1208" s="312"/>
    </row>
    <row r="1209" spans="1:13">
      <c r="B1209" s="306" t="s">
        <v>26</v>
      </c>
      <c r="C1209" s="308">
        <f>Model!AI273</f>
        <v>205944.34</v>
      </c>
      <c r="D1209" s="286">
        <f>C1209/$D$1190</f>
        <v>250.77547093993155</v>
      </c>
      <c r="E1209" s="310"/>
    </row>
    <row r="1210" spans="1:13">
      <c r="B1210" s="306" t="s">
        <v>27</v>
      </c>
      <c r="C1210" s="308">
        <f>Model!AI274</f>
        <v>34569.298999999999</v>
      </c>
      <c r="D1210" s="286">
        <f>C1210/$D$1190</f>
        <v>42.094539897470867</v>
      </c>
      <c r="E1210" s="310"/>
    </row>
    <row r="1211" spans="1:13">
      <c r="B1211" s="42" t="s">
        <v>28</v>
      </c>
      <c r="C1211" s="45">
        <f>C1208+C1209+C1210</f>
        <v>688936.69700000004</v>
      </c>
      <c r="D1211" s="45">
        <f>D1208+D1209+D1210</f>
        <v>838.90834114681638</v>
      </c>
      <c r="E1211" s="43"/>
      <c r="J1211" s="164"/>
    </row>
    <row r="1212" spans="1:13">
      <c r="B1212" s="84" t="s">
        <v>29</v>
      </c>
      <c r="C1212" s="288">
        <f>Model!AI290</f>
        <v>6141290.8949999996</v>
      </c>
      <c r="D1212" s="286">
        <f>C1212/$D$1190</f>
        <v>7478.1618973978048</v>
      </c>
      <c r="E1212" s="86"/>
    </row>
    <row r="1213" spans="1:13">
      <c r="B1213" s="84" t="s">
        <v>30</v>
      </c>
      <c r="C1213" s="288">
        <f>C1212+C1204+C1211</f>
        <v>12530486.365</v>
      </c>
      <c r="D1213" s="288">
        <f>D1212+D1204+D1211</f>
        <v>15258.193642463135</v>
      </c>
      <c r="E1213" s="86"/>
    </row>
    <row r="1214" spans="1:13">
      <c r="B1214" s="84" t="s">
        <v>174</v>
      </c>
      <c r="C1214" s="288">
        <f>Model!AI204</f>
        <v>496789.46600000007</v>
      </c>
      <c r="D1214" s="288"/>
      <c r="E1214" s="41"/>
      <c r="F1214" s="164"/>
      <c r="G1214" s="164"/>
    </row>
    <row r="1215" spans="1:13">
      <c r="F1215" s="164"/>
      <c r="G1215" s="164"/>
    </row>
    <row r="1216" spans="1:13">
      <c r="B1216" s="176" t="s">
        <v>32</v>
      </c>
      <c r="C1216" s="274">
        <f>C1204-(Model!AI260)</f>
        <v>0</v>
      </c>
      <c r="D1216" s="274">
        <f>D1204-(Model!AI260/D1190)</f>
        <v>0</v>
      </c>
    </row>
    <row r="1217" spans="2:8">
      <c r="B1217" s="176"/>
      <c r="C1217" s="176"/>
      <c r="D1217" s="177"/>
    </row>
    <row r="1218" spans="2:8">
      <c r="B1218" s="33" t="s">
        <v>194</v>
      </c>
      <c r="C1218" s="290">
        <f>Model!AI289</f>
        <v>6522996.0354000004</v>
      </c>
      <c r="D1218" s="237"/>
    </row>
    <row r="1219" spans="2:8">
      <c r="B1219" s="33" t="s">
        <v>34</v>
      </c>
      <c r="C1219" s="290">
        <f>+Model!AI283+Capitalisation!C1218</f>
        <v>11918599.0944</v>
      </c>
      <c r="D1219" s="165"/>
    </row>
    <row r="1220" spans="2:8">
      <c r="B1220" s="238" t="s">
        <v>35</v>
      </c>
      <c r="C1220" s="43">
        <f>C1219/C1222</f>
        <v>16.27992620502005</v>
      </c>
      <c r="D1220" s="43"/>
    </row>
    <row r="1222" spans="2:8">
      <c r="B1222" s="33" t="s">
        <v>36</v>
      </c>
      <c r="C1222" s="290">
        <f>Model!AI223</f>
        <v>732104</v>
      </c>
      <c r="D1222" s="237"/>
    </row>
    <row r="1225" spans="2:8" ht="13.5" thickBot="1"/>
    <row r="1226" spans="2:8">
      <c r="B1226" s="267" t="s">
        <v>37</v>
      </c>
      <c r="C1226" s="278" t="s">
        <v>38</v>
      </c>
      <c r="D1226" s="279" t="s">
        <v>5</v>
      </c>
      <c r="E1226" s="113"/>
    </row>
    <row r="1227" spans="2:8">
      <c r="B1227" s="268" t="s">
        <v>39</v>
      </c>
      <c r="C1227" s="269">
        <v>0</v>
      </c>
      <c r="D1227" s="270">
        <v>0</v>
      </c>
      <c r="E1227" s="113"/>
    </row>
    <row r="1228" spans="2:8" ht="12" customHeight="1">
      <c r="B1228" s="104" t="s">
        <v>40</v>
      </c>
      <c r="C1228" s="243">
        <f>C1205</f>
        <v>1430984.8219999999</v>
      </c>
      <c r="D1228" s="266">
        <f>D1205</f>
        <v>1742.4897069030599</v>
      </c>
      <c r="H1228" s="155"/>
    </row>
    <row r="1229" spans="2:8" ht="13.5" thickBot="1">
      <c r="B1229" s="271" t="s">
        <v>41</v>
      </c>
      <c r="C1229" s="272">
        <f>C1227+C1228</f>
        <v>1430984.8219999999</v>
      </c>
      <c r="D1229" s="273">
        <f>D1227+D1228</f>
        <v>1742.4897069030599</v>
      </c>
      <c r="H1229" s="155"/>
    </row>
    <row r="1230" spans="2:8">
      <c r="D1230" s="264"/>
      <c r="H1230" s="155"/>
    </row>
    <row r="1231" spans="2:8">
      <c r="C1231" s="36"/>
      <c r="H1231" s="155"/>
    </row>
    <row r="1232" spans="2:8" ht="13.5" thickBot="1">
      <c r="H1232" s="156"/>
    </row>
    <row r="1233" spans="1:14">
      <c r="B1233" s="323" t="s">
        <v>195</v>
      </c>
      <c r="C1233" s="324" t="s">
        <v>58</v>
      </c>
      <c r="D1233" s="325" t="s">
        <v>59</v>
      </c>
      <c r="H1233" s="155"/>
    </row>
    <row r="1234" spans="1:14">
      <c r="B1234" s="89">
        <v>2020</v>
      </c>
      <c r="C1234" s="321">
        <f>291330</f>
        <v>291330</v>
      </c>
      <c r="D1234" s="326">
        <f t="shared" ref="D1234:D1239" si="20">C1234/$D$1190</f>
        <v>354.74836525699254</v>
      </c>
      <c r="E1234" s="90"/>
      <c r="H1234" s="155"/>
    </row>
    <row r="1235" spans="1:14">
      <c r="B1235" s="89">
        <v>2021</v>
      </c>
      <c r="C1235" s="321">
        <f>814779</f>
        <v>814779</v>
      </c>
      <c r="D1235" s="326">
        <f t="shared" si="20"/>
        <v>992.14470976462133</v>
      </c>
      <c r="E1235" s="90"/>
      <c r="H1235" s="155"/>
    </row>
    <row r="1236" spans="1:14">
      <c r="B1236" s="89">
        <v>2022</v>
      </c>
      <c r="C1236" s="322">
        <f>549724</f>
        <v>549724</v>
      </c>
      <c r="D1236" s="326">
        <f t="shared" si="20"/>
        <v>669.39103539812231</v>
      </c>
      <c r="E1236" s="90"/>
      <c r="H1236" s="155"/>
    </row>
    <row r="1237" spans="1:14">
      <c r="B1237" s="89">
        <v>2023</v>
      </c>
      <c r="C1237" s="322">
        <f>899061</f>
        <v>899061</v>
      </c>
      <c r="D1237" s="326">
        <f t="shared" si="20"/>
        <v>1094.7736931188583</v>
      </c>
      <c r="E1237" s="90"/>
      <c r="H1237" s="32"/>
    </row>
    <row r="1238" spans="1:14">
      <c r="B1238" s="89">
        <v>2024</v>
      </c>
      <c r="C1238" s="321">
        <f>86009</f>
        <v>86009</v>
      </c>
      <c r="D1238" s="326">
        <f t="shared" si="20"/>
        <v>104.73192650049316</v>
      </c>
      <c r="E1238" s="90"/>
    </row>
    <row r="1239" spans="1:14">
      <c r="B1239" s="89" t="s">
        <v>190</v>
      </c>
      <c r="C1239" s="322">
        <f>2002918</f>
        <v>2002918</v>
      </c>
      <c r="D1239" s="326">
        <f t="shared" si="20"/>
        <v>2438.9245400192394</v>
      </c>
      <c r="E1239" s="90"/>
    </row>
    <row r="1240" spans="1:14" ht="13.5" thickBot="1">
      <c r="B1240" s="91"/>
      <c r="C1240" s="327"/>
      <c r="D1240" s="328"/>
      <c r="E1240" s="90"/>
    </row>
    <row r="1241" spans="1:14">
      <c r="B1241" s="80" t="s">
        <v>44</v>
      </c>
      <c r="C1241" s="121">
        <f>SUM(C1234:C1240)</f>
        <v>4643821</v>
      </c>
      <c r="D1241" s="121">
        <f>SUM(D1234:D1240)</f>
        <v>5654.7142700583263</v>
      </c>
      <c r="E1241" s="90"/>
    </row>
    <row r="1242" spans="1:14">
      <c r="B1242" s="80"/>
      <c r="C1242" s="121"/>
      <c r="D1242" s="121"/>
      <c r="E1242" s="90"/>
    </row>
    <row r="1243" spans="1:14">
      <c r="A1243" s="80" t="s">
        <v>196</v>
      </c>
      <c r="C1243" s="80" t="s">
        <v>197</v>
      </c>
      <c r="D1243" s="292">
        <f>Model!AH382</f>
        <v>851.97516145057125</v>
      </c>
    </row>
    <row r="1245" spans="1:14">
      <c r="I1245" s="320" t="s">
        <v>8</v>
      </c>
    </row>
    <row r="1246" spans="1:14">
      <c r="A1246" s="32"/>
      <c r="B1246" s="285" t="s">
        <v>198</v>
      </c>
      <c r="C1246" s="34" t="s">
        <v>4</v>
      </c>
      <c r="D1246" s="34" t="s">
        <v>5</v>
      </c>
      <c r="E1246" s="34" t="s">
        <v>48</v>
      </c>
      <c r="F1246"/>
      <c r="G1246"/>
      <c r="H1246" s="32"/>
      <c r="I1246" s="285" t="s">
        <v>199</v>
      </c>
      <c r="J1246" s="34" t="s">
        <v>4</v>
      </c>
      <c r="K1246" s="34" t="s">
        <v>5</v>
      </c>
      <c r="L1246" s="34" t="s">
        <v>48</v>
      </c>
    </row>
    <row r="1247" spans="1:14">
      <c r="A1247" s="32"/>
      <c r="B1247" s="111" t="s">
        <v>9</v>
      </c>
      <c r="C1247" s="155">
        <v>1196426.0330000001</v>
      </c>
      <c r="D1247" s="286">
        <f>C1247/$D$1243</f>
        <v>1404.2968470617939</v>
      </c>
      <c r="E1247" s="112"/>
      <c r="F1247"/>
      <c r="G1247"/>
      <c r="H1247" s="32"/>
      <c r="I1247" s="42" t="s">
        <v>10</v>
      </c>
      <c r="J1247" s="295">
        <f>+C1257-C1254-C1249</f>
        <v>4375500.1809999999</v>
      </c>
      <c r="K1247" s="45">
        <f>J1247/$D$1243</f>
        <v>5135.7133153392424</v>
      </c>
      <c r="L1247" s="43">
        <f>J1247/J1251</f>
        <v>5.8728386860628428</v>
      </c>
      <c r="M1247" s="32"/>
    </row>
    <row r="1248" spans="1:14">
      <c r="A1248" s="32"/>
      <c r="B1248" s="111" t="s">
        <v>11</v>
      </c>
      <c r="C1248" s="155">
        <v>89798.968999999997</v>
      </c>
      <c r="D1248" s="286">
        <f>C1248/$D$1243</f>
        <v>105.4009237160253</v>
      </c>
      <c r="E1248" s="112"/>
      <c r="F1248"/>
      <c r="G1248"/>
      <c r="H1248" s="32"/>
      <c r="I1248" s="41" t="s">
        <v>24</v>
      </c>
      <c r="J1248" s="295">
        <f>Model!AH252-Model!AH296</f>
        <v>1304899.4010000001</v>
      </c>
      <c r="K1248" s="45">
        <f>J1248/$D$1243</f>
        <v>1531.6167184713236</v>
      </c>
      <c r="L1248" s="44"/>
      <c r="M1248" s="32"/>
      <c r="N1248" s="32"/>
    </row>
    <row r="1249" spans="1:14" s="32" customFormat="1">
      <c r="B1249" s="111" t="s">
        <v>13</v>
      </c>
      <c r="C1249" s="155">
        <v>79325.899999999994</v>
      </c>
      <c r="D1249" s="286">
        <f>C1249/$D$1243</f>
        <v>93.108230837316754</v>
      </c>
      <c r="E1249" s="112"/>
      <c r="F1249"/>
      <c r="G1249"/>
      <c r="I1249" s="42" t="s">
        <v>14</v>
      </c>
      <c r="J1249" s="295">
        <f>+J1247-J1248</f>
        <v>3070600.78</v>
      </c>
      <c r="K1249" s="45">
        <f>+K1247-K1248</f>
        <v>3604.0965968679188</v>
      </c>
      <c r="L1249" s="43">
        <f>J1249/J1251</f>
        <v>4.1213900821088183</v>
      </c>
    </row>
    <row r="1250" spans="1:14" s="32" customFormat="1">
      <c r="B1250" s="111" t="s">
        <v>15</v>
      </c>
      <c r="C1250" s="155">
        <v>42399.838000000003</v>
      </c>
      <c r="D1250" s="286">
        <f>C1250/$D$1243</f>
        <v>49.766518929742176</v>
      </c>
      <c r="E1250" s="112"/>
      <c r="F1250"/>
      <c r="G1250"/>
    </row>
    <row r="1251" spans="1:14" s="32" customFormat="1">
      <c r="B1251" s="109" t="s">
        <v>17</v>
      </c>
      <c r="C1251" s="156">
        <f>SUM(C1247:C1250)</f>
        <v>1407950.74</v>
      </c>
      <c r="D1251" s="156">
        <f>SUM(D1247:D1250)</f>
        <v>1652.5725205448782</v>
      </c>
      <c r="E1251" s="110"/>
      <c r="F1251"/>
      <c r="G1251"/>
      <c r="I1251" s="42" t="s">
        <v>200</v>
      </c>
      <c r="J1251" s="295">
        <f>C1267</f>
        <v>745040.07599999988</v>
      </c>
      <c r="K1251" s="45"/>
      <c r="L1251" s="43"/>
    </row>
    <row r="1252" spans="1:14" s="32" customFormat="1">
      <c r="B1252" s="111" t="s">
        <v>18</v>
      </c>
      <c r="C1252" s="155">
        <v>591203.77099999995</v>
      </c>
      <c r="D1252" s="286">
        <f>C1252/$D$1243</f>
        <v>693.92136971859316</v>
      </c>
      <c r="E1252" s="110"/>
      <c r="F1252"/>
      <c r="G1252"/>
    </row>
    <row r="1253" spans="1:14" s="32" customFormat="1">
      <c r="B1253" s="111" t="s">
        <v>19</v>
      </c>
      <c r="C1253" s="155">
        <v>2380874.6809999999</v>
      </c>
      <c r="D1253" s="286">
        <f>C1253/$D$1243</f>
        <v>2794.535320661611</v>
      </c>
      <c r="E1253" s="110"/>
      <c r="F1253"/>
      <c r="G1253"/>
    </row>
    <row r="1254" spans="1:14" s="32" customFormat="1">
      <c r="B1254" s="111" t="s">
        <v>20</v>
      </c>
      <c r="C1254" s="155">
        <v>893815.054</v>
      </c>
      <c r="D1254" s="286">
        <f>C1254/$D$1243</f>
        <v>1049.1092867991506</v>
      </c>
      <c r="E1254" s="110"/>
      <c r="F1254"/>
      <c r="G1254"/>
    </row>
    <row r="1255" spans="1:14" s="32" customFormat="1">
      <c r="B1255" s="111" t="s">
        <v>15</v>
      </c>
      <c r="C1255" s="155">
        <v>74796.888999999996</v>
      </c>
      <c r="D1255" s="286">
        <f>C1255/$D$1243</f>
        <v>87.79233525147724</v>
      </c>
      <c r="E1255" s="110"/>
      <c r="F1255"/>
      <c r="G1255"/>
    </row>
    <row r="1256" spans="1:14" s="32" customFormat="1">
      <c r="B1256" s="109" t="s">
        <v>22</v>
      </c>
      <c r="C1256" s="156">
        <f>SUM(C1252:C1255)</f>
        <v>3940690.3949999996</v>
      </c>
      <c r="D1256" s="156">
        <f>SUM(D1252:D1255)</f>
        <v>4625.3583124308316</v>
      </c>
      <c r="E1256" s="110"/>
      <c r="F1256"/>
      <c r="G1256"/>
      <c r="L1256" s="311"/>
    </row>
    <row r="1257" spans="1:14" s="32" customFormat="1">
      <c r="A1257" s="33"/>
      <c r="B1257" s="303" t="s">
        <v>23</v>
      </c>
      <c r="C1257" s="304">
        <f>C1256+C1251</f>
        <v>5348641.1349999998</v>
      </c>
      <c r="D1257" s="304">
        <f>D1256+D1251</f>
        <v>6277.9308329757096</v>
      </c>
      <c r="E1257" s="305">
        <f>+C1257/C1267</f>
        <v>7.1789978919201127</v>
      </c>
      <c r="F1257"/>
      <c r="G1257"/>
      <c r="H1257" s="33"/>
      <c r="I1257" s="33"/>
      <c r="J1257" s="312"/>
      <c r="K1257" s="33"/>
      <c r="L1257" s="33"/>
    </row>
    <row r="1258" spans="1:14" s="32" customFormat="1">
      <c r="A1258" s="33"/>
      <c r="B1258" s="306" t="s">
        <v>24</v>
      </c>
      <c r="C1258" s="304">
        <f>Model!AH252</f>
        <v>909838.07200000004</v>
      </c>
      <c r="D1258" s="286">
        <f>C1258/$D$1243</f>
        <v>1067.9161942361225</v>
      </c>
      <c r="E1258" s="307"/>
      <c r="F1258"/>
      <c r="G1258"/>
      <c r="H1258" s="33"/>
      <c r="I1258" s="33"/>
      <c r="J1258" s="312"/>
      <c r="K1258" s="33"/>
      <c r="L1258" s="33"/>
      <c r="M1258" s="33"/>
    </row>
    <row r="1259" spans="1:14" s="32" customFormat="1">
      <c r="A1259" s="33"/>
      <c r="B1259" s="303" t="s">
        <v>14</v>
      </c>
      <c r="C1259" s="304">
        <f>+C1257-C1258</f>
        <v>4438803.0630000001</v>
      </c>
      <c r="D1259" s="304">
        <f>+D1257-D1258</f>
        <v>5210.0146387395871</v>
      </c>
      <c r="E1259" s="305">
        <f>+C1259/C1267</f>
        <v>5.9578044268856223</v>
      </c>
      <c r="F1259"/>
      <c r="G1259"/>
      <c r="H1259" s="33"/>
      <c r="I1259" s="33"/>
      <c r="J1259" s="312"/>
      <c r="K1259" s="33"/>
      <c r="L1259" s="33"/>
      <c r="M1259" s="33"/>
      <c r="N1259" s="33"/>
    </row>
    <row r="1260" spans="1:14">
      <c r="B1260" s="84"/>
      <c r="C1260" s="84"/>
      <c r="D1260" s="84"/>
      <c r="E1260" s="86"/>
    </row>
    <row r="1261" spans="1:14">
      <c r="B1261" s="306" t="s">
        <v>25</v>
      </c>
      <c r="C1261" s="308">
        <f>Model!AH272</f>
        <v>485423.663</v>
      </c>
      <c r="D1261" s="286">
        <f>C1261/$D$1243</f>
        <v>569.76269375449704</v>
      </c>
      <c r="E1261" s="309"/>
      <c r="J1261" s="312"/>
    </row>
    <row r="1262" spans="1:14">
      <c r="B1262" s="306" t="s">
        <v>26</v>
      </c>
      <c r="C1262" s="308">
        <f>Model!AH273</f>
        <v>267262.72499999998</v>
      </c>
      <c r="D1262" s="286">
        <f>C1262/$D$1243</f>
        <v>313.69778966907791</v>
      </c>
      <c r="E1262" s="310"/>
    </row>
    <row r="1263" spans="1:14">
      <c r="B1263" s="306" t="s">
        <v>27</v>
      </c>
      <c r="C1263" s="308">
        <f>Model!AH274</f>
        <v>36580.754999999997</v>
      </c>
      <c r="D1263" s="286">
        <f>C1263/$D$1243</f>
        <v>42.936410185618179</v>
      </c>
      <c r="E1263" s="310"/>
    </row>
    <row r="1264" spans="1:14">
      <c r="B1264" s="42" t="s">
        <v>28</v>
      </c>
      <c r="C1264" s="45">
        <f>C1261+C1262+C1263</f>
        <v>789267.14300000004</v>
      </c>
      <c r="D1264" s="45">
        <f>D1261+D1262+D1263</f>
        <v>926.39689360919317</v>
      </c>
      <c r="E1264" s="43"/>
      <c r="J1264" s="164"/>
    </row>
    <row r="1265" spans="2:7">
      <c r="B1265" s="84" t="s">
        <v>29</v>
      </c>
      <c r="C1265" s="288">
        <f>Model!AH290</f>
        <v>6390981.375</v>
      </c>
      <c r="D1265" s="286">
        <f>C1265/$D$1243</f>
        <v>7501.3705377498654</v>
      </c>
      <c r="E1265" s="86"/>
    </row>
    <row r="1266" spans="2:7">
      <c r="B1266" s="84" t="s">
        <v>30</v>
      </c>
      <c r="C1266" s="288">
        <f>C1265+C1257+C1264</f>
        <v>12528889.652999999</v>
      </c>
      <c r="D1266" s="288">
        <f>D1265+D1257+D1264</f>
        <v>14705.698264334767</v>
      </c>
      <c r="E1266" s="86"/>
    </row>
    <row r="1267" spans="2:7">
      <c r="B1267" s="84" t="s">
        <v>200</v>
      </c>
      <c r="C1267" s="288">
        <f>Model!AH204</f>
        <v>745040.07599999988</v>
      </c>
      <c r="D1267" s="288"/>
      <c r="E1267" s="41"/>
      <c r="F1267" s="164"/>
      <c r="G1267" s="164"/>
    </row>
    <row r="1268" spans="2:7">
      <c r="F1268" s="164"/>
      <c r="G1268" s="164"/>
    </row>
    <row r="1269" spans="2:7">
      <c r="B1269" s="176" t="s">
        <v>32</v>
      </c>
      <c r="C1269" s="274">
        <f>C1257-(Model!AH260)</f>
        <v>0</v>
      </c>
      <c r="D1269" s="274">
        <f>D1257-(Model!AH260/D1243)</f>
        <v>0</v>
      </c>
    </row>
    <row r="1270" spans="2:7">
      <c r="B1270" s="176"/>
      <c r="C1270" s="176"/>
      <c r="D1270" s="177"/>
    </row>
    <row r="1271" spans="2:7">
      <c r="B1271" s="33" t="s">
        <v>201</v>
      </c>
      <c r="C1271" s="290">
        <f>Model!AH289</f>
        <v>8130000</v>
      </c>
      <c r="D1271" s="237"/>
    </row>
    <row r="1272" spans="2:7">
      <c r="B1272" s="33" t="s">
        <v>34</v>
      </c>
      <c r="C1272" s="290">
        <f>+Model!AH283+Capitalisation!C1271</f>
        <v>13294767.324000001</v>
      </c>
      <c r="D1272" s="165"/>
    </row>
    <row r="1273" spans="2:7">
      <c r="B1273" s="238" t="s">
        <v>35</v>
      </c>
      <c r="C1273" s="43">
        <f>C1272/C1275</f>
        <v>12.383410246880809</v>
      </c>
      <c r="D1273" s="43"/>
    </row>
    <row r="1275" spans="2:7">
      <c r="B1275" s="33" t="s">
        <v>36</v>
      </c>
      <c r="C1275" s="290">
        <f>Model!AH223</f>
        <v>1073595</v>
      </c>
      <c r="D1275" s="237"/>
    </row>
    <row r="1278" spans="2:7" ht="13.5" thickBot="1"/>
    <row r="1279" spans="2:7">
      <c r="B1279" s="267" t="s">
        <v>37</v>
      </c>
      <c r="C1279" s="278" t="s">
        <v>38</v>
      </c>
      <c r="D1279" s="279" t="s">
        <v>5</v>
      </c>
      <c r="E1279" s="113"/>
    </row>
    <row r="1280" spans="2:7">
      <c r="B1280" s="268" t="s">
        <v>39</v>
      </c>
      <c r="C1280" s="269">
        <v>0</v>
      </c>
      <c r="D1280" s="270">
        <v>0</v>
      </c>
      <c r="E1280" s="113"/>
    </row>
    <row r="1281" spans="1:8">
      <c r="B1281" s="104" t="s">
        <v>40</v>
      </c>
      <c r="C1281" s="243">
        <f>C1258</f>
        <v>909838.07200000004</v>
      </c>
      <c r="D1281" s="266">
        <f>D1258</f>
        <v>1067.9161942361225</v>
      </c>
      <c r="H1281" s="155"/>
    </row>
    <row r="1282" spans="1:8" ht="13.5" thickBot="1">
      <c r="B1282" s="271" t="s">
        <v>41</v>
      </c>
      <c r="C1282" s="272">
        <f>C1280+C1281</f>
        <v>909838.07200000004</v>
      </c>
      <c r="D1282" s="273">
        <f>D1280+D1281</f>
        <v>1067.9161942361225</v>
      </c>
      <c r="H1282" s="155"/>
    </row>
    <row r="1283" spans="1:8" ht="12" customHeight="1">
      <c r="D1283" s="264"/>
      <c r="H1283" s="155"/>
    </row>
    <row r="1284" spans="1:8">
      <c r="C1284" s="36"/>
      <c r="H1284" s="155"/>
    </row>
    <row r="1285" spans="1:8" ht="13.5" thickBot="1">
      <c r="H1285" s="156"/>
    </row>
    <row r="1286" spans="1:8">
      <c r="B1286" s="323" t="s">
        <v>202</v>
      </c>
      <c r="C1286" s="324" t="s">
        <v>58</v>
      </c>
      <c r="D1286" s="325" t="s">
        <v>59</v>
      </c>
      <c r="H1286" s="155"/>
    </row>
    <row r="1287" spans="1:8">
      <c r="B1287" s="89">
        <v>2020</v>
      </c>
      <c r="C1287" s="321">
        <v>772194</v>
      </c>
      <c r="D1287" s="326">
        <f t="shared" ref="D1287:D1292" si="21">C1287/$D$1243</f>
        <v>906.35740915881161</v>
      </c>
      <c r="E1287" s="90"/>
      <c r="H1287" s="155"/>
    </row>
    <row r="1288" spans="1:8">
      <c r="B1288" s="89">
        <v>2021</v>
      </c>
      <c r="C1288" s="321">
        <v>734403</v>
      </c>
      <c r="D1288" s="326">
        <f t="shared" si="21"/>
        <v>862.00048220843303</v>
      </c>
      <c r="E1288" s="90"/>
      <c r="H1288" s="155"/>
    </row>
    <row r="1289" spans="1:8">
      <c r="B1289" s="89">
        <v>2022</v>
      </c>
      <c r="C1289" s="322">
        <v>251375</v>
      </c>
      <c r="D1289" s="326">
        <f t="shared" si="21"/>
        <v>295.0496814625551</v>
      </c>
      <c r="E1289" s="90"/>
      <c r="H1289" s="155"/>
    </row>
    <row r="1290" spans="1:8">
      <c r="B1290" s="89">
        <v>2023</v>
      </c>
      <c r="C1290" s="322">
        <v>666361</v>
      </c>
      <c r="D1290" s="326">
        <f t="shared" si="21"/>
        <v>782.13665157262926</v>
      </c>
      <c r="E1290" s="90"/>
      <c r="H1290" s="32"/>
    </row>
    <row r="1291" spans="1:8">
      <c r="B1291" s="89">
        <v>2024</v>
      </c>
      <c r="C1291" s="321">
        <v>89788</v>
      </c>
      <c r="D1291" s="326">
        <f t="shared" si="21"/>
        <v>105.38804892753814</v>
      </c>
      <c r="E1291" s="90"/>
    </row>
    <row r="1292" spans="1:8">
      <c r="B1292" s="89" t="s">
        <v>190</v>
      </c>
      <c r="C1292" s="322">
        <v>1736586</v>
      </c>
      <c r="D1292" s="326">
        <f t="shared" si="21"/>
        <v>2038.305902067957</v>
      </c>
      <c r="E1292" s="90"/>
    </row>
    <row r="1293" spans="1:8" ht="13.5" thickBot="1">
      <c r="B1293" s="91"/>
      <c r="C1293" s="327"/>
      <c r="D1293" s="328"/>
      <c r="E1293" s="90"/>
    </row>
    <row r="1294" spans="1:8">
      <c r="B1294" s="80" t="s">
        <v>44</v>
      </c>
      <c r="C1294" s="121">
        <f>SUM(C1287:C1293)</f>
        <v>4250707</v>
      </c>
      <c r="D1294" s="121">
        <f>SUM(D1287:D1293)</f>
        <v>4989.2381753979244</v>
      </c>
      <c r="E1294" s="90"/>
    </row>
    <row r="1295" spans="1:8">
      <c r="B1295" s="80"/>
      <c r="C1295" s="121"/>
      <c r="D1295" s="121"/>
      <c r="E1295" s="90"/>
    </row>
    <row r="1296" spans="1:8">
      <c r="A1296" s="80" t="s">
        <v>203</v>
      </c>
      <c r="C1296" s="80" t="s">
        <v>204</v>
      </c>
      <c r="D1296" s="292">
        <f>Model!AG382</f>
        <v>750.1280487804878</v>
      </c>
    </row>
    <row r="1298" spans="1:14">
      <c r="I1298" s="320" t="s">
        <v>8</v>
      </c>
    </row>
    <row r="1299" spans="1:14">
      <c r="A1299" s="32"/>
      <c r="B1299" s="285" t="s">
        <v>205</v>
      </c>
      <c r="C1299" s="34" t="s">
        <v>4</v>
      </c>
      <c r="D1299" s="34" t="s">
        <v>5</v>
      </c>
      <c r="E1299" s="34" t="s">
        <v>48</v>
      </c>
      <c r="F1299"/>
      <c r="G1299"/>
      <c r="H1299" s="32"/>
      <c r="I1299" s="285" t="s">
        <v>206</v>
      </c>
      <c r="J1299" s="34" t="s">
        <v>4</v>
      </c>
      <c r="K1299" s="34" t="s">
        <v>5</v>
      </c>
      <c r="L1299" s="34" t="s">
        <v>48</v>
      </c>
    </row>
    <row r="1300" spans="1:14" s="32" customFormat="1">
      <c r="B1300" s="111" t="s">
        <v>9</v>
      </c>
      <c r="C1300" s="155">
        <v>318396.19900000002</v>
      </c>
      <c r="D1300" s="286">
        <f>C1300/$D$1296</f>
        <v>424.45579727038478</v>
      </c>
      <c r="E1300" s="112"/>
      <c r="F1300"/>
      <c r="G1300"/>
      <c r="I1300" s="42" t="s">
        <v>10</v>
      </c>
      <c r="J1300" s="295">
        <f>+C1310-C1307-C1302</f>
        <v>3257231.733</v>
      </c>
      <c r="K1300" s="45">
        <f>J1300/$D$1296</f>
        <v>4342.2342869266222</v>
      </c>
      <c r="L1300" s="43">
        <f>J1300/J1304</f>
        <v>4.116654364449996</v>
      </c>
      <c r="M1300" s="33"/>
      <c r="N1300" s="33"/>
    </row>
    <row r="1301" spans="1:14" s="32" customFormat="1">
      <c r="B1301" s="111" t="s">
        <v>11</v>
      </c>
      <c r="C1301" s="155">
        <v>90363.979000000007</v>
      </c>
      <c r="D1301" s="286">
        <f>C1301/$D$1296</f>
        <v>120.46473818291187</v>
      </c>
      <c r="E1301" s="112"/>
      <c r="F1301"/>
      <c r="G1301"/>
      <c r="I1301" s="41" t="s">
        <v>24</v>
      </c>
      <c r="J1301" s="295">
        <f>Model!AG252-Model!AG296</f>
        <v>501843.86499999999</v>
      </c>
      <c r="K1301" s="45">
        <f>J1301/$D$1296</f>
        <v>669.01093195470696</v>
      </c>
      <c r="L1301" s="44"/>
      <c r="N1301" s="33"/>
    </row>
    <row r="1302" spans="1:14" s="32" customFormat="1">
      <c r="B1302" s="111" t="s">
        <v>13</v>
      </c>
      <c r="C1302" s="155">
        <v>82881.467000000004</v>
      </c>
      <c r="D1302" s="286">
        <f>C1302/$D$1296</f>
        <v>110.48975856154641</v>
      </c>
      <c r="E1302" s="112"/>
      <c r="F1302"/>
      <c r="G1302"/>
      <c r="I1302" s="42" t="s">
        <v>14</v>
      </c>
      <c r="J1302" s="295">
        <f>+J1300-J1301</f>
        <v>2755387.8679999998</v>
      </c>
      <c r="K1302" s="45">
        <f>+K1300-K1301</f>
        <v>3673.2233549719153</v>
      </c>
      <c r="L1302" s="43">
        <f>J1302/J1304</f>
        <v>3.4823986815661936</v>
      </c>
      <c r="N1302" s="33"/>
    </row>
    <row r="1303" spans="1:14" s="32" customFormat="1">
      <c r="B1303" s="111" t="s">
        <v>15</v>
      </c>
      <c r="C1303" s="155">
        <v>35172.269999999997</v>
      </c>
      <c r="D1303" s="286">
        <f>C1303/$D$1296</f>
        <v>46.888354671153699</v>
      </c>
      <c r="E1303" s="112"/>
      <c r="F1303"/>
      <c r="G1303"/>
    </row>
    <row r="1304" spans="1:14" s="32" customFormat="1">
      <c r="B1304" s="109" t="s">
        <v>17</v>
      </c>
      <c r="C1304" s="156">
        <f>SUM(C1300:C1303)</f>
        <v>526813.91500000004</v>
      </c>
      <c r="D1304" s="156">
        <f>SUM(D1300:D1303)</f>
        <v>702.2986486859968</v>
      </c>
      <c r="E1304" s="110"/>
      <c r="F1304"/>
      <c r="G1304"/>
      <c r="I1304" s="42" t="s">
        <v>200</v>
      </c>
      <c r="J1304" s="295">
        <f>C1320</f>
        <v>791232.74499999988</v>
      </c>
      <c r="K1304" s="45"/>
      <c r="L1304" s="43"/>
    </row>
    <row r="1305" spans="1:14" s="32" customFormat="1">
      <c r="B1305" s="111" t="s">
        <v>18</v>
      </c>
      <c r="C1305" s="155">
        <v>547901.28200000001</v>
      </c>
      <c r="D1305" s="286">
        <f>C1305/$D$1296</f>
        <v>730.4103384625389</v>
      </c>
      <c r="E1305" s="110"/>
      <c r="F1305"/>
      <c r="G1305"/>
    </row>
    <row r="1306" spans="1:14" s="32" customFormat="1">
      <c r="B1306" s="111" t="s">
        <v>19</v>
      </c>
      <c r="C1306" s="155">
        <v>2168723.091</v>
      </c>
      <c r="D1306" s="286">
        <f>C1306/$D$1296</f>
        <v>2891.137179213305</v>
      </c>
      <c r="E1306" s="110"/>
      <c r="F1306"/>
      <c r="G1306"/>
    </row>
    <row r="1307" spans="1:14" s="32" customFormat="1">
      <c r="B1307" s="111" t="s">
        <v>20</v>
      </c>
      <c r="C1307" s="155">
        <v>900374.56200000003</v>
      </c>
      <c r="D1307" s="286">
        <f>C1307/$D$1296</f>
        <v>1200.2944876728363</v>
      </c>
      <c r="E1307" s="110"/>
      <c r="F1307"/>
      <c r="G1307"/>
    </row>
    <row r="1308" spans="1:14" s="32" customFormat="1">
      <c r="B1308" s="111" t="s">
        <v>15</v>
      </c>
      <c r="C1308" s="155">
        <v>96674.911999999997</v>
      </c>
      <c r="D1308" s="286">
        <f>C1308/$D$1296</f>
        <v>128.87787912632803</v>
      </c>
      <c r="E1308" s="110"/>
      <c r="F1308"/>
      <c r="G1308"/>
    </row>
    <row r="1309" spans="1:14" s="32" customFormat="1">
      <c r="B1309" s="109" t="s">
        <v>22</v>
      </c>
      <c r="C1309" s="156">
        <f>SUM(C1305:C1308)</f>
        <v>3713673.8470000001</v>
      </c>
      <c r="D1309" s="156">
        <f>SUM(D1305:D1308)</f>
        <v>4950.7198844750073</v>
      </c>
      <c r="E1309" s="110"/>
      <c r="F1309"/>
      <c r="G1309"/>
      <c r="L1309" s="311"/>
    </row>
    <row r="1310" spans="1:14" s="32" customFormat="1">
      <c r="A1310" s="33"/>
      <c r="B1310" s="303" t="s">
        <v>23</v>
      </c>
      <c r="C1310" s="304">
        <f>C1309+C1304</f>
        <v>4240487.7620000001</v>
      </c>
      <c r="D1310" s="304">
        <f>D1309+D1304</f>
        <v>5653.0185331610046</v>
      </c>
      <c r="E1310" s="305">
        <f>+C1310/C1320</f>
        <v>5.3593431121205688</v>
      </c>
      <c r="F1310"/>
      <c r="G1310"/>
      <c r="H1310" s="33"/>
      <c r="I1310" s="33"/>
      <c r="J1310" s="312"/>
      <c r="K1310" s="33"/>
      <c r="L1310" s="33"/>
    </row>
    <row r="1311" spans="1:14">
      <c r="B1311" s="306" t="s">
        <v>24</v>
      </c>
      <c r="C1311" s="304">
        <f>Model!AG252</f>
        <v>299965.353</v>
      </c>
      <c r="D1311" s="286">
        <f>C1311/$D$1296</f>
        <v>399.88553086058477</v>
      </c>
      <c r="E1311" s="307"/>
      <c r="F1311"/>
      <c r="G1311"/>
      <c r="J1311" s="312"/>
      <c r="M1311" s="32"/>
      <c r="N1311" s="32"/>
    </row>
    <row r="1312" spans="1:14">
      <c r="B1312" s="303" t="s">
        <v>14</v>
      </c>
      <c r="C1312" s="304">
        <f>+C1310-C1311</f>
        <v>3940522.409</v>
      </c>
      <c r="D1312" s="304">
        <f>+D1310-D1311</f>
        <v>5253.1330023004202</v>
      </c>
      <c r="E1312" s="305">
        <f>+C1312/C1320</f>
        <v>4.9802317129835174</v>
      </c>
      <c r="F1312"/>
      <c r="G1312"/>
      <c r="J1312" s="312"/>
      <c r="N1312" s="32"/>
    </row>
    <row r="1313" spans="2:14">
      <c r="B1313" s="84"/>
      <c r="C1313" s="84"/>
      <c r="D1313" s="84"/>
      <c r="E1313" s="86"/>
      <c r="N1313" s="32"/>
    </row>
    <row r="1314" spans="2:14">
      <c r="B1314" s="306" t="s">
        <v>25</v>
      </c>
      <c r="C1314" s="308">
        <f>Model!AG272</f>
        <v>547171.74899999995</v>
      </c>
      <c r="D1314" s="286">
        <f>C1314/$D$1296</f>
        <v>729.43779384007598</v>
      </c>
      <c r="E1314" s="309"/>
      <c r="J1314" s="312"/>
    </row>
    <row r="1315" spans="2:14">
      <c r="B1315" s="306" t="s">
        <v>26</v>
      </c>
      <c r="C1315" s="308">
        <f>Model!AG273</f>
        <v>263878.2</v>
      </c>
      <c r="D1315" s="286">
        <f>C1315/$D$1296</f>
        <v>351.7775404199283</v>
      </c>
      <c r="E1315" s="310"/>
    </row>
    <row r="1316" spans="2:14">
      <c r="B1316" s="306" t="s">
        <v>27</v>
      </c>
      <c r="C1316" s="308">
        <f>Model!AG274</f>
        <v>35524.567000000003</v>
      </c>
      <c r="D1316" s="286">
        <f>C1316/$D$1296</f>
        <v>47.358003820485941</v>
      </c>
      <c r="E1316" s="310"/>
    </row>
    <row r="1317" spans="2:14">
      <c r="B1317" s="42" t="s">
        <v>28</v>
      </c>
      <c r="C1317" s="45">
        <f>C1314+C1315+C1316</f>
        <v>846574.51600000006</v>
      </c>
      <c r="D1317" s="45">
        <f>D1314+D1315+D1316</f>
        <v>1128.5733380804902</v>
      </c>
      <c r="E1317" s="43"/>
      <c r="J1317" s="164"/>
    </row>
    <row r="1318" spans="2:14">
      <c r="B1318" s="84" t="s">
        <v>29</v>
      </c>
      <c r="C1318" s="288">
        <f>Model!AG290</f>
        <v>6232612.0760000004</v>
      </c>
      <c r="D1318" s="286">
        <f>C1318/$D$1296</f>
        <v>8308.7308708594464</v>
      </c>
      <c r="E1318" s="86"/>
    </row>
    <row r="1319" spans="2:14">
      <c r="B1319" s="84" t="s">
        <v>30</v>
      </c>
      <c r="C1319" s="288">
        <f>C1318+C1310+C1317</f>
        <v>11319674.354</v>
      </c>
      <c r="D1319" s="288">
        <f>D1318+D1310+D1317</f>
        <v>15090.322742100941</v>
      </c>
      <c r="E1319" s="86"/>
    </row>
    <row r="1320" spans="2:14">
      <c r="B1320" s="84" t="s">
        <v>200</v>
      </c>
      <c r="C1320" s="288">
        <f>Model!AG204</f>
        <v>791232.74499999988</v>
      </c>
      <c r="D1320" s="288"/>
      <c r="E1320" s="41"/>
      <c r="F1320" s="164"/>
      <c r="G1320" s="164"/>
    </row>
    <row r="1321" spans="2:14">
      <c r="F1321" s="164"/>
      <c r="G1321" s="164"/>
    </row>
    <row r="1322" spans="2:14">
      <c r="B1322" s="176" t="s">
        <v>32</v>
      </c>
      <c r="C1322" s="274">
        <f>C1310-(Model!AG260)</f>
        <v>0</v>
      </c>
      <c r="D1322" s="274">
        <f>D1310-(Model!AG260/D1296)</f>
        <v>0</v>
      </c>
    </row>
    <row r="1323" spans="2:14">
      <c r="B1323" s="176"/>
      <c r="C1323" s="176"/>
      <c r="D1323" s="177"/>
    </row>
    <row r="1324" spans="2:14">
      <c r="B1324" s="33" t="s">
        <v>207</v>
      </c>
      <c r="C1324" s="290">
        <f>Model!AG289</f>
        <v>8131165.4000000004</v>
      </c>
      <c r="D1324" s="237"/>
    </row>
    <row r="1325" spans="2:14">
      <c r="B1325" s="33" t="s">
        <v>34</v>
      </c>
      <c r="C1325" s="290">
        <f>+Model!AG283+Capitalisation!C1324</f>
        <v>12234971.649</v>
      </c>
      <c r="D1325" s="165"/>
    </row>
    <row r="1326" spans="2:14">
      <c r="B1326" s="238" t="s">
        <v>35</v>
      </c>
      <c r="C1326" s="43">
        <f>C1325/C1328</f>
        <v>10.71986833763239</v>
      </c>
      <c r="D1326" s="43"/>
    </row>
    <row r="1328" spans="2:14">
      <c r="B1328" s="33" t="s">
        <v>36</v>
      </c>
      <c r="C1328" s="290">
        <f>Model!AG223</f>
        <v>1141336</v>
      </c>
      <c r="D1328" s="237"/>
    </row>
    <row r="1331" spans="2:8" ht="13.5" thickBot="1"/>
    <row r="1332" spans="2:8">
      <c r="B1332" s="267" t="s">
        <v>37</v>
      </c>
      <c r="C1332" s="278" t="s">
        <v>38</v>
      </c>
      <c r="D1332" s="279" t="s">
        <v>5</v>
      </c>
      <c r="E1332" s="113"/>
    </row>
    <row r="1333" spans="2:8">
      <c r="B1333" s="268" t="s">
        <v>39</v>
      </c>
      <c r="C1333" s="269">
        <v>0</v>
      </c>
      <c r="D1333" s="270">
        <v>0</v>
      </c>
      <c r="E1333" s="113"/>
    </row>
    <row r="1334" spans="2:8" ht="12" customHeight="1">
      <c r="B1334" s="104" t="s">
        <v>40</v>
      </c>
      <c r="C1334" s="243">
        <f>C1311</f>
        <v>299965.353</v>
      </c>
      <c r="D1334" s="266">
        <f>D1311</f>
        <v>399.88553086058477</v>
      </c>
      <c r="H1334" s="155"/>
    </row>
    <row r="1335" spans="2:8" ht="13.5" thickBot="1">
      <c r="B1335" s="271" t="s">
        <v>41</v>
      </c>
      <c r="C1335" s="272">
        <f>C1333+C1334</f>
        <v>299965.353</v>
      </c>
      <c r="D1335" s="273">
        <f>D1333+D1334</f>
        <v>399.88553086058477</v>
      </c>
      <c r="H1335" s="155"/>
    </row>
    <row r="1336" spans="2:8">
      <c r="D1336" s="264"/>
      <c r="H1336" s="155"/>
    </row>
    <row r="1337" spans="2:8">
      <c r="C1337" s="36"/>
      <c r="H1337" s="155"/>
    </row>
    <row r="1338" spans="2:8" ht="13.5" thickBot="1">
      <c r="H1338" s="156"/>
    </row>
    <row r="1339" spans="2:8">
      <c r="B1339" s="323" t="s">
        <v>208</v>
      </c>
      <c r="C1339" s="324" t="s">
        <v>58</v>
      </c>
      <c r="D1339" s="325" t="s">
        <v>59</v>
      </c>
      <c r="H1339" s="155"/>
    </row>
    <row r="1340" spans="2:8">
      <c r="B1340" s="89">
        <v>2020</v>
      </c>
      <c r="C1340" s="321">
        <v>419015</v>
      </c>
      <c r="D1340" s="326">
        <f t="shared" ref="D1340:D1345" si="22">C1340/$D$1296</f>
        <v>558.59129742076561</v>
      </c>
      <c r="E1340" s="90"/>
      <c r="H1340" s="155"/>
    </row>
    <row r="1341" spans="2:8">
      <c r="B1341" s="89">
        <v>2021</v>
      </c>
      <c r="C1341" s="321">
        <v>265553</v>
      </c>
      <c r="D1341" s="326">
        <f t="shared" si="22"/>
        <v>354.01022589639166</v>
      </c>
      <c r="E1341" s="90"/>
      <c r="H1341" s="155"/>
    </row>
    <row r="1342" spans="2:8">
      <c r="B1342" s="89">
        <v>2022</v>
      </c>
      <c r="C1342" s="322">
        <v>234165</v>
      </c>
      <c r="D1342" s="326">
        <f t="shared" si="22"/>
        <v>312.16670324578729</v>
      </c>
      <c r="E1342" s="90"/>
      <c r="H1342" s="155"/>
    </row>
    <row r="1343" spans="2:8">
      <c r="B1343" s="89">
        <v>2023</v>
      </c>
      <c r="C1343" s="322">
        <v>601124</v>
      </c>
      <c r="D1343" s="326">
        <f t="shared" si="22"/>
        <v>801.36184879004395</v>
      </c>
      <c r="E1343" s="90"/>
      <c r="H1343" s="32"/>
    </row>
    <row r="1344" spans="2:8">
      <c r="B1344" s="89">
        <v>2024</v>
      </c>
      <c r="C1344" s="321">
        <v>86805</v>
      </c>
      <c r="D1344" s="326">
        <f t="shared" si="22"/>
        <v>115.72024288536103</v>
      </c>
      <c r="E1344" s="90"/>
    </row>
    <row r="1345" spans="1:14">
      <c r="B1345" s="89" t="s">
        <v>190</v>
      </c>
      <c r="C1345" s="322">
        <v>1521813</v>
      </c>
      <c r="D1345" s="326">
        <f t="shared" si="22"/>
        <v>2028.7376301607044</v>
      </c>
      <c r="E1345" s="90"/>
    </row>
    <row r="1346" spans="1:14" ht="13.5" thickBot="1">
      <c r="B1346" s="91"/>
      <c r="C1346" s="327"/>
      <c r="D1346" s="328"/>
      <c r="E1346" s="90"/>
    </row>
    <row r="1347" spans="1:14">
      <c r="B1347" s="80" t="s">
        <v>44</v>
      </c>
      <c r="C1347" s="121">
        <f>SUM(C1340:C1346)</f>
        <v>3128475</v>
      </c>
      <c r="D1347" s="121">
        <f>SUM(D1340:D1346)</f>
        <v>4170.5879483990539</v>
      </c>
      <c r="E1347" s="90"/>
    </row>
    <row r="1348" spans="1:14">
      <c r="B1348" s="80"/>
      <c r="C1348" s="121"/>
      <c r="D1348" s="121"/>
      <c r="E1348" s="90"/>
    </row>
    <row r="1349" spans="1:14">
      <c r="B1349" s="80"/>
      <c r="C1349" s="121"/>
      <c r="D1349" s="121"/>
      <c r="E1349" s="90"/>
    </row>
    <row r="1350" spans="1:14">
      <c r="A1350" s="80" t="s">
        <v>209</v>
      </c>
      <c r="C1350" s="80" t="s">
        <v>210</v>
      </c>
      <c r="D1350" s="292">
        <f>Model!AF382</f>
        <v>728.22789021347376</v>
      </c>
    </row>
    <row r="1352" spans="1:14" s="32" customFormat="1">
      <c r="A1352" s="33"/>
      <c r="B1352" s="33"/>
      <c r="C1352" s="33"/>
      <c r="D1352" s="33"/>
      <c r="E1352" s="33"/>
      <c r="F1352" s="33"/>
      <c r="G1352" s="33"/>
      <c r="H1352" s="33"/>
      <c r="I1352" s="320" t="s">
        <v>8</v>
      </c>
      <c r="J1352" s="33"/>
      <c r="K1352" s="33"/>
      <c r="L1352" s="33"/>
      <c r="M1352" s="33"/>
      <c r="N1352" s="33"/>
    </row>
    <row r="1353" spans="1:14" s="32" customFormat="1">
      <c r="B1353" s="285" t="s">
        <v>211</v>
      </c>
      <c r="C1353" s="34" t="s">
        <v>4</v>
      </c>
      <c r="D1353" s="34" t="s">
        <v>5</v>
      </c>
      <c r="E1353" s="34" t="s">
        <v>48</v>
      </c>
      <c r="F1353"/>
      <c r="G1353"/>
      <c r="I1353" s="285" t="s">
        <v>211</v>
      </c>
      <c r="J1353" s="34" t="s">
        <v>4</v>
      </c>
      <c r="K1353" s="34" t="s">
        <v>5</v>
      </c>
      <c r="L1353" s="34" t="s">
        <v>48</v>
      </c>
      <c r="M1353" s="33"/>
      <c r="N1353" s="33"/>
    </row>
    <row r="1354" spans="1:14" s="32" customFormat="1">
      <c r="B1354" s="111" t="s">
        <v>9</v>
      </c>
      <c r="C1354" s="155">
        <v>539316.89199999999</v>
      </c>
      <c r="D1354" s="286">
        <f>C1354/$D$1350</f>
        <v>740.58807585892362</v>
      </c>
      <c r="E1354" s="112"/>
      <c r="F1354"/>
      <c r="G1354"/>
      <c r="I1354" s="42" t="s">
        <v>10</v>
      </c>
      <c r="J1354" s="295">
        <f>+C1364-C1361-C1356</f>
        <v>3439994.4559999998</v>
      </c>
      <c r="K1354" s="45">
        <f>J1354/$D$1350</f>
        <v>4723.7883940308784</v>
      </c>
      <c r="L1354" s="43">
        <f>J1354/J1358</f>
        <v>3.3053289139592472</v>
      </c>
      <c r="M1354" s="33"/>
    </row>
    <row r="1355" spans="1:14" s="32" customFormat="1">
      <c r="B1355" s="111" t="s">
        <v>11</v>
      </c>
      <c r="C1355" s="155">
        <v>83201.554999999993</v>
      </c>
      <c r="D1355" s="286">
        <f>C1355/$D$1350</f>
        <v>114.25208525810535</v>
      </c>
      <c r="E1355" s="112"/>
      <c r="F1355"/>
      <c r="G1355"/>
      <c r="I1355" s="41" t="s">
        <v>24</v>
      </c>
      <c r="J1355" s="295">
        <f>Model!AF252-Model!AF296</f>
        <v>385643.42799999996</v>
      </c>
      <c r="K1355" s="45">
        <f>J1355/$D$1350</f>
        <v>529.56421085019406</v>
      </c>
      <c r="L1355" s="44"/>
    </row>
    <row r="1356" spans="1:14" s="32" customFormat="1">
      <c r="B1356" s="111" t="s">
        <v>13</v>
      </c>
      <c r="C1356" s="155">
        <v>104756.997</v>
      </c>
      <c r="D1356" s="286">
        <f>C1356/$D$1350</f>
        <v>143.85194306316856</v>
      </c>
      <c r="E1356" s="112"/>
      <c r="F1356"/>
      <c r="G1356"/>
      <c r="I1356" s="42" t="s">
        <v>14</v>
      </c>
      <c r="J1356" s="295">
        <f>+J1354-J1355</f>
        <v>3054351.0279999999</v>
      </c>
      <c r="K1356" s="45">
        <f>+K1354-K1355</f>
        <v>4194.2241831806841</v>
      </c>
      <c r="L1356" s="43">
        <f>J1356/J1358</f>
        <v>2.934782278099564</v>
      </c>
    </row>
    <row r="1357" spans="1:14" s="32" customFormat="1">
      <c r="B1357" s="111" t="s">
        <v>15</v>
      </c>
      <c r="C1357" s="155">
        <v>6486.5190000000002</v>
      </c>
      <c r="D1357" s="286">
        <f>C1357/$D$1350</f>
        <v>8.9072652766684524</v>
      </c>
      <c r="E1357" s="112"/>
      <c r="F1357"/>
      <c r="G1357"/>
    </row>
    <row r="1358" spans="1:14" s="32" customFormat="1">
      <c r="B1358" s="109" t="s">
        <v>17</v>
      </c>
      <c r="C1358" s="156">
        <f>SUM(C1354:C1357)</f>
        <v>733761.96299999987</v>
      </c>
      <c r="D1358" s="156">
        <f>SUM(D1354:D1357)</f>
        <v>1007.5993694568659</v>
      </c>
      <c r="E1358" s="110"/>
      <c r="F1358"/>
      <c r="G1358"/>
      <c r="I1358" s="42" t="s">
        <v>200</v>
      </c>
      <c r="J1358" s="295">
        <f>C1374</f>
        <v>1040741.9489999999</v>
      </c>
      <c r="K1358" s="45"/>
      <c r="L1358" s="43"/>
    </row>
    <row r="1359" spans="1:14" s="32" customFormat="1">
      <c r="B1359" s="111" t="s">
        <v>18</v>
      </c>
      <c r="C1359" s="155">
        <v>550905.89199999999</v>
      </c>
      <c r="D1359" s="286">
        <f>C1359/$D$1350</f>
        <v>756.5020502558707</v>
      </c>
      <c r="E1359" s="110"/>
      <c r="F1359"/>
      <c r="G1359"/>
    </row>
    <row r="1360" spans="1:14" s="32" customFormat="1">
      <c r="B1360" s="111" t="s">
        <v>19</v>
      </c>
      <c r="C1360" s="155">
        <v>2149354.8080000002</v>
      </c>
      <c r="D1360" s="286">
        <f>C1360/$D$1350</f>
        <v>2951.48652899017</v>
      </c>
      <c r="E1360" s="110"/>
      <c r="F1360"/>
      <c r="G1360"/>
    </row>
    <row r="1361" spans="1:14" s="32" customFormat="1">
      <c r="B1361" s="111" t="s">
        <v>20</v>
      </c>
      <c r="C1361" s="155">
        <v>859008.402</v>
      </c>
      <c r="D1361" s="286">
        <f>C1361/$D$1350</f>
        <v>1179.5873428415232</v>
      </c>
      <c r="E1361" s="110"/>
      <c r="F1361"/>
      <c r="G1361"/>
    </row>
    <row r="1362" spans="1:14" s="32" customFormat="1">
      <c r="B1362" s="111" t="s">
        <v>15</v>
      </c>
      <c r="C1362" s="155">
        <v>110728.79</v>
      </c>
      <c r="D1362" s="286">
        <f>C1362/$D$1350</f>
        <v>152.05238839114057</v>
      </c>
      <c r="E1362" s="110"/>
      <c r="F1362"/>
      <c r="G1362"/>
    </row>
    <row r="1363" spans="1:14">
      <c r="A1363" s="32"/>
      <c r="B1363" s="109" t="s">
        <v>22</v>
      </c>
      <c r="C1363" s="156">
        <f>SUM(C1359:C1362)</f>
        <v>3669997.892</v>
      </c>
      <c r="D1363" s="156">
        <f>SUM(D1359:D1362)</f>
        <v>5039.6283104787053</v>
      </c>
      <c r="E1363" s="110"/>
      <c r="F1363"/>
      <c r="G1363"/>
      <c r="H1363" s="32"/>
      <c r="I1363" s="32"/>
      <c r="J1363" s="32"/>
      <c r="K1363" s="32"/>
      <c r="L1363" s="311"/>
      <c r="M1363" s="32"/>
      <c r="N1363" s="32"/>
    </row>
    <row r="1364" spans="1:14">
      <c r="B1364" s="303" t="s">
        <v>23</v>
      </c>
      <c r="C1364" s="304">
        <f>C1363+C1358</f>
        <v>4403759.8549999995</v>
      </c>
      <c r="D1364" s="304">
        <f>D1363+D1358</f>
        <v>6047.2276799355714</v>
      </c>
      <c r="E1364" s="305">
        <f>+C1364/C1374</f>
        <v>4.2313657667314803</v>
      </c>
      <c r="F1364"/>
      <c r="G1364"/>
      <c r="J1364" s="312"/>
      <c r="M1364" s="32"/>
      <c r="N1364" s="32"/>
    </row>
    <row r="1365" spans="1:14">
      <c r="B1365" s="306" t="s">
        <v>24</v>
      </c>
      <c r="C1365" s="304">
        <f>Model!AF252</f>
        <v>229137.32399999999</v>
      </c>
      <c r="D1365" s="286">
        <f>C1365/$D$1350</f>
        <v>314.65057446897612</v>
      </c>
      <c r="E1365" s="307"/>
      <c r="F1365"/>
      <c r="G1365"/>
      <c r="J1365" s="312"/>
      <c r="M1365" s="32"/>
    </row>
    <row r="1366" spans="1:14">
      <c r="B1366" s="303" t="s">
        <v>14</v>
      </c>
      <c r="C1366" s="304">
        <f>+C1364-C1365</f>
        <v>4174622.5309999995</v>
      </c>
      <c r="D1366" s="304">
        <f>+D1364-D1365</f>
        <v>5732.5771054665956</v>
      </c>
      <c r="E1366" s="305">
        <f>+C1366/C1374</f>
        <v>4.0111984868210593</v>
      </c>
      <c r="F1366"/>
      <c r="G1366"/>
      <c r="J1366" s="312"/>
    </row>
    <row r="1367" spans="1:14">
      <c r="B1367" s="84"/>
      <c r="C1367" s="84"/>
      <c r="D1367" s="84"/>
      <c r="E1367" s="86"/>
    </row>
    <row r="1368" spans="1:14">
      <c r="B1368" s="306" t="s">
        <v>25</v>
      </c>
      <c r="C1368" s="308">
        <f>Model!AF272</f>
        <v>443368.20699999999</v>
      </c>
      <c r="D1368" s="286">
        <f>C1368/$D$1350</f>
        <v>608.83167612549198</v>
      </c>
      <c r="E1368" s="309"/>
      <c r="J1368" s="312"/>
    </row>
    <row r="1369" spans="1:14">
      <c r="B1369" s="306" t="s">
        <v>26</v>
      </c>
      <c r="C1369" s="308">
        <f>Model!AF273</f>
        <v>266314.46299999999</v>
      </c>
      <c r="D1369" s="286">
        <f>C1369/$D$1350</f>
        <v>365.70209213208273</v>
      </c>
      <c r="E1369" s="310"/>
    </row>
    <row r="1370" spans="1:14">
      <c r="B1370" s="306" t="s">
        <v>27</v>
      </c>
      <c r="C1370" s="308">
        <f>Model!AF274</f>
        <v>34193.146000000001</v>
      </c>
      <c r="D1370" s="286">
        <f>C1370/$D$1350</f>
        <v>46.953908878684352</v>
      </c>
      <c r="E1370" s="310"/>
    </row>
    <row r="1371" spans="1:14">
      <c r="B1371" s="42" t="s">
        <v>28</v>
      </c>
      <c r="C1371" s="45">
        <f>C1368+C1369+C1370</f>
        <v>743875.81599999988</v>
      </c>
      <c r="D1371" s="45">
        <f>D1368+D1369+D1370</f>
        <v>1021.4876771362591</v>
      </c>
      <c r="E1371" s="43"/>
      <c r="J1371" s="164"/>
    </row>
    <row r="1372" spans="1:14">
      <c r="B1372" s="84" t="s">
        <v>29</v>
      </c>
      <c r="C1372" s="288">
        <f>Model!AF290</f>
        <v>6809845.8339999998</v>
      </c>
      <c r="D1372" s="286">
        <f>C1372/$D$1350</f>
        <v>9351.2565578939193</v>
      </c>
      <c r="E1372" s="86"/>
    </row>
    <row r="1373" spans="1:14">
      <c r="B1373" s="84" t="s">
        <v>30</v>
      </c>
      <c r="C1373" s="288">
        <f>C1372+C1364+C1371</f>
        <v>11957481.504999999</v>
      </c>
      <c r="D1373" s="288">
        <f>D1372+D1364+D1371</f>
        <v>16419.97191496575</v>
      </c>
      <c r="E1373" s="86"/>
    </row>
    <row r="1374" spans="1:14">
      <c r="B1374" s="84" t="s">
        <v>212</v>
      </c>
      <c r="C1374" s="288">
        <f>Model!AF204</f>
        <v>1040741.9489999999</v>
      </c>
      <c r="D1374" s="288"/>
      <c r="E1374" s="41"/>
      <c r="F1374" s="164"/>
      <c r="G1374" s="164"/>
    </row>
    <row r="1375" spans="1:14">
      <c r="F1375" s="164"/>
      <c r="G1375" s="164"/>
    </row>
    <row r="1376" spans="1:14">
      <c r="B1376" s="176" t="s">
        <v>32</v>
      </c>
      <c r="C1376" s="274">
        <f>C1364-(Model!AF260)</f>
        <v>0</v>
      </c>
      <c r="D1376" s="274">
        <f>D1364-(Model!AF260/D1350)</f>
        <v>0</v>
      </c>
    </row>
    <row r="1377" spans="2:8">
      <c r="B1377" s="176"/>
      <c r="C1377" s="176"/>
      <c r="D1377" s="177"/>
    </row>
    <row r="1378" spans="2:8">
      <c r="B1378" s="33" t="s">
        <v>213</v>
      </c>
      <c r="C1378" s="290">
        <f>Model!AF289</f>
        <v>10223541.9</v>
      </c>
      <c r="D1378" s="237"/>
    </row>
    <row r="1379" spans="2:8">
      <c r="B1379" s="33" t="s">
        <v>34</v>
      </c>
      <c r="C1379" s="290">
        <f>+Model!AF283+Capitalisation!C1378</f>
        <v>14407412.172</v>
      </c>
      <c r="D1379" s="165"/>
    </row>
    <row r="1380" spans="2:8">
      <c r="B1380" s="238" t="s">
        <v>35</v>
      </c>
      <c r="C1380" s="43">
        <f>C1379/C1382</f>
        <v>11.946741769695764</v>
      </c>
      <c r="D1380" s="43"/>
    </row>
    <row r="1382" spans="2:8">
      <c r="B1382" s="33" t="s">
        <v>36</v>
      </c>
      <c r="C1382" s="290">
        <f>Model!AF223</f>
        <v>1205970</v>
      </c>
      <c r="D1382" s="237"/>
    </row>
    <row r="1385" spans="2:8" ht="13.5" thickBot="1"/>
    <row r="1386" spans="2:8" ht="12" customHeight="1">
      <c r="B1386" s="267" t="s">
        <v>37</v>
      </c>
      <c r="C1386" s="278" t="s">
        <v>38</v>
      </c>
      <c r="D1386" s="279" t="s">
        <v>5</v>
      </c>
      <c r="E1386" s="113"/>
    </row>
    <row r="1387" spans="2:8">
      <c r="B1387" s="268" t="s">
        <v>39</v>
      </c>
      <c r="C1387" s="269">
        <v>0</v>
      </c>
      <c r="D1387" s="270">
        <v>0</v>
      </c>
      <c r="E1387" s="113"/>
    </row>
    <row r="1388" spans="2:8">
      <c r="B1388" s="104" t="s">
        <v>40</v>
      </c>
      <c r="C1388" s="243">
        <f>C1365</f>
        <v>229137.32399999999</v>
      </c>
      <c r="D1388" s="266">
        <f>D1365</f>
        <v>314.65057446897612</v>
      </c>
      <c r="H1388" s="155"/>
    </row>
    <row r="1389" spans="2:8" ht="13.5" thickBot="1">
      <c r="B1389" s="271" t="s">
        <v>41</v>
      </c>
      <c r="C1389" s="272">
        <f>C1387+C1388</f>
        <v>229137.32399999999</v>
      </c>
      <c r="D1389" s="273">
        <f>D1387+D1388</f>
        <v>314.65057446897612</v>
      </c>
      <c r="H1389" s="155"/>
    </row>
    <row r="1390" spans="2:8">
      <c r="D1390" s="264"/>
      <c r="H1390" s="155"/>
    </row>
    <row r="1391" spans="2:8">
      <c r="C1391" s="36"/>
      <c r="H1391" s="155"/>
    </row>
    <row r="1392" spans="2:8" ht="13.5" thickBot="1">
      <c r="H1392" s="156"/>
    </row>
    <row r="1393" spans="1:14">
      <c r="B1393" s="323" t="s">
        <v>214</v>
      </c>
      <c r="C1393" s="324" t="s">
        <v>58</v>
      </c>
      <c r="D1393" s="325" t="s">
        <v>59</v>
      </c>
      <c r="H1393" s="155"/>
    </row>
    <row r="1394" spans="1:14">
      <c r="B1394" s="89">
        <v>2019</v>
      </c>
      <c r="C1394" s="321">
        <v>351012</v>
      </c>
      <c r="D1394" s="326">
        <f t="shared" ref="D1394:D1399" si="23">C1394/$D$1350</f>
        <v>482.00845465710444</v>
      </c>
      <c r="E1394" s="90"/>
      <c r="H1394" s="155"/>
    </row>
    <row r="1395" spans="1:14">
      <c r="B1395" s="89">
        <v>2020</v>
      </c>
      <c r="C1395" s="321">
        <v>320022</v>
      </c>
      <c r="D1395" s="326">
        <f t="shared" si="23"/>
        <v>439.45309469840311</v>
      </c>
      <c r="E1395" s="90"/>
      <c r="H1395" s="155"/>
    </row>
    <row r="1396" spans="1:14">
      <c r="B1396" s="89">
        <v>2021</v>
      </c>
      <c r="C1396" s="322">
        <v>243112</v>
      </c>
      <c r="D1396" s="326">
        <f t="shared" si="23"/>
        <v>333.84055083187462</v>
      </c>
      <c r="E1396" s="90"/>
      <c r="H1396" s="155"/>
    </row>
    <row r="1397" spans="1:14">
      <c r="B1397" s="89">
        <v>2022</v>
      </c>
      <c r="C1397" s="322">
        <v>173212</v>
      </c>
      <c r="D1397" s="326">
        <f t="shared" si="23"/>
        <v>237.8541145261882</v>
      </c>
      <c r="E1397" s="90"/>
      <c r="H1397" s="32"/>
    </row>
    <row r="1398" spans="1:14">
      <c r="B1398" s="89">
        <v>2023</v>
      </c>
      <c r="C1398" s="321">
        <v>593144</v>
      </c>
      <c r="D1398" s="326">
        <f t="shared" si="23"/>
        <v>814.50327290558027</v>
      </c>
      <c r="E1398" s="90"/>
    </row>
    <row r="1399" spans="1:14">
      <c r="B1399" s="89" t="s">
        <v>215</v>
      </c>
      <c r="C1399" s="322">
        <v>1616667</v>
      </c>
      <c r="D1399" s="326">
        <f t="shared" si="23"/>
        <v>2220.0014881688862</v>
      </c>
      <c r="E1399" s="90"/>
    </row>
    <row r="1400" spans="1:14" ht="13.5" thickBot="1">
      <c r="B1400" s="91"/>
      <c r="C1400" s="327"/>
      <c r="D1400" s="328"/>
      <c r="E1400" s="90"/>
    </row>
    <row r="1401" spans="1:14">
      <c r="B1401" s="80" t="s">
        <v>44</v>
      </c>
      <c r="C1401" s="121">
        <f>SUM(C1394:C1400)</f>
        <v>3297169</v>
      </c>
      <c r="D1401" s="121">
        <f>SUM(D1394:D1400)</f>
        <v>4527.6609757880369</v>
      </c>
      <c r="E1401" s="90"/>
    </row>
    <row r="1402" spans="1:14">
      <c r="B1402" s="80"/>
      <c r="C1402" s="121"/>
      <c r="D1402" s="121"/>
      <c r="E1402" s="90"/>
    </row>
    <row r="1403" spans="1:14">
      <c r="B1403" s="80"/>
      <c r="C1403" s="121"/>
      <c r="D1403" s="121"/>
      <c r="E1403" s="90"/>
    </row>
    <row r="1404" spans="1:14">
      <c r="A1404" s="80" t="s">
        <v>216</v>
      </c>
      <c r="C1404" s="80" t="s">
        <v>217</v>
      </c>
      <c r="D1404" s="292">
        <f>Model!AE382</f>
        <v>678.72</v>
      </c>
    </row>
    <row r="1406" spans="1:14">
      <c r="I1406" s="320" t="s">
        <v>8</v>
      </c>
      <c r="N1406" s="32"/>
    </row>
    <row r="1407" spans="1:14">
      <c r="A1407" s="32"/>
      <c r="B1407" s="285" t="s">
        <v>218</v>
      </c>
      <c r="C1407" s="34" t="s">
        <v>4</v>
      </c>
      <c r="D1407" s="34" t="s">
        <v>5</v>
      </c>
      <c r="E1407" s="34" t="s">
        <v>48</v>
      </c>
      <c r="F1407"/>
      <c r="G1407"/>
      <c r="H1407" s="32"/>
      <c r="I1407" s="285" t="s">
        <v>218</v>
      </c>
      <c r="J1407" s="34" t="s">
        <v>4</v>
      </c>
      <c r="K1407" s="34" t="s">
        <v>5</v>
      </c>
      <c r="L1407" s="34" t="s">
        <v>48</v>
      </c>
      <c r="N1407" s="32"/>
    </row>
    <row r="1408" spans="1:14">
      <c r="A1408" s="32"/>
      <c r="B1408" s="111" t="s">
        <v>9</v>
      </c>
      <c r="C1408" s="155">
        <v>472933.18099999998</v>
      </c>
      <c r="D1408" s="286">
        <f>C1408/$D$1404</f>
        <v>696.80159859735966</v>
      </c>
      <c r="E1408" s="112"/>
      <c r="F1408"/>
      <c r="G1408"/>
      <c r="H1408" s="32"/>
      <c r="I1408" s="42" t="s">
        <v>10</v>
      </c>
      <c r="J1408" s="295">
        <f>+C1418-C1415-C1410</f>
        <v>3278173.8930000002</v>
      </c>
      <c r="K1408" s="45">
        <f>J1408/$D$1404</f>
        <v>4829.9356037835923</v>
      </c>
      <c r="L1408" s="43">
        <f>J1408/J1412</f>
        <v>3.1299355326487781</v>
      </c>
      <c r="N1408" s="32"/>
    </row>
    <row r="1409" spans="1:14">
      <c r="A1409" s="32"/>
      <c r="B1409" s="111" t="s">
        <v>11</v>
      </c>
      <c r="C1409" s="155">
        <v>71572.366999999998</v>
      </c>
      <c r="D1409" s="286">
        <f>C1409/$D$1404</f>
        <v>105.45197872465818</v>
      </c>
      <c r="E1409" s="112"/>
      <c r="F1409"/>
      <c r="G1409"/>
      <c r="H1409" s="32"/>
      <c r="I1409" s="41" t="s">
        <v>24</v>
      </c>
      <c r="J1409" s="295">
        <f>Model!AE252-Model!AE296</f>
        <v>286609.25299999997</v>
      </c>
      <c r="K1409" s="45">
        <f>J1409/$D$1404</f>
        <v>422.27907384488441</v>
      </c>
      <c r="L1409" s="44"/>
      <c r="M1409" s="32"/>
      <c r="N1409" s="32"/>
    </row>
    <row r="1410" spans="1:14">
      <c r="A1410" s="32"/>
      <c r="B1410" s="111" t="s">
        <v>13</v>
      </c>
      <c r="C1410" s="155">
        <v>106433.421</v>
      </c>
      <c r="D1410" s="286">
        <f>C1410/$D$1404</f>
        <v>156.81491778642149</v>
      </c>
      <c r="E1410" s="112"/>
      <c r="F1410"/>
      <c r="G1410"/>
      <c r="H1410" s="32"/>
      <c r="I1410" s="42" t="s">
        <v>14</v>
      </c>
      <c r="J1410" s="295">
        <f>+J1408-J1409</f>
        <v>2991564.64</v>
      </c>
      <c r="K1410" s="45">
        <f>+K1408-K1409</f>
        <v>4407.6565299387075</v>
      </c>
      <c r="L1410" s="43">
        <f>J1410/J1412</f>
        <v>2.8562866920957601</v>
      </c>
      <c r="M1410" s="32"/>
      <c r="N1410" s="32"/>
    </row>
    <row r="1411" spans="1:14">
      <c r="A1411" s="32"/>
      <c r="B1411" s="111" t="s">
        <v>15</v>
      </c>
      <c r="C1411" s="155">
        <v>13397.055</v>
      </c>
      <c r="D1411" s="286">
        <f>C1411/$D$1404</f>
        <v>19.738706683168317</v>
      </c>
      <c r="E1411" s="112"/>
      <c r="F1411"/>
      <c r="G1411"/>
      <c r="H1411" s="32"/>
      <c r="I1411" s="32"/>
      <c r="J1411" s="32"/>
      <c r="K1411" s="32"/>
      <c r="L1411" s="32"/>
      <c r="M1411" s="32"/>
      <c r="N1411" s="32"/>
    </row>
    <row r="1412" spans="1:14">
      <c r="A1412" s="32"/>
      <c r="B1412" s="109" t="s">
        <v>17</v>
      </c>
      <c r="C1412" s="156">
        <f>SUM(C1408:C1411)</f>
        <v>664336.02399999998</v>
      </c>
      <c r="D1412" s="156">
        <f>SUM(D1408:D1411)</f>
        <v>978.80720179160755</v>
      </c>
      <c r="E1412" s="110"/>
      <c r="F1412"/>
      <c r="G1412"/>
      <c r="H1412" s="32"/>
      <c r="I1412" s="42" t="s">
        <v>219</v>
      </c>
      <c r="J1412" s="295">
        <f>C1428</f>
        <v>1047361.4740000003</v>
      </c>
      <c r="K1412" s="45"/>
      <c r="L1412" s="43"/>
      <c r="M1412" s="32"/>
      <c r="N1412" s="32"/>
    </row>
    <row r="1413" spans="1:14">
      <c r="A1413" s="32"/>
      <c r="B1413" s="111" t="s">
        <v>18</v>
      </c>
      <c r="C1413" s="155">
        <v>509390.54599999997</v>
      </c>
      <c r="D1413" s="286">
        <f>C1413/$D$1404</f>
        <v>750.51648102310219</v>
      </c>
      <c r="E1413" s="110"/>
      <c r="F1413"/>
      <c r="G1413"/>
      <c r="H1413" s="32"/>
      <c r="I1413" s="32"/>
      <c r="J1413" s="32"/>
      <c r="K1413" s="32"/>
      <c r="L1413" s="32"/>
      <c r="M1413" s="32"/>
      <c r="N1413" s="32"/>
    </row>
    <row r="1414" spans="1:14">
      <c r="A1414" s="32"/>
      <c r="B1414" s="111" t="s">
        <v>19</v>
      </c>
      <c r="C1414" s="155">
        <v>2091909.0079999999</v>
      </c>
      <c r="D1414" s="286">
        <f>C1414/$D$1404</f>
        <v>3082.1384488448844</v>
      </c>
      <c r="E1414" s="110"/>
      <c r="F1414"/>
      <c r="G1414"/>
      <c r="H1414" s="32"/>
      <c r="I1414" s="32"/>
      <c r="J1414" s="32"/>
      <c r="K1414" s="32"/>
      <c r="L1414" s="32"/>
      <c r="M1414" s="32"/>
      <c r="N1414" s="32"/>
    </row>
    <row r="1415" spans="1:14">
      <c r="A1415" s="32"/>
      <c r="B1415" s="111" t="s">
        <v>20</v>
      </c>
      <c r="C1415" s="155">
        <v>863095.11199999996</v>
      </c>
      <c r="D1415" s="286">
        <f>C1415/$D$1404</f>
        <v>1271.6512140499763</v>
      </c>
      <c r="E1415" s="110"/>
      <c r="F1415"/>
      <c r="G1415"/>
      <c r="H1415" s="32"/>
      <c r="I1415" s="32"/>
      <c r="J1415" s="32"/>
      <c r="K1415" s="32"/>
      <c r="L1415" s="32"/>
      <c r="M1415" s="32"/>
      <c r="N1415" s="32"/>
    </row>
    <row r="1416" spans="1:14">
      <c r="A1416" s="32"/>
      <c r="B1416" s="111" t="s">
        <v>15</v>
      </c>
      <c r="C1416" s="155">
        <v>118971.736</v>
      </c>
      <c r="D1416" s="286">
        <f>C1416/$D$1404</f>
        <v>175.28838991041962</v>
      </c>
      <c r="E1416" s="110"/>
      <c r="F1416"/>
      <c r="G1416"/>
      <c r="H1416" s="32"/>
      <c r="I1416" s="32"/>
      <c r="J1416" s="32"/>
      <c r="K1416" s="32"/>
      <c r="L1416" s="32"/>
      <c r="M1416" s="32"/>
      <c r="N1416" s="32"/>
    </row>
    <row r="1417" spans="1:14">
      <c r="A1417" s="32"/>
      <c r="B1417" s="109" t="s">
        <v>22</v>
      </c>
      <c r="C1417" s="156">
        <f>SUM(C1413:C1416)</f>
        <v>3583366.4020000002</v>
      </c>
      <c r="D1417" s="156">
        <f>SUM(D1413:D1416)</f>
        <v>5279.5945338283827</v>
      </c>
      <c r="E1417" s="110"/>
      <c r="F1417"/>
      <c r="G1417"/>
      <c r="H1417" s="32"/>
      <c r="I1417" s="32"/>
      <c r="J1417" s="32"/>
      <c r="K1417" s="32"/>
      <c r="L1417" s="311"/>
      <c r="M1417" s="32"/>
    </row>
    <row r="1418" spans="1:14">
      <c r="B1418" s="303" t="s">
        <v>23</v>
      </c>
      <c r="C1418" s="304">
        <f>C1417+C1412</f>
        <v>4247702.426</v>
      </c>
      <c r="D1418" s="304">
        <f>D1417+D1412</f>
        <v>6258.4017356199902</v>
      </c>
      <c r="E1418" s="305">
        <f>+C1418/C1428</f>
        <v>4.0556221814971964</v>
      </c>
      <c r="F1418"/>
      <c r="G1418"/>
      <c r="J1418" s="312"/>
      <c r="M1418" s="32"/>
    </row>
    <row r="1419" spans="1:14">
      <c r="B1419" s="306" t="s">
        <v>24</v>
      </c>
      <c r="C1419" s="304">
        <f>Model!AE252</f>
        <v>192945.21299999999</v>
      </c>
      <c r="D1419" s="286">
        <f>C1419/$D$1404</f>
        <v>284.27807195898157</v>
      </c>
      <c r="E1419" s="307"/>
      <c r="F1419"/>
      <c r="G1419"/>
      <c r="J1419" s="312"/>
      <c r="M1419" s="32"/>
    </row>
    <row r="1420" spans="1:14">
      <c r="B1420" s="303" t="s">
        <v>14</v>
      </c>
      <c r="C1420" s="304">
        <f>+C1418-C1419</f>
        <v>4054757.213</v>
      </c>
      <c r="D1420" s="304">
        <f>+D1418-D1419</f>
        <v>5974.1236636610083</v>
      </c>
      <c r="E1420" s="305">
        <f>+C1420/C1428</f>
        <v>3.8714019120012035</v>
      </c>
      <c r="F1420"/>
      <c r="G1420"/>
      <c r="J1420" s="312"/>
    </row>
    <row r="1421" spans="1:14">
      <c r="B1421" s="84"/>
      <c r="C1421" s="84"/>
      <c r="D1421" s="84"/>
      <c r="E1421" s="86"/>
    </row>
    <row r="1422" spans="1:14">
      <c r="B1422" s="306" t="s">
        <v>25</v>
      </c>
      <c r="C1422" s="308">
        <f>Model!AE272</f>
        <v>412088.95799999998</v>
      </c>
      <c r="D1422" s="286">
        <f>C1422/$D$1404</f>
        <v>607.15605551626584</v>
      </c>
      <c r="E1422" s="309"/>
      <c r="J1422" s="312"/>
    </row>
    <row r="1423" spans="1:14">
      <c r="B1423" s="306" t="s">
        <v>26</v>
      </c>
      <c r="C1423" s="308">
        <f>Model!AE273</f>
        <v>266626.41399999999</v>
      </c>
      <c r="D1423" s="286">
        <f>C1423/$D$1404</f>
        <v>392.83712576614801</v>
      </c>
      <c r="E1423" s="310"/>
    </row>
    <row r="1424" spans="1:14">
      <c r="B1424" s="306" t="s">
        <v>27</v>
      </c>
      <c r="C1424" s="308">
        <f>Model!AE274</f>
        <v>35016.892</v>
      </c>
      <c r="D1424" s="286">
        <f>C1424/$D$1404</f>
        <v>51.592544790193301</v>
      </c>
      <c r="E1424" s="310"/>
    </row>
    <row r="1425" spans="2:10">
      <c r="B1425" s="42" t="s">
        <v>28</v>
      </c>
      <c r="C1425" s="45">
        <f>C1422+C1423+C1424</f>
        <v>713732.26399999997</v>
      </c>
      <c r="D1425" s="45">
        <f>D1422+D1423+D1424</f>
        <v>1051.585726072607</v>
      </c>
      <c r="E1425" s="43"/>
      <c r="J1425" s="164"/>
    </row>
    <row r="1426" spans="2:10">
      <c r="B1426" s="84" t="s">
        <v>29</v>
      </c>
      <c r="C1426" s="288">
        <f>Model!AE290</f>
        <v>5975580.0180000002</v>
      </c>
      <c r="D1426" s="286">
        <f>C1426/$D$1404</f>
        <v>8804.1902669731262</v>
      </c>
      <c r="E1426" s="86"/>
    </row>
    <row r="1427" spans="2:10">
      <c r="B1427" s="84" t="s">
        <v>30</v>
      </c>
      <c r="C1427" s="288">
        <f>C1426+C1418+C1425</f>
        <v>10937014.708000001</v>
      </c>
      <c r="D1427" s="288">
        <f>D1426+D1418+D1425</f>
        <v>16114.177728665723</v>
      </c>
      <c r="E1427" s="86"/>
    </row>
    <row r="1428" spans="2:10">
      <c r="B1428" s="84" t="s">
        <v>219</v>
      </c>
      <c r="C1428" s="288">
        <f>Model!AE204</f>
        <v>1047361.4740000003</v>
      </c>
      <c r="D1428" s="288"/>
      <c r="E1428" s="41"/>
      <c r="F1428" s="164"/>
      <c r="G1428" s="164"/>
    </row>
    <row r="1429" spans="2:10">
      <c r="F1429" s="164"/>
      <c r="G1429" s="164"/>
    </row>
    <row r="1430" spans="2:10">
      <c r="B1430" s="176" t="s">
        <v>32</v>
      </c>
      <c r="C1430" s="274">
        <f>C1418-(Model!AE260)</f>
        <v>0</v>
      </c>
      <c r="D1430" s="274">
        <f>D1418-(Model!AE260/D1404)</f>
        <v>0</v>
      </c>
    </row>
    <row r="1431" spans="2:10">
      <c r="B1431" s="176"/>
      <c r="C1431" s="176"/>
      <c r="D1431" s="177"/>
    </row>
    <row r="1432" spans="2:10">
      <c r="B1432" s="33" t="s">
        <v>220</v>
      </c>
      <c r="C1432" s="290">
        <f>Model!AE289</f>
        <v>11101386.6</v>
      </c>
      <c r="D1432" s="237"/>
    </row>
    <row r="1433" spans="2:10">
      <c r="B1433" s="33" t="s">
        <v>34</v>
      </c>
      <c r="C1433" s="290">
        <f>+Model!AE283+Capitalisation!C1432</f>
        <v>15093292.756999999</v>
      </c>
      <c r="D1433" s="165"/>
    </row>
    <row r="1434" spans="2:10">
      <c r="B1434" s="238" t="s">
        <v>35</v>
      </c>
      <c r="C1434" s="43">
        <f>C1433/C1436</f>
        <v>12.600929674768237</v>
      </c>
      <c r="D1434" s="43"/>
    </row>
    <row r="1436" spans="2:10">
      <c r="B1436" s="33" t="s">
        <v>36</v>
      </c>
      <c r="C1436" s="290">
        <f>Model!AE223</f>
        <v>1197792.0000000002</v>
      </c>
      <c r="D1436" s="237"/>
    </row>
    <row r="1439" spans="2:10" ht="13.5" thickBot="1"/>
    <row r="1440" spans="2:10">
      <c r="B1440" s="267" t="s">
        <v>37</v>
      </c>
      <c r="C1440" s="278" t="s">
        <v>38</v>
      </c>
      <c r="D1440" s="279" t="s">
        <v>5</v>
      </c>
      <c r="E1440" s="113"/>
    </row>
    <row r="1441" spans="2:5">
      <c r="B1441" s="268" t="s">
        <v>39</v>
      </c>
      <c r="C1441" s="269">
        <v>0</v>
      </c>
      <c r="D1441" s="270">
        <v>0</v>
      </c>
      <c r="E1441" s="113"/>
    </row>
    <row r="1442" spans="2:5">
      <c r="B1442" s="104" t="s">
        <v>40</v>
      </c>
      <c r="C1442" s="243">
        <f>C1419</f>
        <v>192945.21299999999</v>
      </c>
      <c r="D1442" s="266">
        <f>D1419</f>
        <v>284.27807195898157</v>
      </c>
    </row>
    <row r="1443" spans="2:5" ht="13.5" thickBot="1">
      <c r="B1443" s="271" t="s">
        <v>41</v>
      </c>
      <c r="C1443" s="272">
        <f>C1441+C1442</f>
        <v>192945.21299999999</v>
      </c>
      <c r="D1443" s="273">
        <f>D1441+D1442</f>
        <v>284.27807195898157</v>
      </c>
    </row>
    <row r="1444" spans="2:5">
      <c r="D1444" s="264"/>
    </row>
    <row r="1445" spans="2:5">
      <c r="C1445" s="36"/>
    </row>
    <row r="1446" spans="2:5" ht="13.5" thickBot="1"/>
    <row r="1447" spans="2:5">
      <c r="B1447" s="323" t="s">
        <v>221</v>
      </c>
      <c r="C1447" s="324" t="s">
        <v>58</v>
      </c>
      <c r="D1447" s="325" t="s">
        <v>59</v>
      </c>
    </row>
    <row r="1448" spans="2:5">
      <c r="B1448" s="89">
        <v>2019</v>
      </c>
      <c r="C1448" s="321">
        <v>406326</v>
      </c>
      <c r="D1448" s="326">
        <f t="shared" ref="D1448:D1453" si="24">C1448/$D$1404</f>
        <v>598.66513437057984</v>
      </c>
      <c r="E1448" s="90"/>
    </row>
    <row r="1449" spans="2:5">
      <c r="B1449" s="89">
        <v>2020</v>
      </c>
      <c r="C1449" s="321">
        <v>241294</v>
      </c>
      <c r="D1449" s="326">
        <f t="shared" si="24"/>
        <v>355.51331918906175</v>
      </c>
      <c r="E1449" s="90"/>
    </row>
    <row r="1450" spans="2:5">
      <c r="B1450" s="89">
        <v>2021</v>
      </c>
      <c r="C1450" s="322">
        <v>250629</v>
      </c>
      <c r="D1450" s="326">
        <f t="shared" si="24"/>
        <v>369.26714992927862</v>
      </c>
      <c r="E1450" s="90"/>
    </row>
    <row r="1451" spans="2:5">
      <c r="B1451" s="89">
        <v>2022</v>
      </c>
      <c r="C1451" s="322">
        <v>155847</v>
      </c>
      <c r="D1451" s="326">
        <f t="shared" si="24"/>
        <v>229.61898868458275</v>
      </c>
      <c r="E1451" s="90"/>
    </row>
    <row r="1452" spans="2:5">
      <c r="B1452" s="89">
        <v>2023</v>
      </c>
      <c r="C1452" s="321">
        <v>561353</v>
      </c>
      <c r="D1452" s="326">
        <f t="shared" si="24"/>
        <v>827.07596652522386</v>
      </c>
      <c r="E1452" s="90"/>
    </row>
    <row r="1453" spans="2:5">
      <c r="B1453" s="89" t="s">
        <v>215</v>
      </c>
      <c r="C1453" s="322">
        <v>1540287</v>
      </c>
      <c r="D1453" s="326">
        <f t="shared" si="24"/>
        <v>2269.3997524752476</v>
      </c>
      <c r="E1453" s="90"/>
    </row>
    <row r="1454" spans="2:5" ht="13.5" thickBot="1">
      <c r="B1454" s="91"/>
      <c r="C1454" s="327"/>
      <c r="D1454" s="328"/>
      <c r="E1454" s="90"/>
    </row>
    <row r="1455" spans="2:5">
      <c r="B1455" s="80" t="s">
        <v>44</v>
      </c>
      <c r="C1455" s="121">
        <f>SUM(C1448:C1454)</f>
        <v>3155736</v>
      </c>
      <c r="D1455" s="121">
        <f>SUM(D1448:D1454)</f>
        <v>4649.5403111739743</v>
      </c>
      <c r="E1455" s="90"/>
    </row>
    <row r="1456" spans="2:5">
      <c r="B1456" s="80"/>
      <c r="C1456" s="121"/>
      <c r="D1456" s="121"/>
      <c r="E1456" s="90"/>
    </row>
    <row r="1457" spans="1:13">
      <c r="B1457" s="80"/>
      <c r="C1457" s="121"/>
      <c r="D1457" s="121"/>
      <c r="E1457" s="90"/>
    </row>
    <row r="1458" spans="1:13">
      <c r="A1458" s="80" t="s">
        <v>222</v>
      </c>
      <c r="C1458" s="80" t="s">
        <v>223</v>
      </c>
      <c r="D1458" s="292">
        <f>Model!AD382</f>
        <v>679.7</v>
      </c>
    </row>
    <row r="1460" spans="1:13">
      <c r="I1460" s="80" t="s">
        <v>8</v>
      </c>
    </row>
    <row r="1461" spans="1:13">
      <c r="A1461" s="32"/>
      <c r="B1461" s="285" t="s">
        <v>224</v>
      </c>
      <c r="C1461" s="34" t="s">
        <v>4</v>
      </c>
      <c r="D1461" s="34" t="s">
        <v>5</v>
      </c>
      <c r="E1461" s="34" t="s">
        <v>48</v>
      </c>
      <c r="F1461"/>
      <c r="G1461"/>
      <c r="H1461" s="32"/>
      <c r="I1461" s="285" t="s">
        <v>225</v>
      </c>
      <c r="J1461" s="34" t="s">
        <v>4</v>
      </c>
      <c r="K1461" s="34" t="s">
        <v>5</v>
      </c>
      <c r="L1461" s="34" t="s">
        <v>48</v>
      </c>
    </row>
    <row r="1462" spans="1:13">
      <c r="A1462" s="32"/>
      <c r="B1462" s="111" t="s">
        <v>9</v>
      </c>
      <c r="C1462" s="155">
        <v>519805.57</v>
      </c>
      <c r="D1462" s="286">
        <f>C1462/$D$1458</f>
        <v>764.75734883036625</v>
      </c>
      <c r="E1462" s="112"/>
      <c r="F1462"/>
      <c r="G1462"/>
      <c r="H1462" s="32"/>
      <c r="I1462" s="42" t="s">
        <v>10</v>
      </c>
      <c r="J1462" s="295">
        <f>+C1472-C1469-C1464</f>
        <v>3233220.9159999997</v>
      </c>
      <c r="K1462" s="45">
        <f>J1462/$D$1458</f>
        <v>4756.8352449610111</v>
      </c>
      <c r="L1462" s="43">
        <f>J1462/J1466</f>
        <v>3.0634176282624419</v>
      </c>
    </row>
    <row r="1463" spans="1:13">
      <c r="A1463" s="32"/>
      <c r="B1463" s="111" t="s">
        <v>11</v>
      </c>
      <c r="C1463" s="155">
        <v>75800.122000000003</v>
      </c>
      <c r="D1463" s="286">
        <f>C1463/$D$1458</f>
        <v>111.51996763277917</v>
      </c>
      <c r="E1463" s="112"/>
      <c r="F1463"/>
      <c r="G1463"/>
      <c r="H1463" s="32"/>
      <c r="I1463" s="41" t="s">
        <v>24</v>
      </c>
      <c r="J1463" s="295">
        <f>+Model!AD252-Model!AD296</f>
        <v>389244.18400000001</v>
      </c>
      <c r="K1463" s="45">
        <f>J1463/$D$1458</f>
        <v>572.67056642636453</v>
      </c>
      <c r="L1463" s="44"/>
    </row>
    <row r="1464" spans="1:13">
      <c r="A1464" s="32"/>
      <c r="B1464" s="111" t="s">
        <v>13</v>
      </c>
      <c r="C1464" s="155">
        <v>100343.21799999999</v>
      </c>
      <c r="D1464" s="286">
        <f>C1464/$D$1458</f>
        <v>147.62868618508165</v>
      </c>
      <c r="E1464" s="112"/>
      <c r="F1464"/>
      <c r="G1464"/>
      <c r="H1464" s="32"/>
      <c r="I1464" s="42" t="s">
        <v>14</v>
      </c>
      <c r="J1464" s="295">
        <f>+J1462-J1463</f>
        <v>2843976.7319999998</v>
      </c>
      <c r="K1464" s="45">
        <f>+K1462-K1463</f>
        <v>4184.1646785346466</v>
      </c>
      <c r="L1464" s="43">
        <f>J1464/J1466</f>
        <v>2.6946158897040275</v>
      </c>
      <c r="M1464" s="32"/>
    </row>
    <row r="1465" spans="1:13">
      <c r="A1465" s="32"/>
      <c r="B1465" s="111" t="s">
        <v>15</v>
      </c>
      <c r="C1465" s="155">
        <v>10720.31</v>
      </c>
      <c r="D1465" s="286">
        <f>C1465/$D$1458</f>
        <v>15.772120052964542</v>
      </c>
      <c r="E1465" s="112"/>
      <c r="F1465"/>
      <c r="G1465"/>
      <c r="H1465" s="32"/>
      <c r="I1465" s="32"/>
      <c r="J1465" s="32"/>
      <c r="K1465" s="32"/>
      <c r="L1465" s="32"/>
      <c r="M1465" s="32"/>
    </row>
    <row r="1466" spans="1:13">
      <c r="A1466" s="32"/>
      <c r="B1466" s="109" t="s">
        <v>17</v>
      </c>
      <c r="C1466" s="156">
        <f>SUM(C1462:C1465)</f>
        <v>706669.22000000009</v>
      </c>
      <c r="D1466" s="156">
        <f>SUM(D1462:D1465)</f>
        <v>1039.6781227011916</v>
      </c>
      <c r="E1466" s="110"/>
      <c r="F1466"/>
      <c r="G1466"/>
      <c r="H1466" s="32"/>
      <c r="I1466" s="42" t="s">
        <v>226</v>
      </c>
      <c r="J1466" s="295">
        <f>C1482</f>
        <v>1055429.3629999999</v>
      </c>
      <c r="K1466" s="45"/>
      <c r="L1466" s="43"/>
      <c r="M1466" s="32"/>
    </row>
    <row r="1467" spans="1:13">
      <c r="A1467" s="32"/>
      <c r="B1467" s="111" t="s">
        <v>18</v>
      </c>
      <c r="C1467" s="155">
        <v>415981.27799999999</v>
      </c>
      <c r="D1467" s="286">
        <f>C1467/$D$1458</f>
        <v>612.00717669560095</v>
      </c>
      <c r="E1467" s="110"/>
      <c r="F1467"/>
      <c r="G1467"/>
      <c r="H1467" s="32"/>
      <c r="I1467" s="32"/>
      <c r="J1467" s="32"/>
      <c r="K1467" s="32"/>
      <c r="L1467" s="32"/>
      <c r="M1467" s="32"/>
    </row>
    <row r="1468" spans="1:13">
      <c r="A1468" s="32"/>
      <c r="B1468" s="111" t="s">
        <v>19</v>
      </c>
      <c r="C1468" s="155">
        <v>2086577.0549999999</v>
      </c>
      <c r="D1468" s="286">
        <f>C1468/$D$1458</f>
        <v>3069.8500147123727</v>
      </c>
      <c r="E1468" s="110"/>
      <c r="F1468"/>
      <c r="G1468"/>
      <c r="H1468" s="32"/>
      <c r="I1468" s="32"/>
      <c r="J1468" s="32"/>
      <c r="K1468" s="32"/>
      <c r="L1468" s="32"/>
      <c r="M1468" s="32"/>
    </row>
    <row r="1469" spans="1:13">
      <c r="A1469" s="32"/>
      <c r="B1469" s="111" t="s">
        <v>20</v>
      </c>
      <c r="C1469" s="155">
        <v>935200.15399999998</v>
      </c>
      <c r="D1469" s="286">
        <f>C1469/$D$1458</f>
        <v>1375.9013594232749</v>
      </c>
      <c r="E1469" s="110"/>
      <c r="F1469"/>
      <c r="G1469"/>
      <c r="H1469" s="32"/>
      <c r="I1469" s="32"/>
      <c r="J1469" s="32"/>
      <c r="K1469" s="32"/>
      <c r="L1469" s="32"/>
      <c r="M1469" s="32"/>
    </row>
    <row r="1470" spans="1:13">
      <c r="A1470" s="32"/>
      <c r="B1470" s="111" t="s">
        <v>15</v>
      </c>
      <c r="C1470" s="155">
        <v>124336.58100000001</v>
      </c>
      <c r="D1470" s="286">
        <f>C1470/$D$1458</f>
        <v>182.92861703692805</v>
      </c>
      <c r="E1470" s="110"/>
      <c r="F1470"/>
      <c r="G1470"/>
      <c r="H1470" s="32"/>
      <c r="I1470" s="32"/>
      <c r="J1470" s="32"/>
      <c r="K1470" s="32"/>
      <c r="L1470" s="32"/>
      <c r="M1470" s="32"/>
    </row>
    <row r="1471" spans="1:13">
      <c r="A1471" s="32"/>
      <c r="B1471" s="109" t="s">
        <v>22</v>
      </c>
      <c r="C1471" s="156">
        <f>SUM(C1467:C1470)</f>
        <v>3562095.068</v>
      </c>
      <c r="D1471" s="156">
        <f>SUM(D1467:D1470)</f>
        <v>5240.6871678681764</v>
      </c>
      <c r="E1471" s="110"/>
      <c r="F1471"/>
      <c r="G1471"/>
      <c r="H1471" s="32"/>
      <c r="I1471" s="32"/>
      <c r="J1471" s="32"/>
      <c r="K1471" s="32"/>
      <c r="L1471" s="311"/>
      <c r="M1471" s="32"/>
    </row>
    <row r="1472" spans="1:13">
      <c r="B1472" s="303" t="s">
        <v>23</v>
      </c>
      <c r="C1472" s="304">
        <f>C1471+C1466</f>
        <v>4268764.2879999997</v>
      </c>
      <c r="D1472" s="304">
        <f>D1471+D1466</f>
        <v>6280.365290569368</v>
      </c>
      <c r="E1472" s="305">
        <f>+C1472/C1482</f>
        <v>4.0445760158370732</v>
      </c>
      <c r="F1472"/>
      <c r="G1472"/>
      <c r="J1472" s="312"/>
      <c r="M1472" s="32"/>
    </row>
    <row r="1473" spans="2:13">
      <c r="B1473" s="306" t="s">
        <v>24</v>
      </c>
      <c r="C1473" s="304">
        <f>Model!AD252</f>
        <v>293633.41700000002</v>
      </c>
      <c r="D1473" s="286">
        <f>C1473/$D$1458</f>
        <v>432.00443872296603</v>
      </c>
      <c r="E1473" s="307"/>
      <c r="F1473"/>
      <c r="G1473"/>
      <c r="J1473" s="312"/>
      <c r="M1473" s="32"/>
    </row>
    <row r="1474" spans="2:13">
      <c r="B1474" s="303" t="s">
        <v>14</v>
      </c>
      <c r="C1474" s="304">
        <f>+C1472-C1473</f>
        <v>3975130.8709999998</v>
      </c>
      <c r="D1474" s="304">
        <f>+D1472-D1473</f>
        <v>5848.3608518464016</v>
      </c>
      <c r="E1474" s="305">
        <f>+C1474/C1482</f>
        <v>3.7663637286922822</v>
      </c>
      <c r="F1474"/>
      <c r="G1474"/>
      <c r="J1474" s="312"/>
      <c r="M1474" s="32"/>
    </row>
    <row r="1475" spans="2:13">
      <c r="B1475" s="84"/>
      <c r="C1475" s="84"/>
      <c r="D1475" s="84"/>
      <c r="E1475" s="86"/>
    </row>
    <row r="1476" spans="2:13">
      <c r="B1476" s="306" t="s">
        <v>25</v>
      </c>
      <c r="C1476" s="308">
        <f>Model!AD272</f>
        <v>413588.36800000002</v>
      </c>
      <c r="D1476" s="286">
        <f>C1476/$D$1458</f>
        <v>608.48663822274534</v>
      </c>
      <c r="E1476" s="309"/>
      <c r="J1476" s="312"/>
    </row>
    <row r="1477" spans="2:13">
      <c r="B1477" s="306" t="s">
        <v>26</v>
      </c>
      <c r="C1477" s="308">
        <f>Model!AD273</f>
        <v>266414.43599999999</v>
      </c>
      <c r="D1477" s="286">
        <f>C1477/$D$1458</f>
        <v>391.95885831984697</v>
      </c>
      <c r="E1477" s="310"/>
    </row>
    <row r="1478" spans="2:13">
      <c r="B1478" s="306" t="s">
        <v>27</v>
      </c>
      <c r="C1478" s="308">
        <f>Model!AD274</f>
        <v>46284.974000000002</v>
      </c>
      <c r="D1478" s="286">
        <f>C1478/$D$1458</f>
        <v>68.096180667941738</v>
      </c>
      <c r="E1478" s="310"/>
    </row>
    <row r="1479" spans="2:13">
      <c r="B1479" s="42" t="s">
        <v>28</v>
      </c>
      <c r="C1479" s="45">
        <f>C1476+C1477+C1478</f>
        <v>726287.77800000005</v>
      </c>
      <c r="D1479" s="45">
        <f>D1476+D1477</f>
        <v>1000.4454965425923</v>
      </c>
      <c r="E1479" s="43"/>
      <c r="J1479" s="164"/>
    </row>
    <row r="1480" spans="2:13">
      <c r="B1480" s="84" t="s">
        <v>29</v>
      </c>
      <c r="C1480" s="288">
        <f>Model!AD290</f>
        <v>5899763.8590000002</v>
      </c>
      <c r="D1480" s="286">
        <f>C1480/$D$1458</f>
        <v>8679.9527129615999</v>
      </c>
      <c r="E1480" s="86"/>
    </row>
    <row r="1481" spans="2:13">
      <c r="B1481" s="84" t="s">
        <v>30</v>
      </c>
      <c r="C1481" s="288">
        <f>C1480+C1472+C1479</f>
        <v>10894815.925000001</v>
      </c>
      <c r="D1481" s="288">
        <f>D1480+D1472+D1479</f>
        <v>15960.763500073559</v>
      </c>
      <c r="E1481" s="86"/>
    </row>
    <row r="1482" spans="2:13">
      <c r="B1482" s="84" t="s">
        <v>226</v>
      </c>
      <c r="C1482" s="288">
        <f>Model!AD204</f>
        <v>1055429.3629999999</v>
      </c>
      <c r="D1482" s="288"/>
      <c r="E1482" s="41"/>
      <c r="F1482" s="164"/>
      <c r="G1482" s="164"/>
    </row>
    <row r="1483" spans="2:13">
      <c r="F1483" s="164"/>
      <c r="G1483" s="164"/>
    </row>
    <row r="1484" spans="2:13">
      <c r="B1484" s="176" t="s">
        <v>32</v>
      </c>
      <c r="C1484" s="274">
        <f>C1472-(Model!AD260)</f>
        <v>0</v>
      </c>
      <c r="D1484" s="274">
        <f>D1472-(Model!AD260/D1458)</f>
        <v>0</v>
      </c>
    </row>
    <row r="1485" spans="2:13">
      <c r="B1485" s="176"/>
      <c r="C1485" s="176"/>
      <c r="D1485" s="177"/>
    </row>
    <row r="1486" spans="2:13">
      <c r="B1486" s="33" t="s">
        <v>227</v>
      </c>
      <c r="C1486" s="290">
        <f>Model!AD289</f>
        <v>12694753.800000001</v>
      </c>
      <c r="D1486" s="237"/>
    </row>
    <row r="1487" spans="2:13">
      <c r="B1487" s="33" t="s">
        <v>34</v>
      </c>
      <c r="C1487" s="290">
        <f>+Model!AD283+Capitalisation!C1486</f>
        <v>16654262.494000001</v>
      </c>
      <c r="D1487" s="165"/>
    </row>
    <row r="1488" spans="2:13">
      <c r="B1488" s="238" t="s">
        <v>35</v>
      </c>
      <c r="C1488" s="43">
        <f>C1487/C1490</f>
        <v>14.024016186224951</v>
      </c>
      <c r="D1488" s="43"/>
    </row>
    <row r="1490" spans="2:5">
      <c r="B1490" s="33" t="s">
        <v>36</v>
      </c>
      <c r="C1490" s="290">
        <f>Model!AD223</f>
        <v>1187553</v>
      </c>
      <c r="D1490" s="237"/>
    </row>
    <row r="1493" spans="2:5" ht="13.5" thickBot="1"/>
    <row r="1494" spans="2:5">
      <c r="B1494" s="267" t="s">
        <v>228</v>
      </c>
      <c r="C1494" s="278" t="s">
        <v>38</v>
      </c>
      <c r="D1494" s="279" t="s">
        <v>5</v>
      </c>
      <c r="E1494" s="113"/>
    </row>
    <row r="1495" spans="2:5">
      <c r="B1495" s="268" t="s">
        <v>39</v>
      </c>
      <c r="C1495" s="269">
        <v>0</v>
      </c>
      <c r="D1495" s="270">
        <v>0</v>
      </c>
      <c r="E1495" s="113"/>
    </row>
    <row r="1496" spans="2:5">
      <c r="B1496" s="104" t="s">
        <v>40</v>
      </c>
      <c r="C1496" s="243">
        <f>C1473</f>
        <v>293633.41700000002</v>
      </c>
      <c r="D1496" s="266">
        <f>D1473</f>
        <v>432.00443872296603</v>
      </c>
    </row>
    <row r="1497" spans="2:5" ht="13.5" thickBot="1">
      <c r="B1497" s="271" t="s">
        <v>41</v>
      </c>
      <c r="C1497" s="272">
        <f>C1495+C1496</f>
        <v>293633.41700000002</v>
      </c>
      <c r="D1497" s="273">
        <f>D1495+D1496</f>
        <v>432.00443872296603</v>
      </c>
    </row>
    <row r="1498" spans="2:5">
      <c r="D1498" s="264"/>
    </row>
    <row r="1499" spans="2:5">
      <c r="C1499" s="36"/>
    </row>
    <row r="1500" spans="2:5" ht="13.5" thickBot="1">
      <c r="D1500" s="265"/>
    </row>
    <row r="1501" spans="2:5">
      <c r="B1501" s="88" t="s">
        <v>229</v>
      </c>
      <c r="C1501" s="116" t="s">
        <v>58</v>
      </c>
      <c r="D1501" s="116" t="s">
        <v>59</v>
      </c>
    </row>
    <row r="1502" spans="2:5">
      <c r="B1502" s="89">
        <v>2019</v>
      </c>
      <c r="C1502" s="296">
        <v>480520</v>
      </c>
      <c r="D1502" s="291">
        <f t="shared" ref="D1502:D1507" si="25">C1502/$D$1458</f>
        <v>706.95895247903479</v>
      </c>
      <c r="E1502" s="90"/>
    </row>
    <row r="1503" spans="2:5">
      <c r="B1503" s="89">
        <v>2020</v>
      </c>
      <c r="C1503" s="296">
        <v>218349</v>
      </c>
      <c r="D1503" s="291">
        <f t="shared" si="25"/>
        <v>321.24319552743856</v>
      </c>
      <c r="E1503" s="90"/>
    </row>
    <row r="1504" spans="2:5">
      <c r="B1504" s="89">
        <v>2021</v>
      </c>
      <c r="C1504" s="297">
        <v>228100</v>
      </c>
      <c r="D1504" s="291">
        <f t="shared" si="25"/>
        <v>335.58923054288653</v>
      </c>
      <c r="E1504" s="90"/>
    </row>
    <row r="1505" spans="1:13">
      <c r="B1505" s="89">
        <v>2022</v>
      </c>
      <c r="C1505" s="297">
        <v>146705</v>
      </c>
      <c r="D1505" s="291">
        <f t="shared" si="25"/>
        <v>215.83786964837427</v>
      </c>
      <c r="E1505" s="90"/>
    </row>
    <row r="1506" spans="1:13">
      <c r="B1506" s="89">
        <v>2023</v>
      </c>
      <c r="C1506" s="296">
        <v>567407</v>
      </c>
      <c r="D1506" s="291">
        <f t="shared" si="25"/>
        <v>834.79034868324254</v>
      </c>
      <c r="E1506" s="90"/>
    </row>
    <row r="1507" spans="1:13">
      <c r="B1507" s="89" t="s">
        <v>215</v>
      </c>
      <c r="C1507" s="297">
        <v>1526394</v>
      </c>
      <c r="D1507" s="291">
        <f t="shared" si="25"/>
        <v>2245.687803442695</v>
      </c>
      <c r="E1507" s="90"/>
    </row>
    <row r="1508" spans="1:13" ht="13.5" thickBot="1">
      <c r="B1508" s="91"/>
      <c r="C1508" s="108"/>
      <c r="D1508" s="117"/>
      <c r="E1508" s="90"/>
    </row>
    <row r="1509" spans="1:13">
      <c r="B1509" s="80" t="s">
        <v>44</v>
      </c>
      <c r="C1509" s="121">
        <f>SUM(C1502:C1508)</f>
        <v>3167475</v>
      </c>
      <c r="D1509" s="121">
        <f>SUM(D1502:D1508)</f>
        <v>4660.1074003236718</v>
      </c>
      <c r="E1509" s="90"/>
    </row>
    <row r="1510" spans="1:13">
      <c r="B1510" s="80"/>
      <c r="C1510" s="121"/>
      <c r="D1510" s="121"/>
      <c r="E1510" s="90"/>
    </row>
    <row r="1511" spans="1:13">
      <c r="B1511" s="80"/>
      <c r="C1511" s="121"/>
      <c r="D1511" s="121"/>
      <c r="E1511" s="90"/>
    </row>
    <row r="1512" spans="1:13">
      <c r="A1512" s="80" t="s">
        <v>230</v>
      </c>
      <c r="C1512" s="80" t="s">
        <v>231</v>
      </c>
      <c r="D1512" s="292">
        <f>Model!AC382</f>
        <v>694</v>
      </c>
    </row>
    <row r="1514" spans="1:13">
      <c r="I1514" s="80" t="s">
        <v>8</v>
      </c>
    </row>
    <row r="1515" spans="1:13">
      <c r="A1515" s="32"/>
      <c r="B1515" s="285" t="s">
        <v>232</v>
      </c>
      <c r="C1515" s="34" t="s">
        <v>4</v>
      </c>
      <c r="D1515" s="34" t="s">
        <v>5</v>
      </c>
      <c r="E1515" s="34" t="s">
        <v>48</v>
      </c>
      <c r="F1515"/>
      <c r="G1515"/>
      <c r="H1515" s="32"/>
      <c r="I1515" s="285" t="s">
        <v>232</v>
      </c>
      <c r="J1515" s="34" t="s">
        <v>4</v>
      </c>
      <c r="K1515" s="34" t="s">
        <v>5</v>
      </c>
      <c r="L1515" s="34" t="s">
        <v>48</v>
      </c>
      <c r="M1515" s="32"/>
    </row>
    <row r="1516" spans="1:13">
      <c r="A1516" s="32"/>
      <c r="B1516" s="111" t="s">
        <v>9</v>
      </c>
      <c r="C1516" s="155">
        <v>905950.51899999997</v>
      </c>
      <c r="D1516" s="286">
        <f>C1516/$D$1512</f>
        <v>1305.4042060518732</v>
      </c>
      <c r="E1516" s="112"/>
      <c r="F1516"/>
      <c r="G1516"/>
      <c r="H1516" s="32"/>
      <c r="I1516" s="42" t="s">
        <v>10</v>
      </c>
      <c r="J1516" s="295">
        <f>+C1520+C1525</f>
        <v>3796650.4929999998</v>
      </c>
      <c r="K1516" s="45">
        <f>J1516/$D$1512</f>
        <v>5470.6779438040339</v>
      </c>
      <c r="L1516" s="43">
        <f>J1516/J1520</f>
        <v>3.534985964250505</v>
      </c>
      <c r="M1516" s="32"/>
    </row>
    <row r="1517" spans="1:13">
      <c r="A1517" s="32"/>
      <c r="B1517" s="111" t="s">
        <v>11</v>
      </c>
      <c r="C1517" s="155">
        <v>65111.864999999998</v>
      </c>
      <c r="D1517" s="286">
        <f>C1517/$D$1512</f>
        <v>93.821131123919301</v>
      </c>
      <c r="E1517" s="112"/>
      <c r="F1517"/>
      <c r="G1517"/>
      <c r="H1517" s="32"/>
      <c r="I1517" s="41" t="s">
        <v>24</v>
      </c>
      <c r="J1517" s="295">
        <f>352100.505-Model!AC296</f>
        <v>465262.35</v>
      </c>
      <c r="K1517" s="45">
        <f>J1517/$D$1512</f>
        <v>670.40684438040341</v>
      </c>
      <c r="L1517" s="44"/>
      <c r="M1517" s="32"/>
    </row>
    <row r="1518" spans="1:13">
      <c r="A1518" s="32"/>
      <c r="B1518" s="111" t="s">
        <v>13</v>
      </c>
      <c r="C1518" s="155">
        <v>7004.9380000000001</v>
      </c>
      <c r="D1518" s="286">
        <f>C1518/$D$1512</f>
        <v>10.09357060518732</v>
      </c>
      <c r="E1518" s="112"/>
      <c r="F1518"/>
      <c r="G1518"/>
      <c r="H1518" s="32"/>
      <c r="I1518" s="42" t="s">
        <v>14</v>
      </c>
      <c r="J1518" s="295">
        <f>+J1516-J1517</f>
        <v>3331388.1429999997</v>
      </c>
      <c r="K1518" s="45">
        <f>+K1516-K1517</f>
        <v>4800.2710994236304</v>
      </c>
      <c r="L1518" s="43">
        <f>J1518/J1520</f>
        <v>3.1017894190387238</v>
      </c>
      <c r="M1518" s="32"/>
    </row>
    <row r="1519" spans="1:13">
      <c r="A1519" s="32"/>
      <c r="B1519" s="111" t="s">
        <v>15</v>
      </c>
      <c r="C1519" s="155">
        <v>11997.584999999999</v>
      </c>
      <c r="D1519" s="286">
        <f>C1519/$D$1512</f>
        <v>17.287586455331411</v>
      </c>
      <c r="E1519" s="112"/>
      <c r="F1519"/>
      <c r="G1519"/>
      <c r="H1519" s="32"/>
      <c r="I1519" s="32"/>
      <c r="J1519" s="32"/>
      <c r="K1519" s="32"/>
      <c r="L1519" s="32"/>
      <c r="M1519" s="32"/>
    </row>
    <row r="1520" spans="1:13">
      <c r="A1520" s="32"/>
      <c r="B1520" s="109" t="s">
        <v>17</v>
      </c>
      <c r="C1520" s="156">
        <f>SUM(C1516:C1519)</f>
        <v>990064.90699999989</v>
      </c>
      <c r="D1520" s="156">
        <f>SUM(D1516:D1519)</f>
        <v>1426.6064942363112</v>
      </c>
      <c r="E1520" s="110"/>
      <c r="F1520"/>
      <c r="G1520"/>
      <c r="H1520" s="32"/>
      <c r="I1520" s="42" t="s">
        <v>233</v>
      </c>
      <c r="J1520" s="295">
        <f>C1535</f>
        <v>1074021.3769999999</v>
      </c>
      <c r="K1520" s="45"/>
      <c r="L1520" s="43"/>
      <c r="M1520" s="32"/>
    </row>
    <row r="1521" spans="1:13">
      <c r="A1521" s="32"/>
      <c r="B1521" s="111" t="s">
        <v>18</v>
      </c>
      <c r="C1521" s="155">
        <v>499764.35100000002</v>
      </c>
      <c r="D1521" s="286">
        <f>C1521/$D$1512</f>
        <v>720.12154322766571</v>
      </c>
      <c r="E1521" s="110"/>
      <c r="F1521"/>
      <c r="G1521"/>
      <c r="H1521" s="32"/>
      <c r="I1521" s="32"/>
      <c r="J1521" s="32"/>
      <c r="K1521" s="32"/>
      <c r="L1521" s="32"/>
      <c r="M1521" s="32"/>
    </row>
    <row r="1522" spans="1:13">
      <c r="A1522" s="32"/>
      <c r="B1522" s="111" t="s">
        <v>19</v>
      </c>
      <c r="C1522" s="155">
        <v>2126563.1800000002</v>
      </c>
      <c r="D1522" s="286">
        <f>C1522/$D$1512</f>
        <v>3064.2120749279543</v>
      </c>
      <c r="E1522" s="110"/>
      <c r="F1522"/>
      <c r="G1522"/>
      <c r="H1522" s="32"/>
      <c r="I1522" s="32"/>
      <c r="J1522" s="32"/>
      <c r="K1522" s="32"/>
      <c r="L1522" s="32"/>
      <c r="M1522" s="32"/>
    </row>
    <row r="1523" spans="1:13">
      <c r="A1523" s="32"/>
      <c r="B1523" s="111" t="s">
        <v>20</v>
      </c>
      <c r="C1523" s="155">
        <v>53246.434000000001</v>
      </c>
      <c r="D1523" s="286">
        <f>C1523/$D$1512</f>
        <v>76.723968299711814</v>
      </c>
      <c r="E1523" s="110"/>
      <c r="F1523"/>
      <c r="G1523"/>
      <c r="H1523" s="32"/>
      <c r="I1523" s="32"/>
      <c r="J1523" s="32"/>
      <c r="K1523" s="32"/>
      <c r="L1523" s="32"/>
      <c r="M1523" s="32"/>
    </row>
    <row r="1524" spans="1:13">
      <c r="A1524" s="32"/>
      <c r="B1524" s="111" t="s">
        <v>15</v>
      </c>
      <c r="C1524" s="155">
        <v>127011.621</v>
      </c>
      <c r="D1524" s="286">
        <f>C1524/$D$1512</f>
        <v>183.01386311239193</v>
      </c>
      <c r="E1524" s="110"/>
      <c r="F1524"/>
      <c r="G1524"/>
      <c r="H1524" s="32"/>
      <c r="I1524" s="32"/>
      <c r="J1524" s="32"/>
      <c r="K1524" s="32"/>
      <c r="L1524" s="32"/>
      <c r="M1524" s="32"/>
    </row>
    <row r="1525" spans="1:13">
      <c r="A1525" s="32"/>
      <c r="B1525" s="109" t="s">
        <v>22</v>
      </c>
      <c r="C1525" s="156">
        <f>SUM(C1521:C1524)</f>
        <v>2806585.5860000001</v>
      </c>
      <c r="D1525" s="156">
        <f>SUM(D1521:D1524)</f>
        <v>4044.0714495677239</v>
      </c>
      <c r="E1525" s="110"/>
      <c r="F1525"/>
      <c r="G1525"/>
      <c r="H1525" s="32"/>
      <c r="I1525" s="32"/>
      <c r="J1525" s="32"/>
      <c r="K1525" s="32"/>
      <c r="L1525" s="32"/>
      <c r="M1525" s="32"/>
    </row>
    <row r="1526" spans="1:13">
      <c r="B1526" s="42" t="s">
        <v>23</v>
      </c>
      <c r="C1526" s="45">
        <f>C1525+C1520</f>
        <v>3796650.4929999998</v>
      </c>
      <c r="D1526" s="45">
        <f>D1525+D1520</f>
        <v>5470.6779438040348</v>
      </c>
      <c r="E1526" s="43">
        <f>+C1526/C1535</f>
        <v>3.534985964250505</v>
      </c>
      <c r="F1526"/>
      <c r="G1526"/>
    </row>
    <row r="1527" spans="1:13">
      <c r="B1527" s="41" t="s">
        <v>24</v>
      </c>
      <c r="C1527" s="45">
        <f>Model!AC252</f>
        <v>352100.505</v>
      </c>
      <c r="D1527" s="45">
        <f>C1527/$D$1512</f>
        <v>507.34943083573489</v>
      </c>
      <c r="E1527" s="44"/>
      <c r="F1527"/>
      <c r="G1527"/>
    </row>
    <row r="1528" spans="1:13">
      <c r="B1528" s="42" t="s">
        <v>14</v>
      </c>
      <c r="C1528" s="45">
        <f>+C1526-C1527</f>
        <v>3444549.9879999999</v>
      </c>
      <c r="D1528" s="45">
        <f>+D1526-D1527</f>
        <v>4963.3285129682999</v>
      </c>
      <c r="E1528" s="43">
        <f>+C1528/C1535</f>
        <v>3.2071521682570761</v>
      </c>
      <c r="F1528"/>
      <c r="G1528"/>
    </row>
    <row r="1529" spans="1:13">
      <c r="B1529" s="84"/>
      <c r="C1529" s="84"/>
      <c r="D1529" s="84"/>
      <c r="E1529" s="86"/>
    </row>
    <row r="1530" spans="1:13">
      <c r="B1530" s="41" t="s">
        <v>25</v>
      </c>
      <c r="C1530" s="288">
        <f>Model!AC272</f>
        <v>78714.86</v>
      </c>
      <c r="D1530" s="288">
        <f>C1530/$D$1512</f>
        <v>113.42198847262247</v>
      </c>
      <c r="E1530" s="86"/>
    </row>
    <row r="1531" spans="1:13">
      <c r="B1531" s="41" t="s">
        <v>26</v>
      </c>
      <c r="C1531" s="288">
        <f>Model!AC273</f>
        <v>268117.24</v>
      </c>
      <c r="D1531" s="288">
        <f>C1531/$D$1512</f>
        <v>386.33608069164262</v>
      </c>
      <c r="E1531" s="287"/>
    </row>
    <row r="1532" spans="1:13">
      <c r="B1532" s="42" t="s">
        <v>28</v>
      </c>
      <c r="C1532" s="45">
        <f>C1530+C1531</f>
        <v>346832.1</v>
      </c>
      <c r="D1532" s="45">
        <f>D1530+D1531</f>
        <v>499.75806916426507</v>
      </c>
      <c r="E1532" s="43"/>
    </row>
    <row r="1533" spans="1:13">
      <c r="B1533" s="84" t="s">
        <v>29</v>
      </c>
      <c r="C1533" s="288">
        <f>Model!AC290</f>
        <v>5987357.2230000002</v>
      </c>
      <c r="D1533" s="288">
        <f>C1533/$D$1512</f>
        <v>8627.3158832853023</v>
      </c>
      <c r="E1533" s="86"/>
    </row>
    <row r="1534" spans="1:13">
      <c r="B1534" s="84" t="s">
        <v>30</v>
      </c>
      <c r="C1534" s="288">
        <f>C1533+C1526+C1532</f>
        <v>10130839.816</v>
      </c>
      <c r="D1534" s="288">
        <f>D1533+D1526+D1532</f>
        <v>14597.751896253601</v>
      </c>
      <c r="E1534" s="86"/>
    </row>
    <row r="1535" spans="1:13">
      <c r="B1535" s="84" t="s">
        <v>233</v>
      </c>
      <c r="C1535" s="288">
        <f>Model!AC204</f>
        <v>1074021.3769999999</v>
      </c>
      <c r="D1535" s="288"/>
      <c r="E1535" s="41"/>
      <c r="F1535" s="164"/>
      <c r="G1535" s="164"/>
    </row>
    <row r="1536" spans="1:13">
      <c r="F1536" s="164"/>
      <c r="G1536" s="164"/>
    </row>
    <row r="1537" spans="2:5">
      <c r="B1537" s="176" t="s">
        <v>32</v>
      </c>
      <c r="C1537" s="274">
        <f>C1526-(Model!AC260)</f>
        <v>0</v>
      </c>
      <c r="D1537" s="274">
        <f>D1526-(Model!AC260/D1512)</f>
        <v>0</v>
      </c>
    </row>
    <row r="1538" spans="2:5">
      <c r="B1538" s="176"/>
      <c r="C1538" s="176"/>
      <c r="D1538" s="177"/>
    </row>
    <row r="1539" spans="2:5">
      <c r="B1539" s="33" t="s">
        <v>234</v>
      </c>
      <c r="C1539" s="290">
        <f>Model!AC289</f>
        <v>12769015.58</v>
      </c>
      <c r="D1539" s="237"/>
    </row>
    <row r="1540" spans="2:5">
      <c r="B1540" s="33" t="s">
        <v>34</v>
      </c>
      <c r="C1540" s="290">
        <f>+Model!AC283+Capitalisation!C1539</f>
        <v>16852246.800999999</v>
      </c>
      <c r="D1540" s="165"/>
    </row>
    <row r="1541" spans="2:5">
      <c r="B1541" s="238" t="s">
        <v>35</v>
      </c>
      <c r="C1541" s="43">
        <f>C1540/C1543</f>
        <v>13.992873139341304</v>
      </c>
      <c r="D1541" s="43"/>
    </row>
    <row r="1543" spans="2:5">
      <c r="B1543" s="33" t="s">
        <v>36</v>
      </c>
      <c r="C1543" s="290">
        <f>Model!AC223</f>
        <v>1204344.9999999998</v>
      </c>
      <c r="D1543" s="237"/>
    </row>
    <row r="1546" spans="2:5" ht="13.5" thickBot="1"/>
    <row r="1547" spans="2:5">
      <c r="B1547" s="267" t="s">
        <v>228</v>
      </c>
      <c r="C1547" s="278" t="s">
        <v>38</v>
      </c>
      <c r="D1547" s="279" t="s">
        <v>5</v>
      </c>
      <c r="E1547" s="113"/>
    </row>
    <row r="1548" spans="2:5">
      <c r="B1548" s="268" t="s">
        <v>39</v>
      </c>
      <c r="C1548" s="269">
        <v>0</v>
      </c>
      <c r="D1548" s="270">
        <v>0</v>
      </c>
      <c r="E1548" s="113"/>
    </row>
    <row r="1549" spans="2:5">
      <c r="B1549" s="104" t="s">
        <v>40</v>
      </c>
      <c r="C1549" s="243">
        <f>C1527</f>
        <v>352100.505</v>
      </c>
      <c r="D1549" s="266">
        <f>D1527</f>
        <v>507.34943083573489</v>
      </c>
    </row>
    <row r="1550" spans="2:5" ht="13.5" thickBot="1">
      <c r="B1550" s="271" t="s">
        <v>41</v>
      </c>
      <c r="C1550" s="272">
        <f>C1548+C1549</f>
        <v>352100.505</v>
      </c>
      <c r="D1550" s="273">
        <f>D1548+D1549</f>
        <v>507.34943083573489</v>
      </c>
    </row>
    <row r="1551" spans="2:5">
      <c r="D1551" s="264"/>
    </row>
    <row r="1552" spans="2:5">
      <c r="C1552" s="36"/>
    </row>
    <row r="1553" spans="1:13" ht="13.5" thickBot="1">
      <c r="D1553" s="265"/>
    </row>
    <row r="1554" spans="1:13">
      <c r="B1554" s="88" t="s">
        <v>235</v>
      </c>
      <c r="C1554" s="116" t="s">
        <v>58</v>
      </c>
      <c r="D1554" s="116" t="s">
        <v>59</v>
      </c>
    </row>
    <row r="1555" spans="1:13">
      <c r="B1555" s="89">
        <v>2019</v>
      </c>
      <c r="C1555" s="296">
        <v>952023</v>
      </c>
      <c r="D1555" s="291">
        <f t="shared" ref="D1555:D1560" si="26">C1555/$D$1512</f>
        <v>1371.7910662824208</v>
      </c>
      <c r="E1555" s="90"/>
    </row>
    <row r="1556" spans="1:13">
      <c r="B1556" s="89">
        <v>2020</v>
      </c>
      <c r="C1556" s="296">
        <v>214996</v>
      </c>
      <c r="D1556" s="291">
        <f t="shared" si="26"/>
        <v>309.79250720461096</v>
      </c>
      <c r="E1556" s="90"/>
    </row>
    <row r="1557" spans="1:13">
      <c r="B1557" s="89">
        <v>2021</v>
      </c>
      <c r="C1557" s="297">
        <v>239924</v>
      </c>
      <c r="D1557" s="291">
        <f t="shared" si="26"/>
        <v>345.71181556195967</v>
      </c>
      <c r="E1557" s="90"/>
    </row>
    <row r="1558" spans="1:13">
      <c r="B1558" s="89">
        <v>2022</v>
      </c>
      <c r="C1558" s="297">
        <v>145507</v>
      </c>
      <c r="D1558" s="291">
        <f t="shared" si="26"/>
        <v>209.664265129683</v>
      </c>
      <c r="E1558" s="90"/>
    </row>
    <row r="1559" spans="1:13">
      <c r="B1559" s="89">
        <v>2023</v>
      </c>
      <c r="C1559" s="296">
        <v>565301</v>
      </c>
      <c r="D1559" s="291">
        <f t="shared" si="26"/>
        <v>814.55475504322771</v>
      </c>
      <c r="E1559" s="90"/>
    </row>
    <row r="1560" spans="1:13">
      <c r="B1560" s="89" t="s">
        <v>215</v>
      </c>
      <c r="C1560" s="297">
        <v>1539298</v>
      </c>
      <c r="D1560" s="291">
        <f t="shared" si="26"/>
        <v>2218.0086455331411</v>
      </c>
      <c r="E1560" s="90"/>
    </row>
    <row r="1561" spans="1:13" ht="13.5" thickBot="1">
      <c r="B1561" s="91"/>
      <c r="C1561" s="108"/>
      <c r="D1561" s="117"/>
      <c r="E1561" s="90"/>
    </row>
    <row r="1562" spans="1:13">
      <c r="B1562" s="80" t="s">
        <v>44</v>
      </c>
      <c r="C1562" s="121">
        <f>SUM(C1555:C1561)</f>
        <v>3657049</v>
      </c>
      <c r="D1562" s="121">
        <f>SUM(D1555:D1561)</f>
        <v>5269.5230547550436</v>
      </c>
      <c r="E1562" s="90"/>
    </row>
    <row r="1563" spans="1:13">
      <c r="B1563" s="80"/>
      <c r="C1563" s="121"/>
      <c r="D1563" s="121"/>
      <c r="E1563" s="90"/>
    </row>
    <row r="1564" spans="1:13">
      <c r="B1564" s="80"/>
      <c r="C1564" s="121"/>
      <c r="D1564" s="121"/>
      <c r="E1564" s="90"/>
    </row>
    <row r="1565" spans="1:13">
      <c r="B1565" s="80"/>
      <c r="C1565" s="121"/>
      <c r="D1565" s="121"/>
      <c r="E1565" s="90"/>
    </row>
    <row r="1566" spans="1:13">
      <c r="B1566" s="80"/>
      <c r="C1566" s="121"/>
      <c r="D1566" s="121"/>
      <c r="E1566" s="90"/>
    </row>
    <row r="1567" spans="1:13">
      <c r="A1567" s="80" t="s">
        <v>236</v>
      </c>
      <c r="C1567" s="80" t="s">
        <v>231</v>
      </c>
      <c r="D1567" s="292">
        <f>Model!AB382</f>
        <v>657.3</v>
      </c>
      <c r="M1567" s="32"/>
    </row>
    <row r="1568" spans="1:13">
      <c r="M1568" s="32"/>
    </row>
    <row r="1569" spans="1:13">
      <c r="I1569" s="80" t="s">
        <v>8</v>
      </c>
      <c r="M1569" s="32"/>
    </row>
    <row r="1570" spans="1:13">
      <c r="A1570" s="32"/>
      <c r="B1570" s="285" t="s">
        <v>237</v>
      </c>
      <c r="C1570" s="34" t="s">
        <v>4</v>
      </c>
      <c r="D1570" s="34" t="s">
        <v>5</v>
      </c>
      <c r="E1570" s="34" t="s">
        <v>48</v>
      </c>
      <c r="F1570"/>
      <c r="G1570"/>
      <c r="H1570" s="32"/>
      <c r="I1570" s="285" t="s">
        <v>237</v>
      </c>
      <c r="J1570" s="34" t="s">
        <v>4</v>
      </c>
      <c r="K1570" s="34" t="s">
        <v>5</v>
      </c>
      <c r="L1570" s="34" t="s">
        <v>48</v>
      </c>
      <c r="M1570" s="32"/>
    </row>
    <row r="1571" spans="1:13">
      <c r="A1571" s="32"/>
      <c r="B1571" s="111" t="s">
        <v>9</v>
      </c>
      <c r="C1571" s="155">
        <v>1285056.7709999999</v>
      </c>
      <c r="D1571" s="286">
        <f>C1571/$D$1567</f>
        <v>1955.0536604290278</v>
      </c>
      <c r="E1571" s="112"/>
      <c r="F1571"/>
      <c r="G1571"/>
      <c r="H1571" s="32"/>
      <c r="I1571" s="42" t="s">
        <v>10</v>
      </c>
      <c r="J1571" s="45">
        <f>+C1575+C1580</f>
        <v>4208861.9080000008</v>
      </c>
      <c r="K1571" s="45">
        <v>6113</v>
      </c>
      <c r="L1571" s="43">
        <f>J1571/J1575</f>
        <v>3.7860742386495532</v>
      </c>
      <c r="M1571" s="32"/>
    </row>
    <row r="1572" spans="1:13">
      <c r="A1572" s="32"/>
      <c r="B1572" s="111" t="s">
        <v>11</v>
      </c>
      <c r="C1572" s="155">
        <v>67093.627999999997</v>
      </c>
      <c r="D1572" s="286">
        <f t="shared" ref="D1572:D1579" si="27">C1572/$D$1567</f>
        <v>102.07458998935037</v>
      </c>
      <c r="E1572" s="112"/>
      <c r="F1572"/>
      <c r="G1572"/>
      <c r="H1572" s="32"/>
      <c r="I1572" s="41" t="s">
        <v>24</v>
      </c>
      <c r="J1572" s="45">
        <f>206510.514-Model!AB296</f>
        <v>293221.40999999997</v>
      </c>
      <c r="K1572" s="45">
        <f>J1572/$D$1567</f>
        <v>446.09981743496121</v>
      </c>
      <c r="L1572" s="44"/>
      <c r="M1572" s="32"/>
    </row>
    <row r="1573" spans="1:13">
      <c r="A1573" s="32"/>
      <c r="B1573" s="111" t="s">
        <v>13</v>
      </c>
      <c r="C1573" s="155">
        <v>7871.299</v>
      </c>
      <c r="D1573" s="286">
        <f t="shared" si="27"/>
        <v>11.975200060855014</v>
      </c>
      <c r="E1573" s="112"/>
      <c r="F1573"/>
      <c r="G1573"/>
      <c r="H1573" s="32"/>
      <c r="I1573" s="42" t="s">
        <v>14</v>
      </c>
      <c r="J1573" s="45">
        <f>+J1571-J1572</f>
        <v>3915640.4980000006</v>
      </c>
      <c r="K1573" s="45">
        <f>+K1571-K1572</f>
        <v>5666.9001825650384</v>
      </c>
      <c r="L1573" s="43">
        <f>J1573/J1575</f>
        <v>3.522307441142758</v>
      </c>
      <c r="M1573" s="32"/>
    </row>
    <row r="1574" spans="1:13">
      <c r="A1574" s="32"/>
      <c r="B1574" s="111" t="s">
        <v>15</v>
      </c>
      <c r="C1574" s="155">
        <v>14549.634</v>
      </c>
      <c r="D1574" s="286">
        <f t="shared" si="27"/>
        <v>22.135454130534004</v>
      </c>
      <c r="E1574" s="112"/>
      <c r="F1574"/>
      <c r="G1574"/>
      <c r="H1574" s="32"/>
      <c r="I1574" s="32"/>
      <c r="J1574" s="32"/>
      <c r="K1574" s="32"/>
      <c r="L1574" s="32"/>
      <c r="M1574" s="32"/>
    </row>
    <row r="1575" spans="1:13">
      <c r="A1575" s="32"/>
      <c r="B1575" s="109" t="s">
        <v>17</v>
      </c>
      <c r="C1575" s="156">
        <f>SUM(C1571:C1574)</f>
        <v>1374571.3320000002</v>
      </c>
      <c r="D1575" s="156">
        <f>SUM(D1571:D1574)</f>
        <v>2091.2389046097674</v>
      </c>
      <c r="E1575" s="110"/>
      <c r="F1575"/>
      <c r="G1575"/>
      <c r="H1575" s="32"/>
      <c r="I1575" s="84" t="s">
        <v>238</v>
      </c>
      <c r="J1575" s="288">
        <f>C1590</f>
        <v>1111669.1440000001</v>
      </c>
      <c r="K1575" s="289"/>
      <c r="L1575" s="41"/>
      <c r="M1575" s="32"/>
    </row>
    <row r="1576" spans="1:13">
      <c r="A1576" s="32"/>
      <c r="B1576" s="111" t="s">
        <v>18</v>
      </c>
      <c r="C1576" s="155">
        <v>544567.995</v>
      </c>
      <c r="D1576" s="286">
        <f t="shared" si="27"/>
        <v>828.49230944774081</v>
      </c>
      <c r="E1576" s="110"/>
      <c r="F1576"/>
      <c r="G1576"/>
      <c r="H1576" s="32"/>
      <c r="I1576" s="32"/>
      <c r="J1576" s="32"/>
      <c r="K1576" s="32"/>
      <c r="L1576" s="32"/>
      <c r="M1576" s="32"/>
    </row>
    <row r="1577" spans="1:13">
      <c r="A1577" s="32"/>
      <c r="B1577" s="111" t="s">
        <v>19</v>
      </c>
      <c r="C1577" s="155">
        <v>2077334.179</v>
      </c>
      <c r="D1577" s="286">
        <f t="shared" si="27"/>
        <v>3160.4049581621789</v>
      </c>
      <c r="E1577" s="110"/>
      <c r="F1577"/>
      <c r="G1577"/>
      <c r="H1577" s="32"/>
      <c r="I1577" s="32"/>
      <c r="J1577" s="32"/>
      <c r="K1577" s="32"/>
      <c r="L1577" s="32"/>
      <c r="M1577" s="32"/>
    </row>
    <row r="1578" spans="1:13">
      <c r="A1578" s="32"/>
      <c r="B1578" s="111" t="s">
        <v>20</v>
      </c>
      <c r="C1578" s="155">
        <v>63024.025999999998</v>
      </c>
      <c r="D1578" s="286">
        <f t="shared" si="27"/>
        <v>95.883197930929569</v>
      </c>
      <c r="E1578" s="110"/>
      <c r="F1578"/>
      <c r="G1578"/>
      <c r="H1578" s="32"/>
      <c r="I1578" s="32"/>
      <c r="J1578" s="32"/>
      <c r="K1578" s="32"/>
      <c r="L1578" s="32"/>
    </row>
    <row r="1579" spans="1:13">
      <c r="A1579" s="32"/>
      <c r="B1579" s="111" t="s">
        <v>15</v>
      </c>
      <c r="C1579" s="155">
        <v>149364.37599999999</v>
      </c>
      <c r="D1579" s="286">
        <f t="shared" si="27"/>
        <v>227.23927582534611</v>
      </c>
      <c r="E1579" s="110"/>
      <c r="F1579"/>
      <c r="G1579"/>
      <c r="H1579" s="32"/>
      <c r="I1579" s="32"/>
      <c r="J1579" s="32"/>
      <c r="K1579" s="32"/>
      <c r="L1579" s="32"/>
    </row>
    <row r="1580" spans="1:13">
      <c r="A1580" s="32"/>
      <c r="B1580" s="109" t="s">
        <v>22</v>
      </c>
      <c r="C1580" s="156">
        <f>SUM(C1576:C1579)</f>
        <v>2834290.5760000004</v>
      </c>
      <c r="D1580" s="156">
        <f>SUM(D1576:D1579)</f>
        <v>4312.0197413661954</v>
      </c>
      <c r="E1580" s="110"/>
      <c r="F1580"/>
      <c r="G1580"/>
      <c r="H1580" s="32"/>
      <c r="I1580" s="32"/>
      <c r="J1580" s="32"/>
      <c r="K1580" s="32"/>
      <c r="L1580" s="32"/>
    </row>
    <row r="1581" spans="1:13">
      <c r="B1581" s="42" t="s">
        <v>23</v>
      </c>
      <c r="C1581" s="45">
        <f>C1580+C1575</f>
        <v>4208861.9080000008</v>
      </c>
      <c r="D1581" s="45">
        <f>D1580+D1575</f>
        <v>6403.2586459759623</v>
      </c>
      <c r="E1581" s="43">
        <f>+C1581/C1590</f>
        <v>3.7860742386495532</v>
      </c>
      <c r="F1581"/>
      <c r="G1581"/>
    </row>
    <row r="1582" spans="1:13">
      <c r="B1582" s="41" t="s">
        <v>24</v>
      </c>
      <c r="C1582" s="45">
        <f>Model!AB252</f>
        <v>206510.514</v>
      </c>
      <c r="D1582" s="45">
        <f>C1582/$D$1567</f>
        <v>314.18</v>
      </c>
      <c r="E1582" s="44"/>
      <c r="F1582"/>
      <c r="G1582"/>
    </row>
    <row r="1583" spans="1:13">
      <c r="B1583" s="42" t="s">
        <v>14</v>
      </c>
      <c r="C1583" s="45">
        <f>+C1581-C1582</f>
        <v>4002351.3940000008</v>
      </c>
      <c r="D1583" s="45">
        <f>+D1581-D1582</f>
        <v>6089.078645975962</v>
      </c>
      <c r="E1583" s="43">
        <f>+C1583/C1590</f>
        <v>3.6003080733164619</v>
      </c>
      <c r="F1583"/>
      <c r="G1583"/>
    </row>
    <row r="1584" spans="1:13">
      <c r="B1584" s="84"/>
      <c r="C1584" s="84"/>
      <c r="D1584" s="85"/>
      <c r="E1584" s="86"/>
    </row>
    <row r="1585" spans="2:7">
      <c r="B1585" s="41" t="s">
        <v>25</v>
      </c>
      <c r="C1585" s="288">
        <f>Model!AB272</f>
        <v>54723.004999999997</v>
      </c>
      <c r="D1585" s="289">
        <f>C1585/$D$1567</f>
        <v>83.254229423398755</v>
      </c>
      <c r="E1585" s="86"/>
    </row>
    <row r="1586" spans="2:7">
      <c r="B1586" s="41" t="s">
        <v>26</v>
      </c>
      <c r="C1586" s="288">
        <f>Model!AB273</f>
        <v>268730.821</v>
      </c>
      <c r="D1586" s="289">
        <f>C1586/$D$1567</f>
        <v>408.84043967746845</v>
      </c>
      <c r="E1586" s="287"/>
    </row>
    <row r="1587" spans="2:7">
      <c r="B1587" s="42" t="s">
        <v>28</v>
      </c>
      <c r="C1587" s="45">
        <f>C1585+C1586</f>
        <v>323453.826</v>
      </c>
      <c r="D1587" s="45">
        <f>D1585+D1586</f>
        <v>492.09466910086724</v>
      </c>
      <c r="E1587" s="43"/>
    </row>
    <row r="1588" spans="2:7">
      <c r="B1588" s="84" t="s">
        <v>29</v>
      </c>
      <c r="C1588" s="288">
        <f>Model!AB290</f>
        <v>5502158.8439999996</v>
      </c>
      <c r="D1588" s="289">
        <f>C1588/$D$1567</f>
        <v>8370.8486900958469</v>
      </c>
      <c r="E1588" s="86"/>
    </row>
    <row r="1589" spans="2:7">
      <c r="B1589" s="84" t="s">
        <v>30</v>
      </c>
      <c r="C1589" s="288">
        <f>C1588+C1581+C1587</f>
        <v>10034474.578</v>
      </c>
      <c r="D1589" s="289">
        <f>D1588+D1581+D1587</f>
        <v>15266.202005172676</v>
      </c>
      <c r="E1589" s="86"/>
    </row>
    <row r="1590" spans="2:7">
      <c r="B1590" s="84" t="s">
        <v>238</v>
      </c>
      <c r="C1590" s="288">
        <f>Model!AB204</f>
        <v>1111669.1440000001</v>
      </c>
      <c r="D1590" s="289"/>
      <c r="E1590" s="41"/>
      <c r="F1590" s="164"/>
      <c r="G1590" s="164"/>
    </row>
    <row r="1591" spans="2:7">
      <c r="F1591" s="164"/>
      <c r="G1591" s="164"/>
    </row>
    <row r="1592" spans="2:7">
      <c r="B1592" s="176" t="s">
        <v>32</v>
      </c>
      <c r="C1592" s="274">
        <f>C1581-(Model!AB260)</f>
        <v>0</v>
      </c>
      <c r="D1592" s="274">
        <f>D1581-(Model!AB260/D1567)</f>
        <v>0</v>
      </c>
    </row>
    <row r="1593" spans="2:7">
      <c r="B1593" s="176"/>
      <c r="C1593" s="176"/>
      <c r="D1593" s="177"/>
    </row>
    <row r="1594" spans="2:7">
      <c r="B1594" s="33" t="s">
        <v>239</v>
      </c>
      <c r="C1594" s="290">
        <f>Model!AB289</f>
        <v>12789371</v>
      </c>
      <c r="D1594" s="237"/>
    </row>
    <row r="1595" spans="2:7">
      <c r="B1595" s="33" t="s">
        <v>34</v>
      </c>
      <c r="C1595" s="290">
        <f>+Model!AB283+Capitalisation!C1594</f>
        <v>17250791.409000002</v>
      </c>
      <c r="D1595" s="165"/>
    </row>
    <row r="1596" spans="2:7">
      <c r="B1596" s="238" t="s">
        <v>35</v>
      </c>
      <c r="C1596" s="43">
        <f>C1595/C1598</f>
        <v>13.927855732603899</v>
      </c>
      <c r="D1596" s="43"/>
    </row>
    <row r="1598" spans="2:7">
      <c r="B1598" s="33" t="s">
        <v>36</v>
      </c>
      <c r="C1598" s="290">
        <f>Model!AB223</f>
        <v>1238582</v>
      </c>
      <c r="D1598" s="237"/>
    </row>
    <row r="1601" spans="2:5" ht="13.5" thickBot="1"/>
    <row r="1602" spans="2:5">
      <c r="B1602" s="267" t="s">
        <v>228</v>
      </c>
      <c r="C1602" s="278" t="s">
        <v>38</v>
      </c>
      <c r="D1602" s="279" t="s">
        <v>5</v>
      </c>
      <c r="E1602" s="113"/>
    </row>
    <row r="1603" spans="2:5">
      <c r="B1603" s="268" t="s">
        <v>39</v>
      </c>
      <c r="C1603" s="269">
        <v>0</v>
      </c>
      <c r="D1603" s="270">
        <v>0</v>
      </c>
      <c r="E1603" s="113"/>
    </row>
    <row r="1604" spans="2:5">
      <c r="B1604" s="104" t="s">
        <v>40</v>
      </c>
      <c r="C1604" s="243">
        <f>C1582</f>
        <v>206510.514</v>
      </c>
      <c r="D1604" s="266">
        <f>D1582</f>
        <v>314.18</v>
      </c>
    </row>
    <row r="1605" spans="2:5" ht="13.5" thickBot="1">
      <c r="B1605" s="271" t="s">
        <v>41</v>
      </c>
      <c r="C1605" s="272">
        <f>C1603+C1604</f>
        <v>206510.514</v>
      </c>
      <c r="D1605" s="273">
        <f>D1603+D1604</f>
        <v>314.18</v>
      </c>
    </row>
    <row r="1606" spans="2:5">
      <c r="D1606" s="264"/>
    </row>
    <row r="1607" spans="2:5">
      <c r="C1607" s="36"/>
    </row>
    <row r="1608" spans="2:5" ht="13.5" thickBot="1">
      <c r="D1608" s="265"/>
    </row>
    <row r="1609" spans="2:5">
      <c r="B1609" s="88" t="s">
        <v>240</v>
      </c>
      <c r="C1609" s="116" t="s">
        <v>58</v>
      </c>
      <c r="D1609" s="116" t="s">
        <v>59</v>
      </c>
    </row>
    <row r="1610" spans="2:5">
      <c r="B1610" s="89">
        <v>2018</v>
      </c>
      <c r="C1610" s="276">
        <v>727009</v>
      </c>
      <c r="D1610" s="291">
        <f t="shared" ref="D1610:D1615" si="28">C1610/$D$1567</f>
        <v>1106.05355241138</v>
      </c>
      <c r="E1610" s="90"/>
    </row>
    <row r="1611" spans="2:5">
      <c r="B1611" s="89">
        <v>2019</v>
      </c>
      <c r="C1611" s="276">
        <v>662816</v>
      </c>
      <c r="D1611" s="291">
        <f t="shared" si="28"/>
        <v>1008.3919062832802</v>
      </c>
      <c r="E1611" s="90"/>
    </row>
    <row r="1612" spans="2:5">
      <c r="B1612" s="89">
        <v>2020</v>
      </c>
      <c r="C1612" s="277">
        <v>213684</v>
      </c>
      <c r="D1612" s="291">
        <f t="shared" si="28"/>
        <v>325.0935645823825</v>
      </c>
      <c r="E1612" s="90"/>
    </row>
    <row r="1613" spans="2:5">
      <c r="B1613" s="89">
        <v>2021</v>
      </c>
      <c r="C1613" s="277">
        <v>234934</v>
      </c>
      <c r="D1613" s="291">
        <f t="shared" si="28"/>
        <v>357.42279020234292</v>
      </c>
      <c r="E1613" s="90"/>
    </row>
    <row r="1614" spans="2:5">
      <c r="B1614" s="89">
        <v>2012</v>
      </c>
      <c r="C1614" s="276">
        <v>145682</v>
      </c>
      <c r="D1614" s="291">
        <f t="shared" si="28"/>
        <v>221.63699984786248</v>
      </c>
      <c r="E1614" s="90"/>
    </row>
    <row r="1615" spans="2:5">
      <c r="B1615" s="89" t="s">
        <v>241</v>
      </c>
      <c r="C1615" s="277">
        <v>2052871</v>
      </c>
      <c r="D1615" s="291">
        <f t="shared" si="28"/>
        <v>3123.1872813022974</v>
      </c>
      <c r="E1615" s="90"/>
    </row>
    <row r="1616" spans="2:5" ht="13.5" thickBot="1">
      <c r="B1616" s="91"/>
      <c r="C1616" s="108"/>
      <c r="D1616" s="117"/>
      <c r="E1616" s="90"/>
    </row>
    <row r="1617" spans="1:12">
      <c r="B1617" s="80" t="s">
        <v>44</v>
      </c>
      <c r="C1617" s="121">
        <f>SUM(C1610:C1616)</f>
        <v>4036996</v>
      </c>
      <c r="D1617" s="121">
        <f>SUM(D1610:D1616)</f>
        <v>6141.7860946295459</v>
      </c>
      <c r="E1617" s="90"/>
    </row>
    <row r="1618" spans="1:12">
      <c r="B1618" s="80"/>
      <c r="C1618" s="121"/>
      <c r="D1618" s="284"/>
      <c r="E1618" s="90"/>
    </row>
    <row r="1619" spans="1:12">
      <c r="A1619" s="80" t="s">
        <v>242</v>
      </c>
      <c r="C1619" s="33" t="s">
        <v>231</v>
      </c>
      <c r="D1619" s="164">
        <f>Model!AA382</f>
        <v>654.5</v>
      </c>
    </row>
    <row r="1621" spans="1:12">
      <c r="A1621" s="32"/>
      <c r="B1621" s="31" t="s">
        <v>5</v>
      </c>
      <c r="C1621" s="65" t="s">
        <v>243</v>
      </c>
      <c r="D1621" s="34" t="s">
        <v>48</v>
      </c>
      <c r="E1621"/>
      <c r="F1621" s="32"/>
      <c r="G1621" s="32"/>
      <c r="H1621" s="32"/>
      <c r="I1621" s="32"/>
      <c r="J1621" s="32"/>
      <c r="K1621" s="32"/>
      <c r="L1621" s="32"/>
    </row>
    <row r="1622" spans="1:12">
      <c r="A1622" s="32"/>
      <c r="B1622" s="111" t="s">
        <v>9</v>
      </c>
      <c r="C1622" s="155">
        <f>1039058.065/D1619</f>
        <v>1587.5600687547746</v>
      </c>
      <c r="D1622" s="112"/>
      <c r="E1622"/>
      <c r="F1622" s="32"/>
      <c r="G1622" s="32"/>
      <c r="H1622" s="32"/>
      <c r="I1622" s="32"/>
      <c r="J1622" s="32"/>
      <c r="K1622" s="32"/>
      <c r="L1622" s="32"/>
    </row>
    <row r="1623" spans="1:12">
      <c r="A1623" s="32"/>
      <c r="B1623" s="111" t="s">
        <v>11</v>
      </c>
      <c r="C1623" s="155">
        <f>62038.7/D1619</f>
        <v>94.787929717341484</v>
      </c>
      <c r="D1623" s="112"/>
      <c r="E1623"/>
      <c r="F1623" s="32"/>
      <c r="G1623" s="32"/>
      <c r="H1623" s="32"/>
      <c r="I1623" s="32"/>
      <c r="J1623" s="32"/>
      <c r="K1623" s="32"/>
      <c r="L1623" s="32"/>
    </row>
    <row r="1624" spans="1:12">
      <c r="A1624" s="32"/>
      <c r="B1624" s="111" t="s">
        <v>13</v>
      </c>
      <c r="C1624" s="155">
        <f>7533.127/D1619</f>
        <v>11.509743315508022</v>
      </c>
      <c r="D1624" s="112"/>
      <c r="E1624"/>
      <c r="F1624" s="32"/>
      <c r="G1624" s="32"/>
      <c r="H1624" s="32"/>
      <c r="I1624" s="32"/>
      <c r="J1624" s="32"/>
      <c r="K1624" s="32"/>
      <c r="L1624" s="32"/>
    </row>
    <row r="1625" spans="1:12">
      <c r="A1625" s="32"/>
      <c r="B1625" s="111" t="s">
        <v>15</v>
      </c>
      <c r="C1625" s="155">
        <f>11582.189/D1619</f>
        <v>17.69623987776929</v>
      </c>
      <c r="D1625" s="112"/>
      <c r="E1625"/>
      <c r="F1625" s="32"/>
      <c r="G1625" s="32"/>
      <c r="H1625" s="32"/>
      <c r="I1625" s="32"/>
      <c r="J1625" s="32"/>
      <c r="K1625" s="32"/>
      <c r="L1625" s="32"/>
    </row>
    <row r="1626" spans="1:12">
      <c r="A1626" s="32"/>
      <c r="B1626" s="109" t="s">
        <v>17</v>
      </c>
      <c r="C1626" s="156">
        <f>SUM(C1622:C1625)</f>
        <v>1711.5539816653936</v>
      </c>
      <c r="D1626" s="110"/>
      <c r="E1626"/>
      <c r="F1626" s="32"/>
      <c r="G1626" s="32"/>
      <c r="H1626" s="32"/>
      <c r="I1626" s="32"/>
      <c r="J1626" s="32"/>
      <c r="K1626" s="32"/>
      <c r="L1626" s="32"/>
    </row>
    <row r="1627" spans="1:12">
      <c r="A1627" s="32"/>
      <c r="B1627" s="111" t="s">
        <v>18</v>
      </c>
      <c r="C1627" s="155">
        <f>629423.645/D1619</f>
        <v>961.68624140565316</v>
      </c>
      <c r="D1627" s="110"/>
      <c r="E1627"/>
      <c r="F1627" s="32"/>
      <c r="G1627" s="32"/>
      <c r="H1627" s="32"/>
      <c r="I1627" s="32"/>
      <c r="J1627" s="32"/>
      <c r="K1627" s="32"/>
      <c r="L1627" s="32"/>
    </row>
    <row r="1628" spans="1:12">
      <c r="A1628" s="32"/>
      <c r="B1628" s="111" t="s">
        <v>19</v>
      </c>
      <c r="C1628" s="155">
        <f>2074489.384/D1619</f>
        <v>3169.5788907563028</v>
      </c>
      <c r="D1628" s="110"/>
      <c r="E1628"/>
      <c r="F1628" s="32"/>
      <c r="G1628" s="32"/>
      <c r="H1628" s="32"/>
      <c r="I1628" s="32"/>
      <c r="J1628" s="32"/>
      <c r="K1628" s="32"/>
      <c r="L1628" s="32"/>
    </row>
    <row r="1629" spans="1:12">
      <c r="A1629" s="32"/>
      <c r="B1629" s="111" t="s">
        <v>20</v>
      </c>
      <c r="C1629" s="155">
        <f>63981.833/D1619</f>
        <v>97.756811306340722</v>
      </c>
      <c r="D1629" s="110"/>
      <c r="E1629"/>
      <c r="F1629" s="32"/>
      <c r="G1629" s="32"/>
      <c r="H1629" s="32"/>
      <c r="I1629" s="32"/>
      <c r="J1629" s="32"/>
      <c r="K1629" s="32"/>
      <c r="L1629" s="32"/>
    </row>
    <row r="1630" spans="1:12">
      <c r="A1630" s="32"/>
      <c r="B1630" s="111" t="s">
        <v>15</v>
      </c>
      <c r="C1630" s="155">
        <f>143933.794/D1619</f>
        <v>219.91412375859434</v>
      </c>
      <c r="D1630" s="110"/>
      <c r="E1630"/>
      <c r="F1630" s="32"/>
      <c r="G1630" s="32"/>
      <c r="H1630" s="32"/>
      <c r="I1630" s="32"/>
      <c r="J1630" s="32"/>
      <c r="K1630" s="32"/>
      <c r="L1630" s="32"/>
    </row>
    <row r="1631" spans="1:12">
      <c r="A1631" s="32"/>
      <c r="B1631" s="109" t="s">
        <v>22</v>
      </c>
      <c r="C1631" s="156">
        <f>SUM(C1627:C1630)</f>
        <v>4448.9360672268913</v>
      </c>
      <c r="D1631" s="110"/>
      <c r="E1631"/>
      <c r="F1631" s="32"/>
      <c r="G1631" s="32"/>
      <c r="H1631" s="32"/>
      <c r="I1631" s="32"/>
      <c r="J1631" s="32"/>
      <c r="K1631" s="32"/>
      <c r="L1631" s="32"/>
    </row>
    <row r="1632" spans="1:12">
      <c r="B1632" s="42" t="s">
        <v>23</v>
      </c>
      <c r="C1632" s="45">
        <f>C1631+C1626</f>
        <v>6160.4900488922849</v>
      </c>
      <c r="D1632" s="43">
        <f>+C1632/C1641</f>
        <v>3.6625504778062208</v>
      </c>
      <c r="E1632"/>
    </row>
    <row r="1633" spans="2:5">
      <c r="B1633" s="41" t="s">
        <v>24</v>
      </c>
      <c r="C1633" s="158">
        <f>Model!AA252/Capitalisation!D1619</f>
        <v>325.99388235294117</v>
      </c>
      <c r="D1633" s="44"/>
      <c r="E1633"/>
    </row>
    <row r="1634" spans="2:5">
      <c r="B1634" s="42" t="s">
        <v>14</v>
      </c>
      <c r="C1634" s="45">
        <f>+C1632-C1633</f>
        <v>5834.4961665393439</v>
      </c>
      <c r="D1634" s="43">
        <f>+C1634/C1641</f>
        <v>3.4687397516955025</v>
      </c>
      <c r="E1634"/>
    </row>
    <row r="1635" spans="2:5">
      <c r="B1635" s="84"/>
      <c r="C1635" s="85"/>
      <c r="D1635" s="86"/>
    </row>
    <row r="1636" spans="2:5">
      <c r="B1636" s="41" t="s">
        <v>25</v>
      </c>
      <c r="C1636" s="157">
        <f>Model!AA272/Capitalisation!D1619</f>
        <v>138.00317799847213</v>
      </c>
      <c r="D1636" s="86"/>
    </row>
    <row r="1637" spans="2:5">
      <c r="B1637" s="41" t="s">
        <v>26</v>
      </c>
      <c r="C1637" s="157">
        <f>Model!AA273/Capitalisation!D1619</f>
        <v>414.4458548510313</v>
      </c>
      <c r="D1637" s="86"/>
    </row>
    <row r="1638" spans="2:5">
      <c r="B1638" s="42" t="s">
        <v>28</v>
      </c>
      <c r="C1638" s="45">
        <f>C1636+C1637</f>
        <v>552.4490328495034</v>
      </c>
      <c r="D1638" s="43"/>
    </row>
    <row r="1639" spans="2:5">
      <c r="B1639" s="84" t="s">
        <v>29</v>
      </c>
      <c r="C1639" s="85">
        <f>Model!AA290/Capitalisation!D1619</f>
        <v>8360.8230313216191</v>
      </c>
      <c r="D1639" s="86"/>
    </row>
    <row r="1640" spans="2:5">
      <c r="B1640" s="84" t="s">
        <v>30</v>
      </c>
      <c r="C1640" s="85">
        <f>C1639+C1632+C1638</f>
        <v>15073.762113063407</v>
      </c>
      <c r="D1640" s="86"/>
    </row>
    <row r="1641" spans="2:5">
      <c r="B1641" s="84" t="s">
        <v>244</v>
      </c>
      <c r="C1641" s="55">
        <f>Model!AA204/D1619</f>
        <v>1682.0218823529415</v>
      </c>
      <c r="D1641" s="41"/>
      <c r="E1641" s="164"/>
    </row>
    <row r="1642" spans="2:5">
      <c r="E1642" s="164"/>
    </row>
    <row r="1643" spans="2:5">
      <c r="B1643" s="176" t="s">
        <v>32</v>
      </c>
      <c r="C1643" s="274">
        <f>C1632-(Model!AA260/D1619)</f>
        <v>0</v>
      </c>
    </row>
    <row r="1644" spans="2:5">
      <c r="B1644" s="176"/>
      <c r="C1644" s="177"/>
    </row>
    <row r="1645" spans="2:5">
      <c r="B1645" s="33" t="s">
        <v>245</v>
      </c>
      <c r="C1645" s="237">
        <f>Model!AA289/Capitalisation!D1619</f>
        <v>23066.698395721924</v>
      </c>
    </row>
    <row r="1646" spans="2:5">
      <c r="B1646" s="33" t="s">
        <v>34</v>
      </c>
      <c r="C1646" s="165">
        <f>(Model!AA283/Capitalisation!D1619)+Capitalisation!C1645</f>
        <v>29670.370922841863</v>
      </c>
    </row>
    <row r="1647" spans="2:5">
      <c r="B1647" s="238" t="s">
        <v>35</v>
      </c>
      <c r="C1647" s="43">
        <f>C1646/C1649</f>
        <v>15.70587146169667</v>
      </c>
    </row>
    <row r="1649" spans="2:5">
      <c r="B1649" s="33" t="s">
        <v>36</v>
      </c>
      <c r="C1649" s="237">
        <f>Model!AA223/Capitalisation!D1619</f>
        <v>1889.126050420168</v>
      </c>
    </row>
    <row r="1652" spans="2:5" ht="13.5" thickBot="1"/>
    <row r="1653" spans="2:5">
      <c r="B1653" s="267" t="s">
        <v>228</v>
      </c>
      <c r="C1653" s="278" t="s">
        <v>38</v>
      </c>
      <c r="D1653" s="279" t="s">
        <v>5</v>
      </c>
      <c r="E1653" s="113"/>
    </row>
    <row r="1654" spans="2:5">
      <c r="B1654" s="268" t="s">
        <v>39</v>
      </c>
      <c r="C1654" s="269">
        <v>0</v>
      </c>
      <c r="D1654" s="270">
        <v>0</v>
      </c>
      <c r="E1654" s="113"/>
    </row>
    <row r="1655" spans="2:5">
      <c r="B1655" s="104" t="s">
        <v>40</v>
      </c>
      <c r="C1655" s="243">
        <f>Model!AA252</f>
        <v>213362.99600000001</v>
      </c>
      <c r="D1655" s="266">
        <f>C1633</f>
        <v>325.99388235294117</v>
      </c>
    </row>
    <row r="1656" spans="2:5" ht="13.5" thickBot="1">
      <c r="B1656" s="271" t="s">
        <v>41</v>
      </c>
      <c r="C1656" s="272">
        <f>C1654+C1655</f>
        <v>213362.99600000001</v>
      </c>
      <c r="D1656" s="273">
        <f>D1654+D1655</f>
        <v>325.99388235294117</v>
      </c>
    </row>
    <row r="1657" spans="2:5">
      <c r="D1657" s="264"/>
    </row>
    <row r="1658" spans="2:5">
      <c r="C1658" s="36"/>
    </row>
    <row r="1659" spans="2:5" ht="13.5" thickBot="1">
      <c r="D1659" s="265"/>
    </row>
    <row r="1660" spans="2:5">
      <c r="B1660" s="88" t="s">
        <v>246</v>
      </c>
      <c r="C1660" s="275" t="s">
        <v>247</v>
      </c>
      <c r="D1660" s="116"/>
    </row>
    <row r="1661" spans="2:5">
      <c r="B1661" s="89">
        <v>2018</v>
      </c>
      <c r="C1661" s="276">
        <v>758353</v>
      </c>
      <c r="D1661" s="115"/>
      <c r="E1661" s="90"/>
    </row>
    <row r="1662" spans="2:5">
      <c r="B1662" s="89">
        <v>2019</v>
      </c>
      <c r="C1662" s="276">
        <v>513856</v>
      </c>
      <c r="D1662" s="115"/>
      <c r="E1662" s="90"/>
    </row>
    <row r="1663" spans="2:5">
      <c r="B1663" s="89">
        <v>2020</v>
      </c>
      <c r="C1663" s="277">
        <v>214802</v>
      </c>
      <c r="D1663" s="115"/>
      <c r="E1663" s="90"/>
    </row>
    <row r="1664" spans="2:5">
      <c r="B1664" s="89">
        <v>2021</v>
      </c>
      <c r="C1664" s="277">
        <v>226736</v>
      </c>
      <c r="D1664" s="115"/>
      <c r="E1664" s="90"/>
    </row>
    <row r="1665" spans="1:12">
      <c r="B1665" s="89">
        <v>2012</v>
      </c>
      <c r="C1665" s="276">
        <v>144593</v>
      </c>
      <c r="D1665" s="115"/>
      <c r="E1665" s="90"/>
    </row>
    <row r="1666" spans="1:12">
      <c r="B1666" s="89" t="s">
        <v>241</v>
      </c>
      <c r="C1666" s="277">
        <v>2030438</v>
      </c>
      <c r="D1666" s="115"/>
      <c r="E1666" s="90"/>
    </row>
    <row r="1667" spans="1:12" ht="13.5" thickBot="1">
      <c r="B1667" s="91"/>
      <c r="C1667" s="108"/>
      <c r="D1667" s="117"/>
      <c r="E1667" s="90"/>
    </row>
    <row r="1668" spans="1:12">
      <c r="B1668" s="80" t="s">
        <v>44</v>
      </c>
      <c r="C1668" s="121">
        <f>SUM(C1661:C1667)</f>
        <v>3888778</v>
      </c>
      <c r="D1668" s="118"/>
      <c r="E1668" s="90"/>
    </row>
    <row r="1670" spans="1:12">
      <c r="A1670" s="33" t="s">
        <v>248</v>
      </c>
    </row>
    <row r="1671" spans="1:12">
      <c r="C1671" s="33" t="s">
        <v>231</v>
      </c>
      <c r="D1671" s="164">
        <f>Model!X382</f>
        <v>639.29999999999995</v>
      </c>
    </row>
    <row r="1673" spans="1:12">
      <c r="A1673" s="32"/>
      <c r="B1673" s="31" t="s">
        <v>5</v>
      </c>
      <c r="C1673" s="65" t="s">
        <v>249</v>
      </c>
      <c r="D1673" s="34" t="s">
        <v>48</v>
      </c>
      <c r="E1673"/>
      <c r="F1673" s="32"/>
      <c r="G1673" s="32"/>
      <c r="H1673" s="32"/>
      <c r="I1673" s="32"/>
      <c r="J1673" s="32"/>
      <c r="K1673" s="32"/>
      <c r="L1673" s="32"/>
    </row>
    <row r="1674" spans="1:12">
      <c r="A1674" s="32"/>
      <c r="B1674" s="111" t="s">
        <v>9</v>
      </c>
      <c r="C1674" s="155">
        <f>969741.185/D1671</f>
        <v>1516.8796887220399</v>
      </c>
      <c r="D1674" s="112"/>
      <c r="E1674"/>
      <c r="F1674" s="32"/>
      <c r="G1674" s="32"/>
      <c r="H1674" s="32"/>
      <c r="I1674" s="32"/>
      <c r="J1674" s="32"/>
      <c r="K1674" s="32"/>
      <c r="L1674" s="32"/>
    </row>
    <row r="1675" spans="1:12">
      <c r="A1675" s="32"/>
      <c r="B1675" s="111" t="s">
        <v>11</v>
      </c>
      <c r="C1675" s="155">
        <f>97645.385/D1671</f>
        <v>152.73797121852027</v>
      </c>
      <c r="D1675" s="112"/>
      <c r="E1675"/>
      <c r="F1675" s="32"/>
      <c r="G1675" s="32"/>
      <c r="H1675" s="32"/>
      <c r="I1675" s="32"/>
      <c r="J1675" s="32"/>
      <c r="K1675" s="32"/>
      <c r="L1675" s="32"/>
    </row>
    <row r="1676" spans="1:12">
      <c r="A1676" s="32"/>
      <c r="B1676" s="111" t="s">
        <v>13</v>
      </c>
      <c r="C1676" s="155">
        <f>13012.431/D1671</f>
        <v>20.354185828249651</v>
      </c>
      <c r="D1676" s="112"/>
      <c r="E1676"/>
      <c r="F1676" s="32"/>
      <c r="G1676" s="32"/>
      <c r="H1676" s="32"/>
      <c r="I1676" s="32"/>
      <c r="J1676" s="32"/>
      <c r="K1676" s="32"/>
      <c r="L1676" s="32"/>
    </row>
    <row r="1677" spans="1:12">
      <c r="A1677" s="32"/>
      <c r="B1677" s="111" t="s">
        <v>15</v>
      </c>
      <c r="C1677" s="155">
        <f>15156.662/D1671</f>
        <v>23.708215235413736</v>
      </c>
      <c r="D1677" s="112"/>
      <c r="E1677"/>
      <c r="F1677" s="32"/>
      <c r="G1677" s="32"/>
      <c r="H1677" s="32"/>
      <c r="I1677" s="32"/>
      <c r="J1677" s="32"/>
      <c r="K1677" s="32"/>
      <c r="L1677" s="32"/>
    </row>
    <row r="1678" spans="1:12">
      <c r="A1678" s="32"/>
      <c r="B1678" s="109" t="s">
        <v>17</v>
      </c>
      <c r="C1678" s="156">
        <f>SUM(C1674:C1677)</f>
        <v>1713.6800610042235</v>
      </c>
      <c r="D1678" s="110"/>
      <c r="E1678"/>
      <c r="F1678" s="32"/>
      <c r="G1678" s="32"/>
      <c r="H1678" s="32"/>
      <c r="I1678" s="32"/>
      <c r="J1678" s="32"/>
      <c r="K1678" s="32"/>
      <c r="L1678" s="32"/>
    </row>
    <row r="1679" spans="1:12">
      <c r="A1679" s="32"/>
      <c r="B1679" s="111" t="s">
        <v>18</v>
      </c>
      <c r="C1679" s="155">
        <f>785240.276/D1671</f>
        <v>1228.2813639918661</v>
      </c>
      <c r="D1679" s="110"/>
      <c r="E1679"/>
      <c r="F1679" s="32"/>
      <c r="G1679" s="32"/>
      <c r="H1679" s="32"/>
      <c r="I1679" s="32"/>
      <c r="J1679" s="32"/>
      <c r="K1679" s="32"/>
      <c r="L1679" s="32"/>
    </row>
    <row r="1680" spans="1:12">
      <c r="A1680" s="32"/>
      <c r="B1680" s="111" t="s">
        <v>19</v>
      </c>
      <c r="C1680" s="155">
        <f>1797267.109/D1671</f>
        <v>2811.3047223525732</v>
      </c>
      <c r="D1680" s="110"/>
      <c r="E1680"/>
      <c r="F1680" s="32"/>
      <c r="G1680" s="32"/>
      <c r="H1680" s="32"/>
      <c r="I1680" s="32"/>
      <c r="J1680" s="32"/>
      <c r="K1680" s="32"/>
      <c r="L1680" s="32"/>
    </row>
    <row r="1681" spans="1:12">
      <c r="A1681" s="32"/>
      <c r="B1681" s="111" t="s">
        <v>20</v>
      </c>
      <c r="C1681" s="155">
        <f>80270.368/D1671</f>
        <v>125.55978101048022</v>
      </c>
      <c r="D1681" s="110"/>
      <c r="E1681"/>
      <c r="F1681" s="32"/>
      <c r="G1681" s="32"/>
      <c r="H1681" s="32"/>
      <c r="I1681" s="32"/>
      <c r="J1681" s="32"/>
      <c r="K1681" s="32"/>
      <c r="L1681" s="32"/>
    </row>
    <row r="1682" spans="1:12">
      <c r="A1682" s="32"/>
      <c r="B1682" s="111" t="s">
        <v>15</v>
      </c>
      <c r="C1682" s="155">
        <f>105877.966/D1671</f>
        <v>165.6154637885187</v>
      </c>
      <c r="D1682" s="110"/>
      <c r="E1682"/>
      <c r="F1682" s="32"/>
      <c r="G1682" s="32"/>
      <c r="H1682" s="32"/>
      <c r="I1682" s="32"/>
      <c r="J1682" s="32"/>
      <c r="K1682" s="32"/>
      <c r="L1682" s="32"/>
    </row>
    <row r="1683" spans="1:12">
      <c r="A1683" s="32"/>
      <c r="B1683" s="109" t="s">
        <v>22</v>
      </c>
      <c r="C1683" s="156">
        <f>SUM(C1679:C1682)</f>
        <v>4330.7613311434379</v>
      </c>
      <c r="D1683" s="110"/>
      <c r="E1683"/>
      <c r="F1683" s="32"/>
      <c r="G1683" s="32"/>
      <c r="H1683" s="32"/>
      <c r="I1683" s="32"/>
      <c r="J1683" s="32"/>
      <c r="K1683" s="32"/>
      <c r="L1683" s="32"/>
    </row>
    <row r="1684" spans="1:12">
      <c r="B1684" s="42" t="s">
        <v>23</v>
      </c>
      <c r="C1684" s="45">
        <f>C1683+C1678</f>
        <v>6044.4413921476616</v>
      </c>
      <c r="D1684" s="43">
        <f>+C1684/C1693</f>
        <v>3.6306468456068757</v>
      </c>
      <c r="E1684"/>
    </row>
    <row r="1685" spans="1:12">
      <c r="B1685" s="41" t="s">
        <v>24</v>
      </c>
      <c r="C1685" s="158">
        <f>Model!X252/Capitalisation!D1671</f>
        <v>326.82254809948381</v>
      </c>
      <c r="D1685" s="44"/>
      <c r="E1685"/>
    </row>
    <row r="1686" spans="1:12">
      <c r="B1686" s="42" t="s">
        <v>14</v>
      </c>
      <c r="C1686" s="45">
        <f>+C1684-C1685</f>
        <v>5717.6188440481783</v>
      </c>
      <c r="D1686" s="43">
        <f>+C1686/C1693</f>
        <v>3.4343380097114573</v>
      </c>
      <c r="E1686"/>
    </row>
    <row r="1687" spans="1:12">
      <c r="B1687" s="84"/>
      <c r="C1687" s="85"/>
      <c r="D1687" s="86"/>
    </row>
    <row r="1688" spans="1:12">
      <c r="B1688" s="41" t="s">
        <v>25</v>
      </c>
      <c r="C1688" s="157">
        <f>Model!X272/Capitalisation!D1671</f>
        <v>74.332136712028799</v>
      </c>
      <c r="D1688" s="86"/>
    </row>
    <row r="1689" spans="1:12">
      <c r="B1689" s="41" t="s">
        <v>26</v>
      </c>
      <c r="C1689" s="157">
        <f>Model!X273/Capitalisation!D1671</f>
        <v>384.69460660096979</v>
      </c>
      <c r="D1689" s="86"/>
    </row>
    <row r="1690" spans="1:12">
      <c r="B1690" s="42" t="s">
        <v>28</v>
      </c>
      <c r="C1690" s="45">
        <f>C1688+C1689</f>
        <v>459.02674331299858</v>
      </c>
      <c r="D1690" s="43"/>
    </row>
    <row r="1691" spans="1:12">
      <c r="B1691" s="84" t="s">
        <v>29</v>
      </c>
      <c r="C1691" s="85">
        <f>Model!X290/Capitalisation!D1671</f>
        <v>8347.7790880650718</v>
      </c>
      <c r="D1691" s="86"/>
    </row>
    <row r="1692" spans="1:12">
      <c r="B1692" s="84" t="s">
        <v>30</v>
      </c>
      <c r="C1692" s="85">
        <f>C1691+C1684+C1690</f>
        <v>14851.247223525734</v>
      </c>
      <c r="D1692" s="86"/>
    </row>
    <row r="1693" spans="1:12">
      <c r="B1693" s="84" t="s">
        <v>250</v>
      </c>
      <c r="C1693" s="55">
        <f>Model!X204/D1671</f>
        <v>1664.8387048334114</v>
      </c>
      <c r="D1693" s="41"/>
    </row>
    <row r="1695" spans="1:12">
      <c r="B1695" s="176" t="s">
        <v>32</v>
      </c>
      <c r="C1695" s="177">
        <f>C1684-Model!X260/637.93</f>
        <v>-12.980867347894673</v>
      </c>
    </row>
    <row r="1696" spans="1:12">
      <c r="B1696" s="176"/>
      <c r="C1696" s="177"/>
    </row>
    <row r="1697" spans="2:5">
      <c r="B1697" s="33" t="s">
        <v>251</v>
      </c>
      <c r="C1697" s="237">
        <f>Model!X289/Capitalisation!D1671</f>
        <v>23769.259659002033</v>
      </c>
    </row>
    <row r="1698" spans="2:5">
      <c r="B1698" s="33" t="s">
        <v>34</v>
      </c>
      <c r="C1698" s="165">
        <f>(Model!X283/Capitalisation!D1671)+Capitalisation!C1697</f>
        <v>30126.813827623962</v>
      </c>
    </row>
    <row r="1699" spans="2:5">
      <c r="B1699" s="238" t="s">
        <v>35</v>
      </c>
      <c r="C1699" s="43">
        <f>C1698/C1701</f>
        <v>16.148579860968457</v>
      </c>
    </row>
    <row r="1701" spans="2:5">
      <c r="B1701" s="33" t="s">
        <v>36</v>
      </c>
      <c r="C1701" s="237">
        <f>Model!X223/Capitalisation!D1671</f>
        <v>1865.6014390739872</v>
      </c>
    </row>
    <row r="1704" spans="2:5" ht="13.5" thickBot="1"/>
    <row r="1705" spans="2:5">
      <c r="B1705" s="102" t="s">
        <v>228</v>
      </c>
      <c r="C1705" s="103" t="s">
        <v>38</v>
      </c>
      <c r="D1705" s="114" t="s">
        <v>5</v>
      </c>
      <c r="E1705" s="113"/>
    </row>
    <row r="1706" spans="2:5">
      <c r="B1706" s="104" t="s">
        <v>39</v>
      </c>
      <c r="C1706" s="243">
        <v>0</v>
      </c>
      <c r="D1706" s="243">
        <v>0</v>
      </c>
      <c r="E1706" s="113"/>
    </row>
    <row r="1707" spans="2:5">
      <c r="B1707" s="104" t="s">
        <v>40</v>
      </c>
      <c r="C1707" s="243">
        <f>Model!X252</f>
        <v>208937.655</v>
      </c>
      <c r="D1707" s="243">
        <f>C1685</f>
        <v>326.82254809948381</v>
      </c>
    </row>
    <row r="1708" spans="2:5" ht="13.5" thickBot="1">
      <c r="B1708" s="105" t="s">
        <v>41</v>
      </c>
      <c r="C1708" s="244">
        <f>C1706+C1707</f>
        <v>208937.655</v>
      </c>
      <c r="D1708" s="245">
        <f>D1706+D1707</f>
        <v>326.82254809948381</v>
      </c>
    </row>
    <row r="1709" spans="2:5">
      <c r="D1709" s="115"/>
    </row>
    <row r="1710" spans="2:5">
      <c r="C1710" s="36"/>
      <c r="D1710" s="115"/>
    </row>
    <row r="1711" spans="2:5" ht="13.5" thickBot="1">
      <c r="D1711" s="115"/>
    </row>
    <row r="1712" spans="2:5">
      <c r="B1712" s="88" t="s">
        <v>252</v>
      </c>
      <c r="C1712" s="92" t="s">
        <v>253</v>
      </c>
      <c r="D1712" s="116"/>
    </row>
    <row r="1713" spans="2:5">
      <c r="B1713" s="89">
        <v>2017</v>
      </c>
      <c r="C1713" s="160">
        <v>671310</v>
      </c>
      <c r="D1713" s="115"/>
      <c r="E1713" s="90"/>
    </row>
    <row r="1714" spans="2:5">
      <c r="B1714" s="89">
        <v>2018</v>
      </c>
      <c r="C1714" s="160">
        <v>529069</v>
      </c>
      <c r="D1714" s="115"/>
      <c r="E1714" s="90"/>
    </row>
    <row r="1715" spans="2:5">
      <c r="B1715" s="89">
        <v>2019</v>
      </c>
      <c r="C1715" s="160">
        <v>331711</v>
      </c>
      <c r="D1715" s="115"/>
      <c r="E1715" s="90"/>
    </row>
    <row r="1716" spans="2:5">
      <c r="B1716" s="89">
        <v>2020</v>
      </c>
      <c r="C1716" s="63">
        <v>269354</v>
      </c>
      <c r="D1716" s="115"/>
      <c r="E1716" s="90"/>
    </row>
    <row r="1717" spans="2:5">
      <c r="B1717" s="89">
        <v>2021</v>
      </c>
      <c r="C1717" s="63">
        <v>176771</v>
      </c>
      <c r="D1717" s="115"/>
      <c r="E1717" s="90"/>
    </row>
    <row r="1718" spans="2:5">
      <c r="B1718" s="89" t="s">
        <v>254</v>
      </c>
      <c r="C1718" s="63">
        <v>1757757</v>
      </c>
      <c r="D1718" s="115"/>
      <c r="E1718" s="90"/>
    </row>
    <row r="1719" spans="2:5" ht="13.5" thickBot="1">
      <c r="B1719" s="91"/>
      <c r="C1719" s="108"/>
      <c r="D1719" s="117"/>
      <c r="E1719" s="90"/>
    </row>
    <row r="1720" spans="2:5">
      <c r="B1720" s="80" t="s">
        <v>44</v>
      </c>
      <c r="C1720" s="121">
        <f>SUM(C1713:C1719)</f>
        <v>3735972</v>
      </c>
      <c r="D1720" s="118"/>
      <c r="E1720" s="90"/>
    </row>
    <row r="1724" spans="2:5">
      <c r="C1724" s="164"/>
    </row>
  </sheetData>
  <pageMargins left="0.7" right="0.7" top="0.75" bottom="0.75" header="0.3" footer="0.3"/>
  <pageSetup orientation="portrait" horizontalDpi="90" verticalDpi="90" r:id="rId1"/>
  <ignoredErrors>
    <ignoredError sqref="D560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4F2B-342A-4085-9C73-944F2D14EEE6}">
  <sheetPr>
    <pageSetUpPr fitToPage="1"/>
  </sheetPr>
  <dimension ref="A2:CL575"/>
  <sheetViews>
    <sheetView showGridLines="0" zoomScaleNormal="100" zoomScaleSheetLayoutView="100" workbookViewId="0">
      <pane xSplit="2" ySplit="6" topLeftCell="M7" activePane="bottomRight" state="frozen"/>
      <selection pane="bottomRight" activeCell="BW361" sqref="BW361"/>
      <selection pane="bottomLeft" activeCell="P8" sqref="P8"/>
      <selection pane="topRight" activeCell="P8" sqref="P8"/>
    </sheetView>
  </sheetViews>
  <sheetFormatPr defaultColWidth="11.42578125" defaultRowHeight="13.5" customHeight="1" outlineLevelRow="1" outlineLevelCol="1"/>
  <cols>
    <col min="1" max="1" width="2.7109375" style="1" customWidth="1"/>
    <col min="2" max="2" width="50.7109375" style="1" customWidth="1"/>
    <col min="3" max="12" width="12.7109375" style="1" hidden="1" customWidth="1" outlineLevel="1"/>
    <col min="13" max="13" width="12.7109375" style="1" customWidth="1" collapsed="1"/>
    <col min="14" max="17" width="12.7109375" style="1" customWidth="1"/>
    <col min="18" max="21" width="12.7109375" style="1" hidden="1" customWidth="1" outlineLevel="1"/>
    <col min="22" max="22" width="12.7109375" style="1" hidden="1" customWidth="1" outlineLevel="1" collapsed="1"/>
    <col min="23" max="26" width="12.7109375" style="1" hidden="1" customWidth="1" outlineLevel="1"/>
    <col min="27" max="27" width="12.7109375" style="1" hidden="1" customWidth="1" outlineLevel="1" collapsed="1"/>
    <col min="28" max="37" width="12.7109375" style="1" hidden="1" customWidth="1" outlineLevel="1"/>
    <col min="38" max="38" width="12.7109375" style="1" hidden="1" customWidth="1" outlineLevel="1" collapsed="1"/>
    <col min="39" max="41" width="12.7109375" style="1" hidden="1" customWidth="1" outlineLevel="1"/>
    <col min="42" max="42" width="12.7109375" style="1" hidden="1" customWidth="1" outlineLevel="1" collapsed="1"/>
    <col min="43" max="52" width="12.7109375" style="1" hidden="1" customWidth="1" outlineLevel="1"/>
    <col min="53" max="53" width="12.7109375" style="1" customWidth="1" collapsed="1"/>
    <col min="54" max="59" width="12.7109375" style="1" customWidth="1"/>
    <col min="60" max="65" width="12.7109375" style="1" hidden="1" customWidth="1" outlineLevel="1"/>
    <col min="66" max="66" width="12.7109375" style="1" hidden="1" customWidth="1" outlineLevel="1" collapsed="1"/>
    <col min="67" max="68" width="12.7109375" style="1" hidden="1" customWidth="1" outlineLevel="1"/>
    <col min="69" max="69" width="12.7109375" style="1" hidden="1" customWidth="1" outlineLevel="1" collapsed="1"/>
    <col min="70" max="71" width="12.7109375" style="1" hidden="1" customWidth="1" outlineLevel="1"/>
    <col min="72" max="72" width="12.7109375" style="1" hidden="1" customWidth="1" outlineLevel="1" collapsed="1"/>
    <col min="73" max="73" width="12.7109375" style="1" customWidth="1" collapsed="1"/>
    <col min="74" max="76" width="12.7109375" style="1" customWidth="1"/>
    <col min="77" max="84" width="12.7109375" style="1" hidden="1" customWidth="1" outlineLevel="1"/>
    <col min="85" max="85" width="12.7109375" style="1" customWidth="1" collapsed="1"/>
    <col min="86" max="110" width="12.7109375" style="1" customWidth="1"/>
    <col min="111" max="16384" width="11.42578125" style="1"/>
  </cols>
  <sheetData>
    <row r="2" spans="1:85" s="2" customFormat="1" ht="21">
      <c r="B2" s="10" t="s">
        <v>255</v>
      </c>
      <c r="C2" s="12" t="s">
        <v>256</v>
      </c>
      <c r="D2" s="12" t="s">
        <v>256</v>
      </c>
      <c r="E2" s="12" t="s">
        <v>256</v>
      </c>
      <c r="F2" s="254" t="s">
        <v>256</v>
      </c>
      <c r="G2" s="254" t="s">
        <v>256</v>
      </c>
      <c r="H2" s="254" t="s">
        <v>256</v>
      </c>
      <c r="I2" s="254" t="s">
        <v>256</v>
      </c>
      <c r="J2" s="254" t="s">
        <v>256</v>
      </c>
      <c r="K2" s="254" t="s">
        <v>256</v>
      </c>
      <c r="L2" s="254" t="s">
        <v>256</v>
      </c>
      <c r="M2" s="254" t="s">
        <v>256</v>
      </c>
      <c r="N2" s="254" t="s">
        <v>256</v>
      </c>
      <c r="O2" s="254" t="s">
        <v>256</v>
      </c>
      <c r="P2" s="254" t="s">
        <v>256</v>
      </c>
      <c r="Q2" s="317"/>
      <c r="R2" s="12" t="s">
        <v>257</v>
      </c>
      <c r="S2" s="12" t="s">
        <v>257</v>
      </c>
      <c r="T2" s="12" t="s">
        <v>257</v>
      </c>
      <c r="U2" s="12" t="s">
        <v>257</v>
      </c>
      <c r="V2" s="12" t="s">
        <v>257</v>
      </c>
      <c r="W2" s="254" t="s">
        <v>257</v>
      </c>
      <c r="X2" s="254" t="s">
        <v>257</v>
      </c>
      <c r="Y2" s="254" t="s">
        <v>257</v>
      </c>
      <c r="Z2" s="12" t="s">
        <v>257</v>
      </c>
      <c r="AA2" s="254" t="s">
        <v>257</v>
      </c>
      <c r="AB2" s="254" t="s">
        <v>257</v>
      </c>
      <c r="AC2" s="254" t="s">
        <v>257</v>
      </c>
      <c r="AD2" s="12" t="s">
        <v>257</v>
      </c>
      <c r="AE2" s="254" t="s">
        <v>257</v>
      </c>
      <c r="AF2" s="254" t="s">
        <v>257</v>
      </c>
      <c r="AG2" s="254" t="s">
        <v>257</v>
      </c>
      <c r="AH2" s="12" t="s">
        <v>257</v>
      </c>
      <c r="AI2" s="254" t="s">
        <v>257</v>
      </c>
      <c r="AJ2" s="254" t="s">
        <v>257</v>
      </c>
      <c r="AK2" s="254" t="s">
        <v>257</v>
      </c>
      <c r="AL2" s="254" t="s">
        <v>257</v>
      </c>
      <c r="AM2" s="254" t="s">
        <v>257</v>
      </c>
      <c r="AN2" s="254" t="s">
        <v>257</v>
      </c>
      <c r="AO2" s="254" t="s">
        <v>257</v>
      </c>
      <c r="AP2" s="254" t="s">
        <v>257</v>
      </c>
      <c r="AQ2" s="254" t="s">
        <v>257</v>
      </c>
      <c r="AR2" s="254" t="s">
        <v>257</v>
      </c>
      <c r="AS2" s="254" t="s">
        <v>257</v>
      </c>
      <c r="AT2" s="254" t="s">
        <v>257</v>
      </c>
      <c r="AU2" s="254" t="s">
        <v>257</v>
      </c>
      <c r="AV2" s="254" t="s">
        <v>257</v>
      </c>
      <c r="AW2" s="254" t="s">
        <v>257</v>
      </c>
      <c r="AX2" s="254" t="s">
        <v>257</v>
      </c>
      <c r="AY2" s="254" t="s">
        <v>257</v>
      </c>
      <c r="AZ2" s="254" t="s">
        <v>257</v>
      </c>
      <c r="BA2" s="254" t="s">
        <v>257</v>
      </c>
      <c r="BB2" s="254" t="s">
        <v>257</v>
      </c>
      <c r="BC2" s="254" t="s">
        <v>257</v>
      </c>
      <c r="BD2" s="254" t="s">
        <v>257</v>
      </c>
      <c r="BE2" s="254" t="s">
        <v>257</v>
      </c>
      <c r="BF2" s="254" t="s">
        <v>257</v>
      </c>
      <c r="BG2" s="317"/>
      <c r="BH2" s="12" t="s">
        <v>257</v>
      </c>
      <c r="BI2" s="12" t="s">
        <v>257</v>
      </c>
      <c r="BJ2" s="254" t="s">
        <v>257</v>
      </c>
      <c r="BK2" s="254" t="s">
        <v>257</v>
      </c>
      <c r="BL2" s="254" t="s">
        <v>257</v>
      </c>
      <c r="BM2" s="434"/>
      <c r="BN2" s="12" t="s">
        <v>258</v>
      </c>
      <c r="BO2" s="254" t="s">
        <v>258</v>
      </c>
      <c r="BP2" s="254" t="s">
        <v>258</v>
      </c>
      <c r="BQ2" s="254" t="s">
        <v>258</v>
      </c>
      <c r="BR2" s="254" t="s">
        <v>258</v>
      </c>
      <c r="BS2" s="254" t="s">
        <v>258</v>
      </c>
      <c r="BT2" s="254" t="s">
        <v>258</v>
      </c>
      <c r="BU2" s="254" t="s">
        <v>258</v>
      </c>
      <c r="BV2" s="254" t="s">
        <v>258</v>
      </c>
      <c r="BW2" s="254" t="s">
        <v>258</v>
      </c>
      <c r="BX2" s="317"/>
      <c r="BY2" s="254" t="s">
        <v>258</v>
      </c>
      <c r="BZ2" s="254" t="s">
        <v>258</v>
      </c>
      <c r="CA2" s="317"/>
      <c r="CC2" s="208" t="s">
        <v>257</v>
      </c>
      <c r="CD2" s="208" t="s">
        <v>258</v>
      </c>
      <c r="CE2" s="208" t="s">
        <v>259</v>
      </c>
    </row>
    <row r="3" spans="1:85" s="2" customFormat="1" ht="12.75">
      <c r="B3" s="11" t="s">
        <v>260</v>
      </c>
      <c r="C3" s="13">
        <v>41975</v>
      </c>
      <c r="D3" s="13">
        <v>42341</v>
      </c>
      <c r="E3" s="13">
        <v>42708</v>
      </c>
      <c r="F3" s="14">
        <v>43073</v>
      </c>
      <c r="G3" s="14">
        <v>43073</v>
      </c>
      <c r="H3" s="14">
        <v>43438</v>
      </c>
      <c r="I3" s="14">
        <v>43438</v>
      </c>
      <c r="J3" s="14">
        <v>43803</v>
      </c>
      <c r="K3" s="14">
        <v>44169</v>
      </c>
      <c r="L3" s="14">
        <v>44534</v>
      </c>
      <c r="M3" s="14">
        <v>44899</v>
      </c>
      <c r="N3" s="14">
        <v>45264</v>
      </c>
      <c r="O3" s="14">
        <v>45630</v>
      </c>
      <c r="P3" s="14">
        <v>45995</v>
      </c>
      <c r="Q3" s="329"/>
      <c r="R3" s="13">
        <v>42437</v>
      </c>
      <c r="S3" s="13">
        <v>42527</v>
      </c>
      <c r="T3" s="13">
        <v>42622</v>
      </c>
      <c r="U3" s="13">
        <v>42714</v>
      </c>
      <c r="V3" s="13">
        <v>42801</v>
      </c>
      <c r="W3" s="14">
        <v>42892</v>
      </c>
      <c r="X3" s="14">
        <v>42987</v>
      </c>
      <c r="Y3" s="14">
        <v>43079</v>
      </c>
      <c r="Z3" s="13">
        <v>43166</v>
      </c>
      <c r="AA3" s="14">
        <v>43257</v>
      </c>
      <c r="AB3" s="14">
        <v>43352</v>
      </c>
      <c r="AC3" s="14">
        <v>43444</v>
      </c>
      <c r="AD3" s="13">
        <v>43531</v>
      </c>
      <c r="AE3" s="14">
        <v>43622</v>
      </c>
      <c r="AF3" s="14">
        <v>43738</v>
      </c>
      <c r="AG3" s="14">
        <v>43809</v>
      </c>
      <c r="AH3" s="13">
        <v>43897</v>
      </c>
      <c r="AI3" s="14">
        <v>43988</v>
      </c>
      <c r="AJ3" s="14">
        <v>44104</v>
      </c>
      <c r="AK3" s="14">
        <v>44175</v>
      </c>
      <c r="AL3" s="14">
        <v>44262</v>
      </c>
      <c r="AM3" s="14">
        <v>44348</v>
      </c>
      <c r="AN3" s="14">
        <v>44469</v>
      </c>
      <c r="AO3" s="14">
        <v>44540</v>
      </c>
      <c r="AP3" s="14">
        <v>44651</v>
      </c>
      <c r="AQ3" s="14">
        <v>44713</v>
      </c>
      <c r="AR3" s="14">
        <v>44834</v>
      </c>
      <c r="AS3" s="14">
        <v>44905</v>
      </c>
      <c r="AT3" s="14">
        <v>45016</v>
      </c>
      <c r="AU3" s="14">
        <v>45078</v>
      </c>
      <c r="AV3" s="14">
        <v>45199</v>
      </c>
      <c r="AW3" s="14">
        <v>45270</v>
      </c>
      <c r="AX3" s="14">
        <v>45382</v>
      </c>
      <c r="AY3" s="14">
        <v>45444</v>
      </c>
      <c r="AZ3" s="14">
        <v>45565</v>
      </c>
      <c r="BA3" s="14">
        <v>45636</v>
      </c>
      <c r="BB3" s="14">
        <v>45747</v>
      </c>
      <c r="BC3" s="14">
        <v>45809</v>
      </c>
      <c r="BD3" s="14">
        <v>45930</v>
      </c>
      <c r="BE3" s="14">
        <v>46001</v>
      </c>
      <c r="BF3" s="14">
        <v>46112</v>
      </c>
      <c r="BG3" s="329"/>
      <c r="BH3" s="13">
        <v>43166</v>
      </c>
      <c r="BI3" s="13">
        <v>43281</v>
      </c>
      <c r="BJ3" s="14">
        <v>43373</v>
      </c>
      <c r="BK3" s="14">
        <v>43444</v>
      </c>
      <c r="BL3" s="14">
        <v>43531</v>
      </c>
      <c r="BM3" s="62"/>
      <c r="BN3" s="13">
        <v>42530</v>
      </c>
      <c r="BO3" s="14">
        <v>42896</v>
      </c>
      <c r="BP3" s="14">
        <v>43261</v>
      </c>
      <c r="BQ3" s="14">
        <v>43646</v>
      </c>
      <c r="BR3" s="14">
        <v>44012</v>
      </c>
      <c r="BS3" s="14">
        <v>44377</v>
      </c>
      <c r="BT3" s="14">
        <v>44742</v>
      </c>
      <c r="BU3" s="14">
        <v>45107</v>
      </c>
      <c r="BV3" s="14">
        <v>45473</v>
      </c>
      <c r="BW3" s="14">
        <v>45838</v>
      </c>
      <c r="BX3" s="329"/>
      <c r="BY3" s="14">
        <v>43281</v>
      </c>
      <c r="BZ3" s="14">
        <v>43646</v>
      </c>
      <c r="CA3" s="329"/>
      <c r="CC3" s="209">
        <v>42071</v>
      </c>
      <c r="CD3" s="209">
        <v>42161</v>
      </c>
      <c r="CE3" s="209">
        <v>42256</v>
      </c>
    </row>
    <row r="4" spans="1:85" s="5" customFormat="1" ht="12.75">
      <c r="B4" s="11"/>
      <c r="C4" s="14" t="s">
        <v>261</v>
      </c>
      <c r="D4" s="14" t="s">
        <v>261</v>
      </c>
      <c r="E4" s="14" t="s">
        <v>261</v>
      </c>
      <c r="F4" s="14" t="s">
        <v>261</v>
      </c>
      <c r="G4" s="14" t="s">
        <v>261</v>
      </c>
      <c r="H4" s="14" t="s">
        <v>261</v>
      </c>
      <c r="I4" s="14" t="s">
        <v>261</v>
      </c>
      <c r="J4" s="14" t="s">
        <v>261</v>
      </c>
      <c r="K4" s="14" t="s">
        <v>261</v>
      </c>
      <c r="L4" s="14" t="s">
        <v>261</v>
      </c>
      <c r="M4" s="14" t="s">
        <v>261</v>
      </c>
      <c r="N4" s="14" t="s">
        <v>261</v>
      </c>
      <c r="O4" s="14" t="s">
        <v>261</v>
      </c>
      <c r="P4" s="14" t="s">
        <v>261</v>
      </c>
      <c r="Q4" s="329"/>
      <c r="R4" s="14" t="s">
        <v>261</v>
      </c>
      <c r="S4" s="14" t="s">
        <v>261</v>
      </c>
      <c r="T4" s="14" t="s">
        <v>261</v>
      </c>
      <c r="U4" s="14" t="s">
        <v>261</v>
      </c>
      <c r="V4" s="14" t="s">
        <v>261</v>
      </c>
      <c r="W4" s="14" t="s">
        <v>261</v>
      </c>
      <c r="X4" s="14" t="s">
        <v>261</v>
      </c>
      <c r="Y4" s="14" t="s">
        <v>261</v>
      </c>
      <c r="Z4" s="14" t="s">
        <v>261</v>
      </c>
      <c r="AA4" s="14" t="s">
        <v>261</v>
      </c>
      <c r="AB4" s="14" t="s">
        <v>261</v>
      </c>
      <c r="AC4" s="14" t="s">
        <v>261</v>
      </c>
      <c r="AD4" s="14" t="s">
        <v>261</v>
      </c>
      <c r="AE4" s="14" t="s">
        <v>261</v>
      </c>
      <c r="AF4" s="14" t="s">
        <v>261</v>
      </c>
      <c r="AG4" s="14" t="s">
        <v>261</v>
      </c>
      <c r="AH4" s="14" t="s">
        <v>261</v>
      </c>
      <c r="AI4" s="14" t="s">
        <v>261</v>
      </c>
      <c r="AJ4" s="14" t="s">
        <v>261</v>
      </c>
      <c r="AK4" s="14" t="s">
        <v>261</v>
      </c>
      <c r="AL4" s="14" t="s">
        <v>261</v>
      </c>
      <c r="AM4" s="14" t="s">
        <v>261</v>
      </c>
      <c r="AN4" s="14" t="s">
        <v>261</v>
      </c>
      <c r="AO4" s="14" t="s">
        <v>261</v>
      </c>
      <c r="AP4" s="14" t="s">
        <v>261</v>
      </c>
      <c r="AQ4" s="14" t="s">
        <v>261</v>
      </c>
      <c r="AR4" s="14" t="s">
        <v>262</v>
      </c>
      <c r="AS4" s="14" t="s">
        <v>261</v>
      </c>
      <c r="AT4" s="14" t="s">
        <v>261</v>
      </c>
      <c r="AU4" s="14" t="s">
        <v>261</v>
      </c>
      <c r="AV4" s="14" t="s">
        <v>261</v>
      </c>
      <c r="AW4" s="14" t="s">
        <v>261</v>
      </c>
      <c r="AX4" s="14" t="s">
        <v>261</v>
      </c>
      <c r="AY4" s="14" t="s">
        <v>261</v>
      </c>
      <c r="AZ4" s="14" t="s">
        <v>261</v>
      </c>
      <c r="BA4" s="14" t="s">
        <v>261</v>
      </c>
      <c r="BB4" s="14" t="s">
        <v>261</v>
      </c>
      <c r="BC4" s="14" t="s">
        <v>261</v>
      </c>
      <c r="BD4" s="14" t="s">
        <v>261</v>
      </c>
      <c r="BE4" s="14" t="s">
        <v>261</v>
      </c>
      <c r="BF4" s="14" t="s">
        <v>261</v>
      </c>
      <c r="BG4" s="329"/>
      <c r="BH4" s="14" t="s">
        <v>261</v>
      </c>
      <c r="BI4" s="14" t="s">
        <v>261</v>
      </c>
      <c r="BJ4" s="14" t="s">
        <v>261</v>
      </c>
      <c r="BK4" s="14" t="s">
        <v>261</v>
      </c>
      <c r="BL4" s="14" t="s">
        <v>261</v>
      </c>
      <c r="BM4" s="329"/>
      <c r="BN4" s="186" t="s">
        <v>261</v>
      </c>
      <c r="BO4" s="186" t="s">
        <v>261</v>
      </c>
      <c r="BP4" s="186" t="s">
        <v>261</v>
      </c>
      <c r="BQ4" s="186" t="s">
        <v>261</v>
      </c>
      <c r="BR4" s="186" t="s">
        <v>261</v>
      </c>
      <c r="BS4" s="186" t="s">
        <v>261</v>
      </c>
      <c r="BT4" s="186" t="s">
        <v>261</v>
      </c>
      <c r="BU4" s="186" t="s">
        <v>261</v>
      </c>
      <c r="BV4" s="186" t="s">
        <v>261</v>
      </c>
      <c r="BW4" s="186" t="s">
        <v>261</v>
      </c>
      <c r="BX4" s="330"/>
      <c r="BY4" s="186" t="s">
        <v>261</v>
      </c>
      <c r="BZ4" s="186" t="s">
        <v>261</v>
      </c>
      <c r="CA4" s="330"/>
      <c r="CC4" s="210"/>
      <c r="CD4" s="210" t="s">
        <v>261</v>
      </c>
      <c r="CE4" s="210"/>
    </row>
    <row r="5" spans="1:85" s="3" customFormat="1" ht="12.75">
      <c r="C5" s="24" t="s">
        <v>263</v>
      </c>
      <c r="D5" s="24" t="s">
        <v>263</v>
      </c>
      <c r="E5" s="24" t="s">
        <v>263</v>
      </c>
      <c r="F5" s="24" t="s">
        <v>263</v>
      </c>
      <c r="G5" s="24" t="s">
        <v>263</v>
      </c>
      <c r="H5" s="24" t="s">
        <v>263</v>
      </c>
      <c r="I5" s="24" t="s">
        <v>263</v>
      </c>
      <c r="J5" s="24" t="s">
        <v>263</v>
      </c>
      <c r="K5" s="24" t="s">
        <v>263</v>
      </c>
      <c r="L5" s="24" t="s">
        <v>263</v>
      </c>
      <c r="M5" s="24" t="s">
        <v>263</v>
      </c>
      <c r="N5" s="24" t="s">
        <v>263</v>
      </c>
      <c r="O5" s="24" t="s">
        <v>263</v>
      </c>
      <c r="P5" s="24" t="s">
        <v>263</v>
      </c>
      <c r="Q5" s="24"/>
      <c r="R5" s="24" t="s">
        <v>264</v>
      </c>
      <c r="S5" s="24" t="s">
        <v>265</v>
      </c>
      <c r="T5" s="24" t="s">
        <v>266</v>
      </c>
      <c r="U5" s="24" t="s">
        <v>267</v>
      </c>
      <c r="V5" s="24" t="s">
        <v>264</v>
      </c>
      <c r="W5" s="24" t="s">
        <v>265</v>
      </c>
      <c r="X5" s="24" t="s">
        <v>266</v>
      </c>
      <c r="Y5" s="24" t="s">
        <v>267</v>
      </c>
      <c r="Z5" s="24" t="s">
        <v>264</v>
      </c>
      <c r="AA5" s="24" t="s">
        <v>265</v>
      </c>
      <c r="AB5" s="24" t="s">
        <v>266</v>
      </c>
      <c r="AC5" s="24" t="s">
        <v>267</v>
      </c>
      <c r="AD5" s="24" t="s">
        <v>264</v>
      </c>
      <c r="AE5" s="24" t="s">
        <v>265</v>
      </c>
      <c r="AF5" s="24" t="s">
        <v>266</v>
      </c>
      <c r="AG5" s="24" t="s">
        <v>267</v>
      </c>
      <c r="AH5" s="24" t="s">
        <v>264</v>
      </c>
      <c r="AI5" s="24" t="s">
        <v>265</v>
      </c>
      <c r="AJ5" s="24" t="s">
        <v>266</v>
      </c>
      <c r="AK5" s="24" t="s">
        <v>267</v>
      </c>
      <c r="AL5" s="24" t="s">
        <v>264</v>
      </c>
      <c r="AM5" s="24" t="s">
        <v>265</v>
      </c>
      <c r="AN5" s="24" t="s">
        <v>266</v>
      </c>
      <c r="AO5" s="24" t="s">
        <v>267</v>
      </c>
      <c r="AP5" s="24" t="s">
        <v>264</v>
      </c>
      <c r="AQ5" s="24" t="s">
        <v>265</v>
      </c>
      <c r="AR5" s="24" t="s">
        <v>266</v>
      </c>
      <c r="AS5" s="24" t="s">
        <v>267</v>
      </c>
      <c r="AT5" s="24" t="s">
        <v>264</v>
      </c>
      <c r="AU5" s="24" t="s">
        <v>265</v>
      </c>
      <c r="AV5" s="24" t="s">
        <v>266</v>
      </c>
      <c r="AW5" s="24" t="s">
        <v>267</v>
      </c>
      <c r="AX5" s="24" t="s">
        <v>264</v>
      </c>
      <c r="AY5" s="24" t="s">
        <v>265</v>
      </c>
      <c r="AZ5" s="24" t="s">
        <v>266</v>
      </c>
      <c r="BA5" s="524" t="s">
        <v>267</v>
      </c>
      <c r="BB5" s="24" t="s">
        <v>264</v>
      </c>
      <c r="BC5" s="24" t="s">
        <v>265</v>
      </c>
      <c r="BD5" s="24" t="s">
        <v>266</v>
      </c>
      <c r="BE5" s="524" t="s">
        <v>267</v>
      </c>
      <c r="BF5" s="24" t="s">
        <v>264</v>
      </c>
      <c r="BG5" s="24"/>
      <c r="BH5" s="24" t="s">
        <v>264</v>
      </c>
      <c r="BI5" s="24" t="s">
        <v>265</v>
      </c>
      <c r="BJ5" s="24" t="s">
        <v>266</v>
      </c>
      <c r="BK5" s="24" t="s">
        <v>267</v>
      </c>
      <c r="BL5" s="24" t="s">
        <v>264</v>
      </c>
      <c r="BM5" s="24"/>
      <c r="BN5" s="24" t="s">
        <v>268</v>
      </c>
      <c r="BO5" s="24" t="s">
        <v>269</v>
      </c>
      <c r="BP5" s="24" t="s">
        <v>270</v>
      </c>
      <c r="BQ5" s="24" t="s">
        <v>271</v>
      </c>
      <c r="BR5" s="24" t="s">
        <v>272</v>
      </c>
      <c r="BS5" s="24" t="s">
        <v>273</v>
      </c>
      <c r="BT5" s="24" t="s">
        <v>274</v>
      </c>
      <c r="BU5" s="24" t="s">
        <v>275</v>
      </c>
      <c r="BV5" s="24" t="s">
        <v>276</v>
      </c>
      <c r="BW5" s="24" t="s">
        <v>277</v>
      </c>
      <c r="BX5" s="24"/>
      <c r="BY5" s="24" t="s">
        <v>270</v>
      </c>
      <c r="BZ5" s="24" t="s">
        <v>271</v>
      </c>
      <c r="CA5" s="24"/>
      <c r="CC5" s="211" t="s">
        <v>264</v>
      </c>
      <c r="CD5" s="211" t="s">
        <v>278</v>
      </c>
      <c r="CE5" s="211" t="s">
        <v>279</v>
      </c>
    </row>
    <row r="6" spans="1:85" ht="13.5" customHeight="1">
      <c r="A6" s="28"/>
      <c r="B6" s="17" t="s">
        <v>280</v>
      </c>
      <c r="C6" s="18"/>
      <c r="D6" s="18"/>
      <c r="E6" s="18"/>
      <c r="F6" s="18"/>
      <c r="G6" s="314" t="s">
        <v>262</v>
      </c>
      <c r="H6" s="18"/>
      <c r="I6" s="314" t="s">
        <v>262</v>
      </c>
      <c r="J6" s="314"/>
      <c r="K6" s="314"/>
      <c r="L6" s="314"/>
      <c r="M6" s="314"/>
      <c r="N6" s="314"/>
      <c r="O6" s="314"/>
      <c r="P6" s="314"/>
      <c r="Q6" s="431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H6" s="298" t="s">
        <v>262</v>
      </c>
      <c r="BI6" s="298" t="s">
        <v>262</v>
      </c>
      <c r="BJ6" s="298" t="s">
        <v>262</v>
      </c>
      <c r="BK6" s="298" t="s">
        <v>262</v>
      </c>
      <c r="BL6" s="298" t="s">
        <v>262</v>
      </c>
      <c r="BM6" s="317"/>
      <c r="BN6" s="18"/>
      <c r="BO6" s="18"/>
      <c r="BP6" s="18"/>
      <c r="BQ6" s="314"/>
      <c r="BR6" s="314"/>
      <c r="BS6" s="314"/>
      <c r="BT6" s="314"/>
      <c r="BU6" s="314"/>
      <c r="BV6" s="314"/>
      <c r="BW6" s="314"/>
      <c r="BY6" s="298" t="s">
        <v>262</v>
      </c>
      <c r="BZ6" s="298" t="s">
        <v>262</v>
      </c>
      <c r="CC6" s="18"/>
      <c r="CD6" s="18"/>
      <c r="CE6" s="18"/>
    </row>
    <row r="7" spans="1:85" ht="13.5" customHeight="1">
      <c r="B7" s="11" t="s">
        <v>281</v>
      </c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  <c r="AW7" s="147"/>
      <c r="AX7" s="147"/>
      <c r="AY7" s="147"/>
      <c r="AZ7" s="147"/>
      <c r="BA7" s="147"/>
      <c r="BB7" s="147"/>
      <c r="BC7" s="147"/>
      <c r="BD7" s="147"/>
      <c r="BE7" s="147"/>
      <c r="BF7" s="147"/>
      <c r="BH7" s="147"/>
      <c r="BI7" s="147"/>
      <c r="BJ7" s="147"/>
      <c r="BK7" s="147"/>
      <c r="BL7" s="147"/>
      <c r="BN7" s="147"/>
      <c r="BO7" s="147"/>
      <c r="BP7" s="147"/>
      <c r="BQ7" s="147"/>
      <c r="BR7" s="147"/>
      <c r="BS7" s="147"/>
      <c r="BT7" s="147"/>
      <c r="BU7" s="147"/>
      <c r="BV7" s="147"/>
      <c r="BW7" s="147"/>
      <c r="BY7" s="147"/>
      <c r="BZ7" s="147"/>
      <c r="CC7" s="147"/>
      <c r="CD7" s="147"/>
      <c r="CE7" s="147"/>
    </row>
    <row r="8" spans="1:85" s="5" customFormat="1" ht="16.5" customHeight="1">
      <c r="B8" s="5" t="s">
        <v>282</v>
      </c>
      <c r="C8" s="142">
        <v>7038379.7879999997</v>
      </c>
      <c r="D8" s="142">
        <v>7753209.5719999997</v>
      </c>
      <c r="E8" s="142">
        <v>7898301.784</v>
      </c>
      <c r="F8" s="142">
        <v>8242645.2630000003</v>
      </c>
      <c r="G8" s="142">
        <v>8209851.5099999998</v>
      </c>
      <c r="H8" s="142">
        <v>8483577.3330000006</v>
      </c>
      <c r="I8" s="142">
        <v>7976898.4050000003</v>
      </c>
      <c r="J8" s="142">
        <v>8053582.835</v>
      </c>
      <c r="K8" s="142">
        <v>8281049.949</v>
      </c>
      <c r="L8" s="142">
        <v>10335383.74</v>
      </c>
      <c r="M8" s="142">
        <v>10460666.398</v>
      </c>
      <c r="N8" s="142">
        <v>9355114.6569999997</v>
      </c>
      <c r="O8" s="142">
        <v>10322104.478</v>
      </c>
      <c r="P8" s="142">
        <v>11342385.896</v>
      </c>
      <c r="Q8" s="142"/>
      <c r="R8" s="142">
        <v>1889596.2250000001</v>
      </c>
      <c r="S8" s="55">
        <f>BN8-R8</f>
        <v>1948787.2620000001</v>
      </c>
      <c r="T8" s="142">
        <f>5707941.211-S8-R8</f>
        <v>1869557.7239999999</v>
      </c>
      <c r="U8" s="55">
        <f>E8-T8-S8-R8</f>
        <v>2190360.5730000003</v>
      </c>
      <c r="V8" s="142">
        <v>1952033.1129999999</v>
      </c>
      <c r="W8" s="55">
        <f>BO8-V8</f>
        <v>2015162.9050000003</v>
      </c>
      <c r="X8" s="142">
        <f>5909189.615-W8-V8</f>
        <v>1941993.5970000001</v>
      </c>
      <c r="Y8" s="55">
        <f>F8-X8-W8-V8</f>
        <v>2333455.648</v>
      </c>
      <c r="Z8" s="142">
        <v>2010257.6850000001</v>
      </c>
      <c r="AA8" s="55">
        <f>BP8-Z8</f>
        <v>2106536.787</v>
      </c>
      <c r="AB8" s="142">
        <f>6121405.241-AA8-Z8</f>
        <v>2004610.7690000003</v>
      </c>
      <c r="AC8" s="55">
        <f>H8-AB8-AA8-Z8</f>
        <v>2362172.0920000006</v>
      </c>
      <c r="AD8" s="142">
        <v>1926900.5120000001</v>
      </c>
      <c r="AE8" s="55">
        <f>BQ8-AD8</f>
        <v>1994081.0039999997</v>
      </c>
      <c r="AF8" s="142">
        <f>5802437.766-AE8-AD8</f>
        <v>1881456.25</v>
      </c>
      <c r="AG8" s="55">
        <f>J8-AF8-AE8-AD8</f>
        <v>2251145.0690000001</v>
      </c>
      <c r="AH8" s="142">
        <v>1887698.612</v>
      </c>
      <c r="AI8" s="55">
        <f>BR8-AH8</f>
        <v>1458364.095</v>
      </c>
      <c r="AJ8" s="142">
        <f>5563468.36-AI8-AH8</f>
        <v>2217405.6530000009</v>
      </c>
      <c r="AK8" s="55">
        <f>K8-AJ8-AI8-AH8</f>
        <v>2717581.5889999997</v>
      </c>
      <c r="AL8" s="142">
        <v>2218078.4550000001</v>
      </c>
      <c r="AM8" s="55">
        <f>BS8-AL8</f>
        <v>2390588.7439999999</v>
      </c>
      <c r="AN8" s="142">
        <f>7229559.641-AM8-AL8</f>
        <v>2620892.4419999998</v>
      </c>
      <c r="AO8" s="55">
        <f>L8-AN8-AM8-AL8</f>
        <v>3105824.0990000004</v>
      </c>
      <c r="AP8" s="142">
        <v>2546146.5869999998</v>
      </c>
      <c r="AQ8" s="55">
        <f>BT8-AP8</f>
        <v>2619187.9020000002</v>
      </c>
      <c r="AR8" s="142">
        <f>7657493.231-AQ8-AP8</f>
        <v>2492158.7420000001</v>
      </c>
      <c r="AS8" s="55">
        <f>M8-AR8-AQ8-AP8</f>
        <v>2803173.166999999</v>
      </c>
      <c r="AT8" s="142">
        <v>2274726.2650000001</v>
      </c>
      <c r="AU8" s="55">
        <f>BU8-AT8</f>
        <v>2219917.3819999998</v>
      </c>
      <c r="AV8" s="142">
        <f>6701080.263-AU8-AT8</f>
        <v>2206436.6160000009</v>
      </c>
      <c r="AW8" s="55">
        <f>N8-AV8-AU8-AT8</f>
        <v>2654034.3939999999</v>
      </c>
      <c r="AX8" s="142">
        <v>2392525.6490000002</v>
      </c>
      <c r="AY8" s="55">
        <f>BV8-AX8</f>
        <v>2445288.1609999994</v>
      </c>
      <c r="AZ8" s="142">
        <f>7240767.681-AY8-AX8</f>
        <v>2402953.8710000003</v>
      </c>
      <c r="BA8" s="55">
        <f>O8-AZ8-AY8-AX8</f>
        <v>3081336.7970000003</v>
      </c>
      <c r="BB8" s="142">
        <v>2653179.247</v>
      </c>
      <c r="BC8" s="55">
        <f>BW8-BB8</f>
        <v>2693468.6130000004</v>
      </c>
      <c r="BD8" s="142">
        <f>7976947.918-BC8-BB8</f>
        <v>2630300.0579999997</v>
      </c>
      <c r="BE8" s="55">
        <f>P8-BD8-BC8-BB8</f>
        <v>3365437.9779999997</v>
      </c>
      <c r="BF8" s="142">
        <v>2766025.946</v>
      </c>
      <c r="BG8"/>
      <c r="BH8" s="142">
        <v>1887142.642</v>
      </c>
      <c r="BI8" s="55">
        <f>BY8-BH8</f>
        <v>1980615.463</v>
      </c>
      <c r="BJ8" s="142">
        <f>5745783.56-BI8-BH8</f>
        <v>1878025.4549999996</v>
      </c>
      <c r="BK8" s="55">
        <f>I8-AB8-AA8-Z8</f>
        <v>1855493.1639999999</v>
      </c>
      <c r="BL8" s="142">
        <v>1926900.5120000001</v>
      </c>
      <c r="BM8" s="142"/>
      <c r="BN8" s="142">
        <v>3838383.4870000002</v>
      </c>
      <c r="BO8" s="142">
        <v>3967196.0180000002</v>
      </c>
      <c r="BP8" s="142">
        <v>4116794.4720000001</v>
      </c>
      <c r="BQ8" s="142">
        <v>3920981.5159999998</v>
      </c>
      <c r="BR8" s="142">
        <v>3346062.7069999999</v>
      </c>
      <c r="BS8" s="142">
        <v>4608667.199</v>
      </c>
      <c r="BT8" s="142">
        <v>5165334.4890000001</v>
      </c>
      <c r="BU8" s="142">
        <v>4494643.6469999999</v>
      </c>
      <c r="BV8" s="142">
        <v>4837813.8099999996</v>
      </c>
      <c r="BW8" s="142">
        <v>5346647.8600000003</v>
      </c>
      <c r="BX8" s="142"/>
      <c r="BY8" s="142">
        <v>3867758.105</v>
      </c>
      <c r="BZ8" s="142">
        <v>3920981.5159999998</v>
      </c>
      <c r="CA8" s="142"/>
      <c r="CC8" s="121">
        <v>1817584.63</v>
      </c>
      <c r="CD8" s="121">
        <v>3673268.46</v>
      </c>
      <c r="CE8" s="5">
        <v>5515070.3080000002</v>
      </c>
      <c r="CG8" s="260"/>
    </row>
    <row r="9" spans="1:85" s="49" customFormat="1" ht="13.5" customHeight="1">
      <c r="B9" s="20" t="s">
        <v>283</v>
      </c>
      <c r="C9" s="173">
        <f>C8/6196082.713-1</f>
        <v>0.13594025677429644</v>
      </c>
      <c r="D9" s="21">
        <f>D8/C8-1</f>
        <v>0.10156169538034021</v>
      </c>
      <c r="E9" s="21">
        <f>E8/D8-1</f>
        <v>1.8713825629580239E-2</v>
      </c>
      <c r="F9" s="21">
        <f>F8/E8-1</f>
        <v>4.359715397271291E-2</v>
      </c>
      <c r="G9" s="21"/>
      <c r="H9" s="21">
        <f>H8/G8-1</f>
        <v>3.3341141757142534E-2</v>
      </c>
      <c r="I9" s="21">
        <f>I8/G8-1</f>
        <v>-2.8374825624586708E-2</v>
      </c>
      <c r="J9" s="21">
        <f t="shared" ref="J9:P9" si="0">J8/I8-1</f>
        <v>9.6133141111505171E-3</v>
      </c>
      <c r="K9" s="21">
        <f t="shared" si="0"/>
        <v>2.8244213620235215E-2</v>
      </c>
      <c r="L9" s="21">
        <f t="shared" si="0"/>
        <v>0.24807648832598539</v>
      </c>
      <c r="M9" s="21">
        <f t="shared" si="0"/>
        <v>1.2121722923081224E-2</v>
      </c>
      <c r="N9" s="21">
        <f t="shared" si="0"/>
        <v>-0.10568654987519466</v>
      </c>
      <c r="O9" s="21">
        <f t="shared" si="0"/>
        <v>0.10336482838042471</v>
      </c>
      <c r="P9" s="21">
        <f t="shared" si="0"/>
        <v>9.8844321928205137E-2</v>
      </c>
      <c r="Q9" s="220"/>
      <c r="R9" s="198">
        <f>R8/CC8-1</f>
        <v>3.9619390377437558E-2</v>
      </c>
      <c r="S9" s="198">
        <f>S8/(CD8-CC8)-1</f>
        <v>5.0172033885750977E-2</v>
      </c>
      <c r="T9" s="198">
        <f>T8/(CE8-CD8)-1</f>
        <v>1.5069957731956629E-2</v>
      </c>
      <c r="U9" s="198">
        <f>U8/(D8-CE8)-1</f>
        <v>-2.1347505835990321E-2</v>
      </c>
      <c r="V9" s="35">
        <f t="shared" ref="V9:AC9" si="1">V8/R8-1</f>
        <v>3.3042449584698819E-2</v>
      </c>
      <c r="W9" s="35">
        <f t="shared" si="1"/>
        <v>3.4059973756129791E-2</v>
      </c>
      <c r="X9" s="35">
        <f t="shared" si="1"/>
        <v>3.8744924572331696E-2</v>
      </c>
      <c r="Y9" s="35">
        <f>Y8/U8-1</f>
        <v>6.5329460712494125E-2</v>
      </c>
      <c r="Z9" s="35">
        <f t="shared" si="1"/>
        <v>2.982765590001546E-2</v>
      </c>
      <c r="AA9" s="35">
        <f t="shared" si="1"/>
        <v>4.5343173881021714E-2</v>
      </c>
      <c r="AB9" s="35">
        <f t="shared" si="1"/>
        <v>3.2243758216675689E-2</v>
      </c>
      <c r="AC9" s="35">
        <f t="shared" si="1"/>
        <v>1.2306402319929743E-2</v>
      </c>
      <c r="AD9" s="35">
        <f>AD8/BH8-1</f>
        <v>2.1067760918096035E-2</v>
      </c>
      <c r="AE9" s="35">
        <f>AE8/BI8-1</f>
        <v>6.7986649864903992E-3</v>
      </c>
      <c r="AF9" s="35">
        <f>AF8/BJ8-1</f>
        <v>1.8268096371465425E-3</v>
      </c>
      <c r="AG9" s="35">
        <f t="shared" ref="AG9:BF9" si="2">AG8/AC8-1</f>
        <v>-4.7002089041699002E-2</v>
      </c>
      <c r="AH9" s="35">
        <f t="shared" si="2"/>
        <v>-2.0344537642636773E-2</v>
      </c>
      <c r="AI9" s="35">
        <f t="shared" si="2"/>
        <v>-0.26865353409685244</v>
      </c>
      <c r="AJ9" s="35">
        <f t="shared" si="2"/>
        <v>0.17855817960157228</v>
      </c>
      <c r="AK9" s="35">
        <f t="shared" si="2"/>
        <v>0.20719967203499645</v>
      </c>
      <c r="AL9" s="35">
        <f t="shared" si="2"/>
        <v>0.17501726223656311</v>
      </c>
      <c r="AM9" s="35">
        <f t="shared" si="2"/>
        <v>0.63922627565786305</v>
      </c>
      <c r="AN9" s="35">
        <f t="shared" si="2"/>
        <v>0.18196345285496518</v>
      </c>
      <c r="AO9" s="35">
        <f t="shared" si="2"/>
        <v>0.14286323971706927</v>
      </c>
      <c r="AP9" s="35">
        <f t="shared" si="2"/>
        <v>0.14790645987316964</v>
      </c>
      <c r="AQ9" s="35">
        <f t="shared" si="2"/>
        <v>9.5624627436964316E-2</v>
      </c>
      <c r="AR9" s="35">
        <f t="shared" si="2"/>
        <v>-4.911826900525651E-2</v>
      </c>
      <c r="AS9" s="35">
        <f t="shared" si="2"/>
        <v>-9.7446256565994038E-2</v>
      </c>
      <c r="AT9" s="35">
        <f t="shared" si="2"/>
        <v>-0.10660043038598221</v>
      </c>
      <c r="AU9" s="35">
        <f t="shared" si="2"/>
        <v>-0.15244057888902107</v>
      </c>
      <c r="AV9" s="35">
        <f t="shared" si="2"/>
        <v>-0.11464844561655108</v>
      </c>
      <c r="AW9" s="35">
        <f t="shared" si="2"/>
        <v>-5.3203553300137263E-2</v>
      </c>
      <c r="AX9" s="35">
        <f t="shared" si="2"/>
        <v>5.1786180083518873E-2</v>
      </c>
      <c r="AY9" s="35">
        <f t="shared" si="2"/>
        <v>0.10152214709763441</v>
      </c>
      <c r="AZ9" s="35">
        <f t="shared" si="2"/>
        <v>8.9065443156151503E-2</v>
      </c>
      <c r="BA9" s="35">
        <f t="shared" si="2"/>
        <v>0.16100107970190858</v>
      </c>
      <c r="BB9" s="35">
        <f t="shared" si="2"/>
        <v>0.10894495451237685</v>
      </c>
      <c r="BC9" s="35">
        <f t="shared" si="2"/>
        <v>0.10149333561509888</v>
      </c>
      <c r="BD9" s="35">
        <f t="shared" si="2"/>
        <v>9.4611132466470682E-2</v>
      </c>
      <c r="BE9" s="35">
        <f t="shared" si="2"/>
        <v>9.2200625805202829E-2</v>
      </c>
      <c r="BF9" s="35">
        <f t="shared" si="2"/>
        <v>4.2532632926176372E-2</v>
      </c>
      <c r="BG9" s="142"/>
      <c r="BH9" s="35">
        <f>BH8/V8-1</f>
        <v>-3.3242505246374843E-2</v>
      </c>
      <c r="BI9" s="35">
        <f>BI8/W8-1</f>
        <v>-1.7143746500236534E-2</v>
      </c>
      <c r="BJ9" s="35">
        <f>BJ8/X8-1</f>
        <v>-3.293941962466751E-2</v>
      </c>
      <c r="BK9" s="35">
        <f>BK8/Y8-1</f>
        <v>-0.20483032724862837</v>
      </c>
      <c r="BL9" s="35">
        <f>BL8/BH8-1</f>
        <v>2.1067760918096035E-2</v>
      </c>
      <c r="BM9" s="54"/>
      <c r="BN9" s="198">
        <f>BN8/CD8-1</f>
        <v>4.4950438226341927E-2</v>
      </c>
      <c r="BO9" s="21">
        <f>BO8/BN8-1</f>
        <v>3.3559057201102416E-2</v>
      </c>
      <c r="BP9" s="21">
        <f>BP8/BO8-1</f>
        <v>3.7708863721691577E-2</v>
      </c>
      <c r="BQ9" s="21">
        <f>BQ8/BY8-1</f>
        <v>1.3760791020305918E-2</v>
      </c>
      <c r="BR9" s="21">
        <f>BR8/BZ8-1</f>
        <v>-0.14662624821208159</v>
      </c>
      <c r="BS9" s="21">
        <f>(BS8/BR8)-1</f>
        <v>0.37734035568389612</v>
      </c>
      <c r="BT9" s="21">
        <f>(BT8/BS8)-1</f>
        <v>0.12078704448886812</v>
      </c>
      <c r="BU9" s="21">
        <f>(BU8/BT8)-1</f>
        <v>-0.12984460995280966</v>
      </c>
      <c r="BV9" s="21">
        <f>(BV8/BU8)-1</f>
        <v>7.6350916769353239E-2</v>
      </c>
      <c r="BW9" s="21">
        <f>(BW8/BV8)-1</f>
        <v>0.10517851037346992</v>
      </c>
      <c r="BX9" s="220"/>
      <c r="BY9" s="21">
        <f>BY8/BO8-1</f>
        <v>-2.506503650155667E-2</v>
      </c>
      <c r="BZ9" s="21">
        <f>BZ8/BY8-1</f>
        <v>1.3760791020305918E-2</v>
      </c>
      <c r="CA9" s="220"/>
      <c r="CC9" s="213"/>
      <c r="CD9" s="213"/>
      <c r="CE9" s="22"/>
      <c r="CG9" s="260"/>
    </row>
    <row r="10" spans="1:85" s="187" customFormat="1" ht="13.5" hidden="1" customHeight="1">
      <c r="B10" s="188" t="s">
        <v>284</v>
      </c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338"/>
      <c r="R10" s="189"/>
      <c r="S10" s="189"/>
      <c r="T10" s="189"/>
      <c r="U10" s="189"/>
      <c r="V10" s="218"/>
      <c r="W10" s="218"/>
      <c r="X10" s="218"/>
      <c r="Y10" s="189"/>
      <c r="Z10" s="218"/>
      <c r="AA10" s="218"/>
      <c r="AB10" s="218"/>
      <c r="AC10" s="189"/>
      <c r="AD10" s="218"/>
      <c r="AE10" s="218"/>
      <c r="AF10" s="218"/>
      <c r="AG10" s="189"/>
      <c r="AH10" s="218"/>
      <c r="AI10" s="218"/>
      <c r="AJ10" s="218"/>
      <c r="AK10" s="189"/>
      <c r="AL10" s="218"/>
      <c r="AM10" s="218"/>
      <c r="AN10" s="218"/>
      <c r="AO10" s="189"/>
      <c r="AP10" s="218"/>
      <c r="AQ10" s="218"/>
      <c r="AR10" s="218"/>
      <c r="AS10" s="189"/>
      <c r="AT10" s="218"/>
      <c r="AU10" s="218"/>
      <c r="AV10" s="218"/>
      <c r="AW10" s="189"/>
      <c r="AX10" s="218"/>
      <c r="AY10" s="218"/>
      <c r="AZ10" s="218"/>
      <c r="BA10" s="189"/>
      <c r="BB10" s="218"/>
      <c r="BC10" s="218"/>
      <c r="BD10" s="218"/>
      <c r="BE10" s="189"/>
      <c r="BF10" s="218"/>
      <c r="BG10" s="142"/>
      <c r="BH10" s="218"/>
      <c r="BI10" s="218"/>
      <c r="BJ10" s="218"/>
      <c r="BK10" s="189"/>
      <c r="BL10" s="218"/>
      <c r="BM10" s="338"/>
      <c r="BN10" s="189"/>
      <c r="BO10" s="189"/>
      <c r="BP10" s="189"/>
      <c r="BQ10" s="189"/>
      <c r="BR10" s="189"/>
      <c r="BS10" s="189"/>
      <c r="BT10" s="189"/>
      <c r="BU10" s="189"/>
      <c r="BV10" s="189"/>
      <c r="BW10" s="189"/>
      <c r="BX10" s="338"/>
      <c r="BY10" s="189"/>
      <c r="BZ10" s="189"/>
      <c r="CA10" s="338"/>
      <c r="CC10" s="214"/>
      <c r="CD10" s="214"/>
      <c r="CG10" s="260"/>
    </row>
    <row r="11" spans="1:85" s="49" customFormat="1" ht="13.5" customHeight="1">
      <c r="B11" s="5" t="s">
        <v>285</v>
      </c>
      <c r="C11" s="143">
        <v>-4654988.9230000004</v>
      </c>
      <c r="D11" s="143">
        <v>-5098131.6310000001</v>
      </c>
      <c r="E11" s="143">
        <v>-5180719.9440000001</v>
      </c>
      <c r="F11" s="143">
        <v>-5360352.05</v>
      </c>
      <c r="G11" s="143">
        <v>-5296642.9649999999</v>
      </c>
      <c r="H11" s="143">
        <v>-5508545.3739999998</v>
      </c>
      <c r="I11" s="143">
        <v>-5255756.3530000001</v>
      </c>
      <c r="J11" s="143">
        <v>-5433070.25</v>
      </c>
      <c r="K11" s="143">
        <v>-5790733.6900000004</v>
      </c>
      <c r="L11" s="143">
        <v>-7047860.2450000001</v>
      </c>
      <c r="M11" s="143">
        <v>-7264723.2929999996</v>
      </c>
      <c r="N11" s="143">
        <v>-6423567.1440000003</v>
      </c>
      <c r="O11" s="143">
        <v>-6844745.108</v>
      </c>
      <c r="P11" s="143">
        <v>-7370628.6279999996</v>
      </c>
      <c r="Q11" s="143"/>
      <c r="R11" s="143">
        <v>-1266353.79</v>
      </c>
      <c r="S11" s="25">
        <f>BN11-R11</f>
        <v>-1279016.642</v>
      </c>
      <c r="T11" s="143">
        <f>-3779644.108-S11-R11</f>
        <v>-1234273.676</v>
      </c>
      <c r="U11" s="25">
        <f>E11-T11-S11-R11</f>
        <v>-1401075.8360000001</v>
      </c>
      <c r="V11" s="143">
        <v>-1281071.743</v>
      </c>
      <c r="W11" s="25">
        <f>BO11-V11</f>
        <v>-1305217.1070000001</v>
      </c>
      <c r="X11" s="143">
        <f>-3867346.306-W11-V11</f>
        <v>-1281057.456</v>
      </c>
      <c r="Y11" s="25">
        <f>F11-X11-W11-V11</f>
        <v>-1493005.7439999997</v>
      </c>
      <c r="Z11" s="143">
        <v>-1308674.7720000001</v>
      </c>
      <c r="AA11" s="25">
        <f>BP11-Z11</f>
        <v>-1360544.183</v>
      </c>
      <c r="AB11" s="143">
        <f>-3986411.625-AA11-Z11</f>
        <v>-1317192.6699999997</v>
      </c>
      <c r="AC11" s="25">
        <f>H11-AB11-AA11-Z11</f>
        <v>-1522133.7489999996</v>
      </c>
      <c r="AD11" s="143">
        <v>-1323019.2620000001</v>
      </c>
      <c r="AE11" s="25">
        <f>BQ11-AD11</f>
        <v>-1330915.344</v>
      </c>
      <c r="AF11" s="143">
        <f>-3931139.953-AE11-AD11</f>
        <v>-1277205.3470000001</v>
      </c>
      <c r="AG11" s="25">
        <f>J11-AF11-AE11-AD11</f>
        <v>-1501930.2969999998</v>
      </c>
      <c r="AH11" s="143">
        <v>-1301030.6499999999</v>
      </c>
      <c r="AI11" s="25">
        <f>BR11-AH11</f>
        <v>-1063909.0819999999</v>
      </c>
      <c r="AJ11" s="143">
        <f>-3978350.803-AI11-AH11</f>
        <v>-1613411.071</v>
      </c>
      <c r="AK11" s="25">
        <f>K11-AJ11-AI11-AH11</f>
        <v>-1812382.8870000006</v>
      </c>
      <c r="AL11" s="143">
        <v>-1534201.314</v>
      </c>
      <c r="AM11" s="25">
        <f>BS11-AL11</f>
        <v>-1653372.7709999999</v>
      </c>
      <c r="AN11" s="143">
        <f>-4980184.977-AM11-AL11</f>
        <v>-1792610.8920000002</v>
      </c>
      <c r="AO11" s="25">
        <f>L11-AN11-AM11-AL11</f>
        <v>-2067675.2680000004</v>
      </c>
      <c r="AP11" s="143">
        <v>-1796600.821</v>
      </c>
      <c r="AQ11" s="25">
        <f>BT11-AP11</f>
        <v>-1799463.2179999999</v>
      </c>
      <c r="AR11" s="143">
        <f>-5332866.394-AQ11-AP11</f>
        <v>-1736802.3550000004</v>
      </c>
      <c r="AS11" s="25">
        <f>M11-AR11-AQ11-AP11</f>
        <v>-1931856.8989999993</v>
      </c>
      <c r="AT11" s="143">
        <v>-1614201.747</v>
      </c>
      <c r="AU11" s="25">
        <f>BU11-AT11</f>
        <v>-1519467.2239999999</v>
      </c>
      <c r="AV11" s="143">
        <f>-4656631.536-AU11-AT11</f>
        <v>-1522962.5650000004</v>
      </c>
      <c r="AW11" s="25">
        <f>N11-AV11-AU11-AT11</f>
        <v>-1766935.608</v>
      </c>
      <c r="AX11" s="143">
        <v>-1617669.169</v>
      </c>
      <c r="AY11" s="25">
        <f>BV11-AX11</f>
        <v>-1625083.1020000002</v>
      </c>
      <c r="AZ11" s="143">
        <f>-4835758.418-AY11-AX11</f>
        <v>-1593006.1469999996</v>
      </c>
      <c r="BA11" s="25">
        <f>O11-AZ11-AY11-AX11</f>
        <v>-2008986.6900000002</v>
      </c>
      <c r="BB11" s="143">
        <v>-1737013.0390000001</v>
      </c>
      <c r="BC11" s="25">
        <f>BW11-BB11</f>
        <v>-1749365.5879999998</v>
      </c>
      <c r="BD11" s="143">
        <f>-5208708.004-BC11-BB11</f>
        <v>-1722329.3770000001</v>
      </c>
      <c r="BE11" s="25">
        <f>P11-BD11-BC11-BB11</f>
        <v>-2161920.6239999998</v>
      </c>
      <c r="BF11" s="143">
        <v>-1802151.4580000001</v>
      </c>
      <c r="BG11"/>
      <c r="BH11" s="143">
        <v>-1253403.3529999999</v>
      </c>
      <c r="BI11" s="25">
        <f>BY11-BH11</f>
        <v>-1297192.149</v>
      </c>
      <c r="BJ11" s="143">
        <f>-3802885.751-BI11-BH11</f>
        <v>-1252290.2490000001</v>
      </c>
      <c r="BK11" s="25">
        <f>I11-Z11-AB11-AA11</f>
        <v>-1269344.7280000004</v>
      </c>
      <c r="BL11" s="143">
        <v>-1323019.2620000001</v>
      </c>
      <c r="BM11" s="143"/>
      <c r="BN11" s="143">
        <v>-2545370.432</v>
      </c>
      <c r="BO11" s="143">
        <v>-2586288.85</v>
      </c>
      <c r="BP11" s="143">
        <v>-2669218.9550000001</v>
      </c>
      <c r="BQ11" s="143">
        <v>-2653934.6060000001</v>
      </c>
      <c r="BR11" s="143">
        <v>-2364939.7319999998</v>
      </c>
      <c r="BS11" s="143">
        <v>-3187574.085</v>
      </c>
      <c r="BT11" s="143">
        <v>-3596064.0389999999</v>
      </c>
      <c r="BU11" s="143">
        <v>-3133668.9709999999</v>
      </c>
      <c r="BV11" s="143">
        <v>-3242752.2710000002</v>
      </c>
      <c r="BW11" s="143">
        <v>-3486378.6269999999</v>
      </c>
      <c r="BX11" s="143"/>
      <c r="BY11" s="143">
        <v>-2550595.5019999999</v>
      </c>
      <c r="BZ11" s="143">
        <v>-2653934.6060000001</v>
      </c>
      <c r="CA11" s="143"/>
      <c r="CC11" s="215"/>
      <c r="CD11" s="215"/>
      <c r="CG11" s="260"/>
    </row>
    <row r="12" spans="1:85" s="5" customFormat="1" ht="16.5" customHeight="1">
      <c r="B12" s="5" t="s">
        <v>286</v>
      </c>
      <c r="C12" s="55">
        <f t="shared" ref="C12:H12" si="3">C8+C11</f>
        <v>2383390.8649999993</v>
      </c>
      <c r="D12" s="55">
        <f t="shared" si="3"/>
        <v>2655077.9409999996</v>
      </c>
      <c r="E12" s="55">
        <f t="shared" si="3"/>
        <v>2717581.84</v>
      </c>
      <c r="F12" s="55">
        <f t="shared" si="3"/>
        <v>2882293.2130000005</v>
      </c>
      <c r="G12" s="55">
        <f t="shared" si="3"/>
        <v>2913208.5449999999</v>
      </c>
      <c r="H12" s="55">
        <f t="shared" si="3"/>
        <v>2975031.9590000007</v>
      </c>
      <c r="I12" s="55">
        <f t="shared" ref="I12:N12" si="4">I8+I11</f>
        <v>2721142.0520000001</v>
      </c>
      <c r="J12" s="55">
        <f t="shared" si="4"/>
        <v>2620512.585</v>
      </c>
      <c r="K12" s="55">
        <f t="shared" si="4"/>
        <v>2490316.2589999996</v>
      </c>
      <c r="L12" s="55">
        <f t="shared" si="4"/>
        <v>3287523.4950000001</v>
      </c>
      <c r="M12" s="55">
        <f>M8+M11</f>
        <v>3195943.1050000004</v>
      </c>
      <c r="N12" s="55">
        <f t="shared" si="4"/>
        <v>2931547.5129999993</v>
      </c>
      <c r="O12" s="55">
        <f>O8+O11</f>
        <v>3477359.37</v>
      </c>
      <c r="P12" s="55">
        <f>P8+P11</f>
        <v>3971757.2680000002</v>
      </c>
      <c r="Q12" s="55"/>
      <c r="R12" s="55">
        <f t="shared" ref="R12:W12" si="5">R8+R11</f>
        <v>623242.43500000006</v>
      </c>
      <c r="S12" s="55">
        <f t="shared" si="5"/>
        <v>669770.62000000011</v>
      </c>
      <c r="T12" s="55">
        <f t="shared" si="5"/>
        <v>635284.04799999995</v>
      </c>
      <c r="U12" s="55">
        <f t="shared" si="5"/>
        <v>789284.7370000002</v>
      </c>
      <c r="V12" s="55">
        <f t="shared" si="5"/>
        <v>670961.36999999988</v>
      </c>
      <c r="W12" s="55">
        <f t="shared" si="5"/>
        <v>709945.79800000018</v>
      </c>
      <c r="X12" s="55">
        <f t="shared" ref="X12:AC12" si="6">X8+X11</f>
        <v>660936.14100000006</v>
      </c>
      <c r="Y12" s="55">
        <f t="shared" si="6"/>
        <v>840449.90400000033</v>
      </c>
      <c r="Z12" s="55">
        <f t="shared" si="6"/>
        <v>701582.91299999994</v>
      </c>
      <c r="AA12" s="55">
        <f t="shared" si="6"/>
        <v>745992.60400000005</v>
      </c>
      <c r="AB12" s="55">
        <f t="shared" si="6"/>
        <v>687418.09900000063</v>
      </c>
      <c r="AC12" s="55">
        <f t="shared" si="6"/>
        <v>840038.34300000104</v>
      </c>
      <c r="AD12" s="55">
        <f t="shared" ref="AD12:AI12" si="7">AD8+AD11</f>
        <v>603881.25</v>
      </c>
      <c r="AE12" s="55">
        <f t="shared" si="7"/>
        <v>663165.65999999968</v>
      </c>
      <c r="AF12" s="55">
        <f t="shared" si="7"/>
        <v>604250.90299999993</v>
      </c>
      <c r="AG12" s="55">
        <f t="shared" si="7"/>
        <v>749214.77200000035</v>
      </c>
      <c r="AH12" s="55">
        <f t="shared" si="7"/>
        <v>586667.96200000006</v>
      </c>
      <c r="AI12" s="55">
        <f t="shared" si="7"/>
        <v>394455.01300000004</v>
      </c>
      <c r="AJ12" s="55">
        <f t="shared" ref="AJ12:AO12" si="8">AJ8+AJ11</f>
        <v>603994.58200000087</v>
      </c>
      <c r="AK12" s="55">
        <f t="shared" si="8"/>
        <v>905198.70199999912</v>
      </c>
      <c r="AL12" s="55">
        <f t="shared" si="8"/>
        <v>683877.14100000006</v>
      </c>
      <c r="AM12" s="55">
        <f t="shared" si="8"/>
        <v>737215.973</v>
      </c>
      <c r="AN12" s="55">
        <f t="shared" si="8"/>
        <v>828281.54999999958</v>
      </c>
      <c r="AO12" s="55">
        <f t="shared" si="8"/>
        <v>1038148.831</v>
      </c>
      <c r="AP12" s="55">
        <f t="shared" ref="AP12:AU12" si="9">AP8+AP11</f>
        <v>749545.76599999983</v>
      </c>
      <c r="AQ12" s="55">
        <f t="shared" si="9"/>
        <v>819724.68400000036</v>
      </c>
      <c r="AR12" s="55">
        <f t="shared" si="9"/>
        <v>755356.38699999964</v>
      </c>
      <c r="AS12" s="55">
        <f t="shared" si="9"/>
        <v>871316.26799999969</v>
      </c>
      <c r="AT12" s="55">
        <f t="shared" si="9"/>
        <v>660524.51800000016</v>
      </c>
      <c r="AU12" s="55">
        <f t="shared" si="9"/>
        <v>700450.15799999982</v>
      </c>
      <c r="AV12" s="55">
        <f t="shared" ref="AV12:BA12" si="10">AV8+AV11</f>
        <v>683474.05100000044</v>
      </c>
      <c r="AW12" s="55">
        <f t="shared" si="10"/>
        <v>887098.78599999985</v>
      </c>
      <c r="AX12" s="55">
        <f t="shared" si="10"/>
        <v>774856.48000000021</v>
      </c>
      <c r="AY12" s="55">
        <f t="shared" si="10"/>
        <v>820205.05899999919</v>
      </c>
      <c r="AZ12" s="55">
        <f t="shared" si="10"/>
        <v>809947.72400000063</v>
      </c>
      <c r="BA12" s="55">
        <f t="shared" si="10"/>
        <v>1072350.1070000001</v>
      </c>
      <c r="BB12" s="55">
        <f>BB8+BB11</f>
        <v>916166.20799999987</v>
      </c>
      <c r="BC12" s="55">
        <f>BC8+BC11</f>
        <v>944103.02500000061</v>
      </c>
      <c r="BD12" s="55">
        <f>BD8+BD11</f>
        <v>907970.68099999963</v>
      </c>
      <c r="BE12" s="55">
        <f>BE8+BE11</f>
        <v>1203517.3539999998</v>
      </c>
      <c r="BF12" s="55">
        <f>BF8+BF11</f>
        <v>963874.4879999999</v>
      </c>
      <c r="BG12" s="142"/>
      <c r="BH12" s="55">
        <f>BH8+BH11</f>
        <v>633739.28900000011</v>
      </c>
      <c r="BI12" s="55">
        <f>BI8+BI11</f>
        <v>683423.31400000001</v>
      </c>
      <c r="BJ12" s="55">
        <f>BJ8+BJ11</f>
        <v>625735.20599999954</v>
      </c>
      <c r="BK12" s="55">
        <f>BK8+BK11</f>
        <v>586148.43599999952</v>
      </c>
      <c r="BL12" s="55">
        <f>BL8+BL11</f>
        <v>603881.25</v>
      </c>
      <c r="BM12" s="55"/>
      <c r="BN12" s="55">
        <f t="shared" ref="BN12:BS12" si="11">BN8+BN11</f>
        <v>1293013.0550000002</v>
      </c>
      <c r="BO12" s="55">
        <f t="shared" si="11"/>
        <v>1380907.1680000001</v>
      </c>
      <c r="BP12" s="55">
        <f t="shared" si="11"/>
        <v>1447575.517</v>
      </c>
      <c r="BQ12" s="55">
        <f t="shared" si="11"/>
        <v>1267046.9099999997</v>
      </c>
      <c r="BR12" s="55">
        <f t="shared" si="11"/>
        <v>981122.97500000009</v>
      </c>
      <c r="BS12" s="55">
        <f t="shared" si="11"/>
        <v>1421093.1140000001</v>
      </c>
      <c r="BT12" s="55">
        <f>BT8+BT11</f>
        <v>1569270.4500000002</v>
      </c>
      <c r="BU12" s="55">
        <f>BU8+BU11</f>
        <v>1360974.676</v>
      </c>
      <c r="BV12" s="55">
        <f>BV8+BV11</f>
        <v>1595061.5389999994</v>
      </c>
      <c r="BW12" s="55">
        <f>BW8+BW11</f>
        <v>1860269.2330000005</v>
      </c>
      <c r="BX12" s="55"/>
      <c r="BY12" s="55">
        <f>BY8+BY11</f>
        <v>1317162.6030000001</v>
      </c>
      <c r="BZ12" s="55">
        <f>BZ8+BZ11</f>
        <v>1267046.9099999997</v>
      </c>
      <c r="CA12" s="55"/>
      <c r="CC12" s="121"/>
      <c r="CD12" s="121"/>
      <c r="CG12" s="260"/>
    </row>
    <row r="13" spans="1:85" s="49" customFormat="1" ht="13.5" customHeight="1">
      <c r="B13" s="20" t="s">
        <v>287</v>
      </c>
      <c r="C13" s="21">
        <f t="shared" ref="C13:H13" si="12">C12/C8</f>
        <v>0.33862777184367526</v>
      </c>
      <c r="D13" s="21">
        <f t="shared" si="12"/>
        <v>0.34244888085942737</v>
      </c>
      <c r="E13" s="21">
        <f t="shared" si="12"/>
        <v>0.34407166430448965</v>
      </c>
      <c r="F13" s="21">
        <f t="shared" si="12"/>
        <v>0.3496806087164982</v>
      </c>
      <c r="G13" s="21">
        <f t="shared" si="12"/>
        <v>0.35484302504759918</v>
      </c>
      <c r="H13" s="21">
        <f t="shared" si="12"/>
        <v>0.35068130367922945</v>
      </c>
      <c r="I13" s="21">
        <f t="shared" ref="I13:N13" si="13">I12/I8</f>
        <v>0.34112783112473399</v>
      </c>
      <c r="J13" s="21">
        <f t="shared" si="13"/>
        <v>0.32538469382987356</v>
      </c>
      <c r="K13" s="21">
        <f t="shared" si="13"/>
        <v>0.30072469968626675</v>
      </c>
      <c r="L13" s="21">
        <f t="shared" si="13"/>
        <v>0.31808431865733511</v>
      </c>
      <c r="M13" s="21">
        <f>M12/M8</f>
        <v>0.305520029355973</v>
      </c>
      <c r="N13" s="21">
        <f t="shared" si="13"/>
        <v>0.31336307682840187</v>
      </c>
      <c r="O13" s="21">
        <f>O12/O8</f>
        <v>0.33688472902124406</v>
      </c>
      <c r="P13" s="21">
        <f>P12/P8</f>
        <v>0.35016947090476602</v>
      </c>
      <c r="Q13" s="220"/>
      <c r="R13" s="21">
        <f t="shared" ref="R13:W13" si="14">R12/R8</f>
        <v>0.32982836584572456</v>
      </c>
      <c r="S13" s="21">
        <f t="shared" si="14"/>
        <v>0.34368585687112319</v>
      </c>
      <c r="T13" s="21">
        <f t="shared" si="14"/>
        <v>0.33980445740973547</v>
      </c>
      <c r="U13" s="21">
        <f t="shared" si="14"/>
        <v>0.36034466047704927</v>
      </c>
      <c r="V13" s="64">
        <f t="shared" si="14"/>
        <v>0.34372437922880661</v>
      </c>
      <c r="W13" s="64">
        <f t="shared" si="14"/>
        <v>0.3523019385869452</v>
      </c>
      <c r="X13" s="64">
        <f t="shared" ref="X13:AC13" si="15">X12/X8</f>
        <v>0.34033899082932972</v>
      </c>
      <c r="Y13" s="21">
        <f t="shared" si="15"/>
        <v>0.36017393547648879</v>
      </c>
      <c r="Z13" s="21">
        <f t="shared" si="15"/>
        <v>0.34900148286213362</v>
      </c>
      <c r="AA13" s="64">
        <f t="shared" si="15"/>
        <v>0.3541322461604845</v>
      </c>
      <c r="AB13" s="64">
        <f t="shared" si="15"/>
        <v>0.34291849052717549</v>
      </c>
      <c r="AC13" s="64">
        <f t="shared" si="15"/>
        <v>0.35562114455799809</v>
      </c>
      <c r="AD13" s="21">
        <f t="shared" ref="AD13:AI13" si="16">AD12/AD8</f>
        <v>0.31339513702926453</v>
      </c>
      <c r="AE13" s="64">
        <f t="shared" si="16"/>
        <v>0.33256706155353344</v>
      </c>
      <c r="AF13" s="21">
        <f t="shared" si="16"/>
        <v>0.32116128291582646</v>
      </c>
      <c r="AG13" s="64">
        <f t="shared" si="16"/>
        <v>0.33281496706598979</v>
      </c>
      <c r="AH13" s="21">
        <f t="shared" si="16"/>
        <v>0.31078476101565311</v>
      </c>
      <c r="AI13" s="64">
        <f t="shared" si="16"/>
        <v>0.27047773210571263</v>
      </c>
      <c r="AJ13" s="21">
        <f t="shared" ref="AJ13:AO13" si="17">AJ12/AJ8</f>
        <v>0.27238795083923267</v>
      </c>
      <c r="AK13" s="64">
        <f t="shared" si="17"/>
        <v>0.33308979780551468</v>
      </c>
      <c r="AL13" s="21">
        <f t="shared" si="17"/>
        <v>0.3083196356100037</v>
      </c>
      <c r="AM13" s="64">
        <f t="shared" si="17"/>
        <v>0.30838260024870257</v>
      </c>
      <c r="AN13" s="21">
        <f t="shared" si="17"/>
        <v>0.31603034780318529</v>
      </c>
      <c r="AO13" s="64">
        <f t="shared" si="17"/>
        <v>0.33425873388459398</v>
      </c>
      <c r="AP13" s="21">
        <f t="shared" ref="AP13:AU13" si="18">AP12/AP8</f>
        <v>0.29438437277217139</v>
      </c>
      <c r="AQ13" s="64">
        <f t="shared" si="18"/>
        <v>0.31296902500735524</v>
      </c>
      <c r="AR13" s="21">
        <f t="shared" si="18"/>
        <v>0.30309320761558439</v>
      </c>
      <c r="AS13" s="64">
        <f t="shared" si="18"/>
        <v>0.31083212348686129</v>
      </c>
      <c r="AT13" s="21">
        <f t="shared" si="18"/>
        <v>0.29037538633247378</v>
      </c>
      <c r="AU13" s="64">
        <f t="shared" si="18"/>
        <v>0.31552983173136839</v>
      </c>
      <c r="AV13" s="21">
        <f t="shared" ref="AV13:BA13" si="19">AV12/AV8</f>
        <v>0.30976373671637808</v>
      </c>
      <c r="AW13" s="64">
        <f t="shared" si="19"/>
        <v>0.33424539938347153</v>
      </c>
      <c r="AX13" s="21">
        <f t="shared" si="19"/>
        <v>0.32386548513027047</v>
      </c>
      <c r="AY13" s="64">
        <f t="shared" si="19"/>
        <v>0.33542265982450786</v>
      </c>
      <c r="AZ13" s="21">
        <f t="shared" si="19"/>
        <v>0.33706336762217459</v>
      </c>
      <c r="BA13" s="64">
        <f t="shared" si="19"/>
        <v>0.34801457213117493</v>
      </c>
      <c r="BB13" s="21">
        <f>BB12/BB8</f>
        <v>0.34530882488845271</v>
      </c>
      <c r="BC13" s="64">
        <f>BC12/BC8</f>
        <v>0.35051569579957104</v>
      </c>
      <c r="BD13" s="21">
        <f>BD12/BD8</f>
        <v>0.34519661672759605</v>
      </c>
      <c r="BE13" s="64">
        <f>BE12/BE8</f>
        <v>0.35761091479547091</v>
      </c>
      <c r="BF13" s="21">
        <f>BF12/BF8</f>
        <v>0.3484690696390163</v>
      </c>
      <c r="BG13" s="142"/>
      <c r="BH13" s="21">
        <f>BH12/BH8</f>
        <v>0.33581949498441788</v>
      </c>
      <c r="BI13" s="64">
        <f>BI12/BI8</f>
        <v>0.34505603271663443</v>
      </c>
      <c r="BJ13" s="21">
        <f>BJ12/BJ8</f>
        <v>0.33318781933123459</v>
      </c>
      <c r="BK13" s="64">
        <f>BK12/BK8</f>
        <v>0.31589900053115988</v>
      </c>
      <c r="BL13" s="21">
        <f>BL12/BL8</f>
        <v>0.31339513702926453</v>
      </c>
      <c r="BM13" s="220"/>
      <c r="BN13" s="21">
        <f t="shared" ref="BN13:BS13" si="20">BN12/BN8</f>
        <v>0.33686395832496457</v>
      </c>
      <c r="BO13" s="21">
        <f t="shared" si="20"/>
        <v>0.34808140604460547</v>
      </c>
      <c r="BP13" s="21">
        <f t="shared" si="20"/>
        <v>0.35162686086117539</v>
      </c>
      <c r="BQ13" s="21">
        <f t="shared" si="20"/>
        <v>0.32314534124419469</v>
      </c>
      <c r="BR13" s="21">
        <f t="shared" si="20"/>
        <v>0.29321715129470827</v>
      </c>
      <c r="BS13" s="21">
        <f t="shared" si="20"/>
        <v>0.30835229636636646</v>
      </c>
      <c r="BT13" s="21">
        <f>BT12/BT8</f>
        <v>0.30380809865109204</v>
      </c>
      <c r="BU13" s="21">
        <f>BU12/BU8</f>
        <v>0.30279923902496647</v>
      </c>
      <c r="BV13" s="21">
        <f>BV12/BV8</f>
        <v>0.32970709532122311</v>
      </c>
      <c r="BW13" s="21">
        <f>BW12/BW8</f>
        <v>0.34793187838632045</v>
      </c>
      <c r="BX13" s="220"/>
      <c r="BY13" s="21">
        <f>BY12/BY8</f>
        <v>0.34054937440303035</v>
      </c>
      <c r="BZ13" s="21">
        <f>BZ12/BZ8</f>
        <v>0.32314534124419469</v>
      </c>
      <c r="CA13" s="220"/>
      <c r="CC13" s="213"/>
      <c r="CD13" s="213"/>
      <c r="CE13" s="22"/>
      <c r="CG13" s="260"/>
    </row>
    <row r="14" spans="1:85" ht="16.5" customHeight="1">
      <c r="B14" s="1" t="s">
        <v>288</v>
      </c>
      <c r="C14" s="143">
        <f>-82780.323</f>
        <v>-82780.323000000004</v>
      </c>
      <c r="D14" s="143">
        <f>-82294.591</f>
        <v>-82294.591</v>
      </c>
      <c r="E14" s="143">
        <f>-89751.825</f>
        <v>-89751.824999999997</v>
      </c>
      <c r="F14" s="143">
        <v>-84461.521999999997</v>
      </c>
      <c r="G14" s="143">
        <v>-96735.311000000002</v>
      </c>
      <c r="H14" s="143">
        <v>-115829.431</v>
      </c>
      <c r="I14" s="143">
        <v>-115035.376</v>
      </c>
      <c r="J14" s="143">
        <v>-121283.216</v>
      </c>
      <c r="K14" s="143">
        <v>-191796.601</v>
      </c>
      <c r="L14" s="143">
        <v>-220052.78599999999</v>
      </c>
      <c r="M14" s="143">
        <v>-230005.27499999999</v>
      </c>
      <c r="N14" s="143">
        <v>-186697.56</v>
      </c>
      <c r="O14" s="143">
        <v>-172518.13800000001</v>
      </c>
      <c r="P14" s="143">
        <v>-191975.74</v>
      </c>
      <c r="Q14" s="143"/>
      <c r="R14" s="143">
        <f>-20361.824</f>
        <v>-20361.824000000001</v>
      </c>
      <c r="S14" s="25">
        <f>BN14-R14</f>
        <v>-27489.368000000002</v>
      </c>
      <c r="T14" s="143">
        <f>-68104.112-S14-R14</f>
        <v>-20252.919999999991</v>
      </c>
      <c r="U14" s="25">
        <f>E14-T14-S14-R14</f>
        <v>-21647.712999999996</v>
      </c>
      <c r="V14" s="143">
        <f>-21251.85</f>
        <v>-21251.85</v>
      </c>
      <c r="W14" s="25">
        <f>BO14-V14</f>
        <v>-20785.146000000001</v>
      </c>
      <c r="X14" s="143">
        <f>-61890.621-W14-V14</f>
        <v>-19853.625</v>
      </c>
      <c r="Y14" s="25">
        <f>F14-X14-W14-V14</f>
        <v>-22570.900999999998</v>
      </c>
      <c r="Z14" s="143">
        <v>-27799.856</v>
      </c>
      <c r="AA14" s="25">
        <f>BP14-Z14</f>
        <v>-28348.288</v>
      </c>
      <c r="AB14" s="143">
        <f>-82802.048-AA14-Z14</f>
        <v>-26653.903999999995</v>
      </c>
      <c r="AC14" s="25">
        <f>H14-AB14-AA14-Z14</f>
        <v>-33027.383000000002</v>
      </c>
      <c r="AD14" s="143">
        <v>-31929.884999999998</v>
      </c>
      <c r="AE14" s="25">
        <f>BQ14-AD14</f>
        <v>-31961.789000000001</v>
      </c>
      <c r="AF14" s="143">
        <f>-88044.424-AE14-AD14</f>
        <v>-24152.749999999996</v>
      </c>
      <c r="AG14" s="25">
        <f>J14-AF14-AE14-AD14</f>
        <v>-33238.792000000001</v>
      </c>
      <c r="AH14" s="143">
        <v>-30574.627</v>
      </c>
      <c r="AI14" s="25">
        <f>BR14-AH14</f>
        <v>-41142.493999999999</v>
      </c>
      <c r="AJ14" s="143">
        <f>-133280.501-AI14-AH14</f>
        <v>-61563.379999999983</v>
      </c>
      <c r="AK14" s="25">
        <f>K14-AJ14-AI14-AH14</f>
        <v>-58516.100000000013</v>
      </c>
      <c r="AL14" s="143">
        <v>-45456.561999999998</v>
      </c>
      <c r="AM14" s="25">
        <f>BS14-AL14</f>
        <v>-55091.847000000002</v>
      </c>
      <c r="AN14" s="143">
        <f>-153333.855-AM14-AL14</f>
        <v>-52785.446000000004</v>
      </c>
      <c r="AO14" s="25">
        <f>L14-AN14-AM14-AL14</f>
        <v>-66718.930999999982</v>
      </c>
      <c r="AP14" s="143">
        <v>-55163.396000000001</v>
      </c>
      <c r="AQ14" s="25">
        <f>BT14-AP14</f>
        <v>-62389.878000000004</v>
      </c>
      <c r="AR14" s="143">
        <f>-165930.646-AQ14-AP14</f>
        <v>-48377.37200000001</v>
      </c>
      <c r="AS14" s="25">
        <f>M14-AR14-AQ14-AP14</f>
        <v>-64074.628999999994</v>
      </c>
      <c r="AT14" s="143">
        <v>-51562.235999999997</v>
      </c>
      <c r="AU14" s="25">
        <f>BU14-AT14</f>
        <v>-47262.470000000008</v>
      </c>
      <c r="AV14" s="143">
        <f>-138182.98-AU14-AT14</f>
        <v>-39358.274000000012</v>
      </c>
      <c r="AW14" s="25">
        <f>N14-AV14-AU14-AT14</f>
        <v>-48514.579999999994</v>
      </c>
      <c r="AX14" s="143">
        <v>-37683.197</v>
      </c>
      <c r="AY14" s="25">
        <f>BV14-AX14</f>
        <v>-42255.766000000003</v>
      </c>
      <c r="AZ14" s="143">
        <f>-121728.214-AY14-AX14</f>
        <v>-41789.251000000004</v>
      </c>
      <c r="BA14" s="25">
        <f>O14-AZ14-AY14-AX14</f>
        <v>-50789.923999999999</v>
      </c>
      <c r="BB14" s="143">
        <v>-45055.521000000001</v>
      </c>
      <c r="BC14" s="25">
        <f>BW14-BB14</f>
        <v>-46540.207000000002</v>
      </c>
      <c r="BD14" s="143">
        <f>-134372.666-BC14-BB14</f>
        <v>-42776.938000000002</v>
      </c>
      <c r="BE14" s="25">
        <f>P14-BD14-BC14-BB14</f>
        <v>-57603.074000000001</v>
      </c>
      <c r="BF14" s="143">
        <v>-50077.449000000001</v>
      </c>
      <c r="BG14"/>
      <c r="BH14" s="143">
        <v>-27604.65</v>
      </c>
      <c r="BI14" s="25">
        <f>BY14-BH14</f>
        <v>-28128.324999999997</v>
      </c>
      <c r="BJ14" s="143">
        <f>-82212.746-BI14-BH14</f>
        <v>-26479.771000000001</v>
      </c>
      <c r="BK14" s="25">
        <f>I14-Z14-AB14-AA14</f>
        <v>-32233.328000000009</v>
      </c>
      <c r="BL14" s="143">
        <v>-30390.169000000002</v>
      </c>
      <c r="BM14" s="143"/>
      <c r="BN14" s="143">
        <f>-47851.192</f>
        <v>-47851.192000000003</v>
      </c>
      <c r="BO14" s="143">
        <f>-42036.996</f>
        <v>-42036.995999999999</v>
      </c>
      <c r="BP14" s="143">
        <v>-56148.144</v>
      </c>
      <c r="BQ14" s="143">
        <v>-63891.673999999999</v>
      </c>
      <c r="BR14" s="143">
        <v>-71717.120999999999</v>
      </c>
      <c r="BS14" s="143">
        <v>-100548.409</v>
      </c>
      <c r="BT14" s="143">
        <v>-117553.274</v>
      </c>
      <c r="BU14" s="143">
        <v>-98824.706000000006</v>
      </c>
      <c r="BV14" s="143">
        <v>-79938.963000000003</v>
      </c>
      <c r="BW14" s="143">
        <v>-91595.728000000003</v>
      </c>
      <c r="BX14" s="143"/>
      <c r="BY14" s="143">
        <v>-55732.974999999999</v>
      </c>
      <c r="BZ14" s="143">
        <v>-60842.881000000001</v>
      </c>
      <c r="CA14" s="143"/>
      <c r="CC14" s="63"/>
      <c r="CD14" s="63"/>
      <c r="CG14" s="260"/>
    </row>
    <row r="15" spans="1:85" ht="16.5" customHeight="1">
      <c r="B15" s="1" t="s">
        <v>289</v>
      </c>
      <c r="C15" s="143">
        <v>-1457458.7609999999</v>
      </c>
      <c r="D15" s="143">
        <v>-1683850.9920000001</v>
      </c>
      <c r="E15" s="143">
        <v>-1716574.7379999999</v>
      </c>
      <c r="F15" s="143">
        <v>-1832012.6769999999</v>
      </c>
      <c r="G15" s="143">
        <v>-1847408.4310000001</v>
      </c>
      <c r="H15" s="143">
        <v>-1946931.176</v>
      </c>
      <c r="I15" s="143">
        <v>-1904010.2350000001</v>
      </c>
      <c r="J15" s="143">
        <v>-1966962.395</v>
      </c>
      <c r="K15" s="143">
        <v>-1988674.1170000001</v>
      </c>
      <c r="L15" s="143">
        <v>-2080380.919</v>
      </c>
      <c r="M15" s="143">
        <v>-2441176.0099999998</v>
      </c>
      <c r="N15" s="143">
        <v>-2357878.5809999998</v>
      </c>
      <c r="O15" s="143">
        <v>-2469130.361</v>
      </c>
      <c r="P15" s="143">
        <v>-2578530.162</v>
      </c>
      <c r="Q15" s="143"/>
      <c r="R15" s="143">
        <v>-412196.86300000001</v>
      </c>
      <c r="S15" s="25">
        <f>BN15-R15</f>
        <v>-418926.81200000003</v>
      </c>
      <c r="T15" s="143">
        <f>-1258480.94-S15-R15</f>
        <v>-427357.2649999999</v>
      </c>
      <c r="U15" s="25">
        <f>E15-T15-S15-R15</f>
        <v>-458093.79799999995</v>
      </c>
      <c r="V15" s="143">
        <v>-432963.39500000002</v>
      </c>
      <c r="W15" s="25">
        <f>BO15-V15</f>
        <v>-453020.24800000002</v>
      </c>
      <c r="X15" s="143">
        <f>-1343869.179-W15-V15</f>
        <v>-457885.53599999996</v>
      </c>
      <c r="Y15" s="25">
        <f>F15-X15-W15-V15</f>
        <v>-488143.49799999979</v>
      </c>
      <c r="Z15" s="143">
        <v>-456051.22399999999</v>
      </c>
      <c r="AA15" s="25">
        <f>BP15-Z15</f>
        <v>-483628.67</v>
      </c>
      <c r="AB15" s="143">
        <f>-1417503.229-AA15-Z15</f>
        <v>-477823.33500000014</v>
      </c>
      <c r="AC15" s="25">
        <f>H15-AB15-AA15-Z15</f>
        <v>-529427.94699999993</v>
      </c>
      <c r="AD15" s="143">
        <v>-456016.55200000003</v>
      </c>
      <c r="AE15" s="25">
        <f>BQ15-AD15</f>
        <v>-481909.43499999994</v>
      </c>
      <c r="AF15" s="143">
        <f>-1418658.106-AE15-AD15</f>
        <v>-480732.11899999995</v>
      </c>
      <c r="AG15" s="25">
        <f>J15-AF15-AE15-AD15</f>
        <v>-548304.28900000011</v>
      </c>
      <c r="AH15" s="143">
        <v>-492657.95400000003</v>
      </c>
      <c r="AI15" s="25">
        <f>BR15-AH15</f>
        <v>-475280.44299999997</v>
      </c>
      <c r="AJ15" s="143">
        <f>-1457406.418-AI15-AH15</f>
        <v>-489468.02100000007</v>
      </c>
      <c r="AK15" s="25">
        <f>K15-AJ15-AI15-AH15</f>
        <v>-531267.69899999991</v>
      </c>
      <c r="AL15" s="143">
        <v>-465395.413</v>
      </c>
      <c r="AM15" s="25">
        <f>BS15-AL15</f>
        <v>-474591.59700000001</v>
      </c>
      <c r="AN15" s="143">
        <f>-1467546.165-AM15-AL15</f>
        <v>-527559.15500000003</v>
      </c>
      <c r="AO15" s="25">
        <f>L15-AN15-AM15-AL15</f>
        <v>-612834.75399999996</v>
      </c>
      <c r="AP15" s="143">
        <v>-558138.01300000004</v>
      </c>
      <c r="AQ15" s="25">
        <f>BT15-AP15</f>
        <v>-600623.11599999992</v>
      </c>
      <c r="AR15" s="143">
        <f>-1786267.314-AQ15-AP15</f>
        <v>-627506.18500000006</v>
      </c>
      <c r="AS15" s="25">
        <f>M15-AR15-AQ15-AP15</f>
        <v>-654908.69599999976</v>
      </c>
      <c r="AT15" s="143">
        <v>-569760.35800000001</v>
      </c>
      <c r="AU15" s="25">
        <f>BU15-AT15</f>
        <v>-582137.19100000011</v>
      </c>
      <c r="AV15" s="143">
        <f>-1742316.662-AU15-AT15</f>
        <v>-590419.1129999999</v>
      </c>
      <c r="AW15" s="25">
        <f>N15-AV15-AU15-AT15</f>
        <v>-615561.91899999976</v>
      </c>
      <c r="AX15" s="143">
        <v>-592391.91700000002</v>
      </c>
      <c r="AY15" s="25">
        <f>BV15-AX15</f>
        <v>-594271.86099999992</v>
      </c>
      <c r="AZ15" s="143">
        <f>-1796310.047-AY15-AX15</f>
        <v>-609646.2690000002</v>
      </c>
      <c r="BA15" s="25">
        <f>O15-AZ15-AY15-AX15</f>
        <v>-672820.31399999966</v>
      </c>
      <c r="BB15" s="143">
        <v>-611779.61699999997</v>
      </c>
      <c r="BC15" s="25">
        <f>BW15-BB15</f>
        <v>-622738.26700000011</v>
      </c>
      <c r="BD15" s="143">
        <f>-1876988.159-BC15-BB15</f>
        <v>-642470.27500000002</v>
      </c>
      <c r="BE15" s="25">
        <f>P15-BD15-BC15-BB15</f>
        <v>-701542.00300000014</v>
      </c>
      <c r="BF15" s="143">
        <v>-627437.97600000002</v>
      </c>
      <c r="BG15"/>
      <c r="BH15" s="143">
        <v>-445572.489</v>
      </c>
      <c r="BI15" s="25">
        <f>BY15-BH15</f>
        <v>-472304.59399999998</v>
      </c>
      <c r="BJ15" s="143">
        <f>-1384656.917-BI15-BH15</f>
        <v>-466779.83399999986</v>
      </c>
      <c r="BK15" s="25">
        <f>I15-Z15-AB15-AA15</f>
        <v>-486507.00599999999</v>
      </c>
      <c r="BL15" s="143">
        <v>-457556.26799999998</v>
      </c>
      <c r="BM15" s="143"/>
      <c r="BN15" s="143">
        <v>-831123.67500000005</v>
      </c>
      <c r="BO15" s="143">
        <v>-885983.64300000004</v>
      </c>
      <c r="BP15" s="143">
        <v>-939679.89399999997</v>
      </c>
      <c r="BQ15" s="143">
        <v>-937925.98699999996</v>
      </c>
      <c r="BR15" s="143">
        <v>-967938.397</v>
      </c>
      <c r="BS15" s="143">
        <v>-939987.01</v>
      </c>
      <c r="BT15" s="143">
        <v>-1158761.129</v>
      </c>
      <c r="BU15" s="143">
        <v>-1151897.5490000001</v>
      </c>
      <c r="BV15" s="143">
        <v>-1186663.7779999999</v>
      </c>
      <c r="BW15" s="143">
        <v>-1234517.8840000001</v>
      </c>
      <c r="BX15" s="143"/>
      <c r="BY15" s="143">
        <v>-917877.08299999998</v>
      </c>
      <c r="BZ15" s="143">
        <v>-940974.78</v>
      </c>
      <c r="CA15" s="143"/>
      <c r="CC15" s="63"/>
      <c r="CD15" s="63"/>
      <c r="CG15" s="260"/>
    </row>
    <row r="16" spans="1:85" ht="16.5" customHeight="1">
      <c r="B16" s="1" t="s">
        <v>290</v>
      </c>
      <c r="C16" s="143">
        <v>8506.2620000000006</v>
      </c>
      <c r="D16" s="143">
        <v>33749.211000000003</v>
      </c>
      <c r="E16" s="143">
        <v>160726.37700000001</v>
      </c>
      <c r="F16" s="143">
        <v>5689.3950000000004</v>
      </c>
      <c r="G16" s="143">
        <v>3289.7260000000001</v>
      </c>
      <c r="H16" s="143">
        <v>24079.804</v>
      </c>
      <c r="I16" s="143">
        <v>24657.249</v>
      </c>
      <c r="J16" s="143">
        <v>20796.536</v>
      </c>
      <c r="K16" s="143">
        <v>-45064.091999999997</v>
      </c>
      <c r="L16" s="143">
        <v>-29055.028999999999</v>
      </c>
      <c r="M16" s="143">
        <v>9378.9159999999993</v>
      </c>
      <c r="N16" s="143">
        <f>226571.067</f>
        <v>226571.06700000001</v>
      </c>
      <c r="O16" s="143">
        <v>195716.954</v>
      </c>
      <c r="P16" s="143">
        <v>1367762.03</v>
      </c>
      <c r="Q16" s="143"/>
      <c r="R16" s="143">
        <v>1161.9010000000001</v>
      </c>
      <c r="S16" s="25">
        <f>BN16-R16</f>
        <v>-648.15300000000002</v>
      </c>
      <c r="T16" s="143">
        <f>137610.958-S16-R16</f>
        <v>137097.21</v>
      </c>
      <c r="U16" s="25">
        <f>E16-T16-S16-R16</f>
        <v>23115.419000000013</v>
      </c>
      <c r="V16" s="143">
        <v>-5889.723</v>
      </c>
      <c r="W16" s="25">
        <f>BO16-V16</f>
        <v>8506.9229999999989</v>
      </c>
      <c r="X16" s="143">
        <f>1355.087-W16-V16</f>
        <v>-1262.1129999999994</v>
      </c>
      <c r="Y16" s="25">
        <f>F16-X16-W16-V16</f>
        <v>4334.3080000000009</v>
      </c>
      <c r="Z16" s="143">
        <v>-238.95599999999999</v>
      </c>
      <c r="AA16" s="25">
        <f>BP16-Z16</f>
        <v>-1554.962</v>
      </c>
      <c r="AB16" s="143">
        <f>-442.73-AA16-Z16</f>
        <v>1351.1879999999999</v>
      </c>
      <c r="AC16" s="25">
        <f>H16-AB16-AA16-Z16</f>
        <v>24522.534</v>
      </c>
      <c r="AD16" s="143">
        <v>-573.83000000000004</v>
      </c>
      <c r="AE16" s="25">
        <f>BQ16-AD16</f>
        <v>9095.7289999999994</v>
      </c>
      <c r="AF16" s="143">
        <f>12274.805-AE16-AD16</f>
        <v>3752.9060000000009</v>
      </c>
      <c r="AG16" s="25">
        <f>J16-AF16-AE16-AD16</f>
        <v>8521.7309999999979</v>
      </c>
      <c r="AH16" s="143">
        <v>310.26499999999999</v>
      </c>
      <c r="AI16" s="25">
        <f>BR16-AH16</f>
        <v>1451.5279999999998</v>
      </c>
      <c r="AJ16" s="143">
        <f>3924.185-AI16-AH16</f>
        <v>2162.3920000000003</v>
      </c>
      <c r="AK16" s="25">
        <f>K16-AJ16-AI16-AH16</f>
        <v>-48988.276999999995</v>
      </c>
      <c r="AL16" s="143">
        <v>-4290.924</v>
      </c>
      <c r="AM16" s="25">
        <f>BS16-AL16</f>
        <v>-1470.8389999999999</v>
      </c>
      <c r="AN16" s="143">
        <f>-1446.131-AM16-AL16</f>
        <v>4315.6319999999996</v>
      </c>
      <c r="AO16" s="25">
        <f>L16-AN16-AM16-AL16</f>
        <v>-27608.898000000001</v>
      </c>
      <c r="AP16" s="143">
        <v>2016.356</v>
      </c>
      <c r="AQ16" s="25">
        <f>BT16-AP16</f>
        <v>83406.528000000006</v>
      </c>
      <c r="AR16" s="143">
        <f>98690.059 -AQ16-AP16</f>
        <v>13267.174999999988</v>
      </c>
      <c r="AS16" s="25">
        <f>M16-AR16-AQ16-AP16</f>
        <v>-89311.142999999996</v>
      </c>
      <c r="AT16" s="143">
        <v>5337</v>
      </c>
      <c r="AU16" s="25">
        <f>BU16-AT16</f>
        <v>170546.427</v>
      </c>
      <c r="AV16" s="143">
        <f>180918.5-AU16-AT16</f>
        <v>5035.073000000004</v>
      </c>
      <c r="AW16" s="25">
        <f>N16-AV16-AU16-AT16</f>
        <v>45652.56700000001</v>
      </c>
      <c r="AX16" s="143">
        <v>8961.6849999999995</v>
      </c>
      <c r="AY16" s="25">
        <f>BV16-AX16</f>
        <v>114692.512</v>
      </c>
      <c r="AZ16" s="143">
        <f>130389.576-AY16-AX16</f>
        <v>6735.378999999999</v>
      </c>
      <c r="BA16" s="25">
        <f>O16-AZ16-AY16-AX16</f>
        <v>65327.378000000012</v>
      </c>
      <c r="BB16" s="143">
        <v>8023.6329999999998</v>
      </c>
      <c r="BC16" s="25">
        <f>BW16-BB16</f>
        <v>432144.40900000004</v>
      </c>
      <c r="BD16" s="143">
        <f>454570.425-BC16-BB16</f>
        <v>14402.382999999945</v>
      </c>
      <c r="BE16" s="25">
        <f>P16-BD16-BC16-BB16</f>
        <v>913191.6050000001</v>
      </c>
      <c r="BF16" s="143">
        <v>11524.834999999999</v>
      </c>
      <c r="BG16"/>
      <c r="BH16" s="143">
        <v>-306.14999999999998</v>
      </c>
      <c r="BI16" s="25">
        <f>BY16-BH16</f>
        <v>-1334.1109999999999</v>
      </c>
      <c r="BJ16" s="143">
        <f>120.767-BI16-BH16</f>
        <v>1761.0279999999998</v>
      </c>
      <c r="BK16" s="25">
        <f>I16-Z16-AB16-AA16</f>
        <v>25099.978999999999</v>
      </c>
      <c r="BL16" s="143">
        <v>-573.83000000000004</v>
      </c>
      <c r="BM16" s="143"/>
      <c r="BN16" s="143">
        <v>513.74800000000005</v>
      </c>
      <c r="BO16" s="143">
        <v>2617.1999999999998</v>
      </c>
      <c r="BP16" s="143">
        <v>-1793.9179999999999</v>
      </c>
      <c r="BQ16" s="143">
        <v>8521.8989999999994</v>
      </c>
      <c r="BR16" s="143">
        <v>1761.7929999999999</v>
      </c>
      <c r="BS16" s="143">
        <v>-5761.7629999999999</v>
      </c>
      <c r="BT16" s="143">
        <v>85422.884000000005</v>
      </c>
      <c r="BU16" s="143">
        <v>175883.427</v>
      </c>
      <c r="BV16" s="143">
        <v>123654.197</v>
      </c>
      <c r="BW16" s="143">
        <v>440168.04200000002</v>
      </c>
      <c r="BX16" s="143"/>
      <c r="BY16" s="143">
        <v>-1640.261</v>
      </c>
      <c r="BZ16" s="143">
        <v>8521.8989999999994</v>
      </c>
      <c r="CA16" s="143"/>
      <c r="CB16" s="143"/>
      <c r="CC16" s="63"/>
      <c r="CD16" s="63"/>
      <c r="CG16" s="260"/>
    </row>
    <row r="17" spans="2:85" ht="16.5" customHeight="1">
      <c r="B17" s="1" t="s">
        <v>291</v>
      </c>
      <c r="C17" s="143">
        <v>-136398.084</v>
      </c>
      <c r="D17" s="143">
        <v>-142275.799</v>
      </c>
      <c r="E17" s="143">
        <v>-135229.37700000001</v>
      </c>
      <c r="F17" s="143">
        <v>-148468.52100000001</v>
      </c>
      <c r="G17" s="143">
        <v>-149314.641</v>
      </c>
      <c r="H17" s="143">
        <v>-142404.85999999999</v>
      </c>
      <c r="I17" s="143">
        <v>-139868.20300000001</v>
      </c>
      <c r="J17" s="143">
        <v>-141899.29</v>
      </c>
      <c r="K17" s="143">
        <v>-111787.54399999999</v>
      </c>
      <c r="L17" s="143">
        <v>-181917.875</v>
      </c>
      <c r="M17" s="143">
        <v>-230886.69899999999</v>
      </c>
      <c r="N17" s="143">
        <f>-125990.851</f>
        <v>-125990.851</v>
      </c>
      <c r="O17" s="143">
        <v>-111299.137</v>
      </c>
      <c r="P17" s="143">
        <v>-117786.3</v>
      </c>
      <c r="Q17" s="143"/>
      <c r="R17" s="143">
        <v>-29322.073</v>
      </c>
      <c r="S17" s="25">
        <f>BN17-R17</f>
        <v>-34087.157999999996</v>
      </c>
      <c r="T17" s="143">
        <f>-95111.051-S17-R17</f>
        <v>-31701.820000000011</v>
      </c>
      <c r="U17" s="25">
        <f>E17-T17-S17-R17</f>
        <v>-40118.326000000001</v>
      </c>
      <c r="V17" s="143">
        <v>-27598.992999999999</v>
      </c>
      <c r="W17" s="25">
        <f>BO17-V17</f>
        <v>-38226.493999999992</v>
      </c>
      <c r="X17" s="143">
        <f>-102100.525-W17-V17</f>
        <v>-36275.038</v>
      </c>
      <c r="Y17" s="25">
        <f>F17-X17-W17-V17</f>
        <v>-46367.996000000014</v>
      </c>
      <c r="Z17" s="143">
        <v>-27231.973999999998</v>
      </c>
      <c r="AA17" s="25">
        <f>BP17-Z17</f>
        <v>-35553.002000000008</v>
      </c>
      <c r="AB17" s="143">
        <f>-97523.042-AA17-Z17</f>
        <v>-34738.065999999992</v>
      </c>
      <c r="AC17" s="25">
        <f>H17-AB17-AA17-Z17</f>
        <v>-44881.817999999985</v>
      </c>
      <c r="AD17" s="143">
        <v>-28701.598999999998</v>
      </c>
      <c r="AE17" s="25">
        <f>BQ17-AD17</f>
        <v>-35788.597999999998</v>
      </c>
      <c r="AF17" s="143">
        <f>-96458.229-AE17-AD17</f>
        <v>-31968.03200000001</v>
      </c>
      <c r="AG17" s="25">
        <f>J17-AF17-AE17-AD17</f>
        <v>-45441.061000000002</v>
      </c>
      <c r="AH17" s="143">
        <v>-28787.758999999998</v>
      </c>
      <c r="AI17" s="25">
        <f>BR17-AH17</f>
        <v>-19880.296999999999</v>
      </c>
      <c r="AJ17" s="143">
        <f>-72442.206-AI17-AH17</f>
        <v>-23774.150000000009</v>
      </c>
      <c r="AK17" s="25">
        <f>K17-AJ17-AI17-AH17</f>
        <v>-39345.337999999982</v>
      </c>
      <c r="AL17" s="143">
        <v>-29113.605</v>
      </c>
      <c r="AM17" s="25">
        <f>BS17-AL17</f>
        <v>-34335.975999999995</v>
      </c>
      <c r="AN17" s="143">
        <f>-109012.651-AM17-AL17</f>
        <v>-45563.070000000007</v>
      </c>
      <c r="AO17" s="25">
        <f>L17-AN17-AM17-AL17</f>
        <v>-72905.224000000002</v>
      </c>
      <c r="AP17" s="143">
        <v>-41598.688999999998</v>
      </c>
      <c r="AQ17" s="25">
        <f>BT17-AP17</f>
        <v>-55961.567999999999</v>
      </c>
      <c r="AR17" s="143">
        <f>-144595.497-AQ17-AP17</f>
        <v>-47035.240000000005</v>
      </c>
      <c r="AS17" s="25">
        <f>M17-AR17-AQ17-AP17</f>
        <v>-86291.201999999976</v>
      </c>
      <c r="AT17" s="143">
        <v>-35779.462</v>
      </c>
      <c r="AU17" s="25">
        <f>BU17-AT17</f>
        <v>-19855.449000000001</v>
      </c>
      <c r="AV17" s="143">
        <f>-85427.185-AU17-AT17</f>
        <v>-29792.274000000005</v>
      </c>
      <c r="AW17" s="25">
        <f>N17-AV17-AU17-AT17</f>
        <v>-40563.665999999997</v>
      </c>
      <c r="AX17" s="143">
        <v>-22293.91</v>
      </c>
      <c r="AY17" s="25">
        <f>BV17-AX17</f>
        <v>-31062.202999999998</v>
      </c>
      <c r="AZ17" s="143">
        <f>-76560.98-AY17-AX17</f>
        <v>-23204.867000000002</v>
      </c>
      <c r="BA17" s="25">
        <f>O17-AZ17-AY17-AX17</f>
        <v>-34738.157000000007</v>
      </c>
      <c r="BB17" s="143">
        <v>-24655.228999999999</v>
      </c>
      <c r="BC17" s="25">
        <f>BW17-BB17</f>
        <v>-30004.953000000001</v>
      </c>
      <c r="BD17" s="143">
        <f>-78283.815-BC17-BB17</f>
        <v>-23623.633000000002</v>
      </c>
      <c r="BE17" s="25">
        <f>P17-BD17-BC17-BB17</f>
        <v>-39502.485000000001</v>
      </c>
      <c r="BF17" s="143">
        <v>-36726.588000000003</v>
      </c>
      <c r="BG17"/>
      <c r="BH17" s="143">
        <v>-26612.7</v>
      </c>
      <c r="BI17" s="25">
        <f>BY17-BH17</f>
        <v>-34952.231</v>
      </c>
      <c r="BJ17" s="143">
        <f>-95733.611-BI17-BH17</f>
        <v>-34168.680000000008</v>
      </c>
      <c r="BK17" s="25">
        <f>I17-Z17-AB17-AA17</f>
        <v>-42345.161000000007</v>
      </c>
      <c r="BL17" s="143">
        <v>-28701.598999999998</v>
      </c>
      <c r="BM17" s="143"/>
      <c r="BN17" s="143">
        <v>-63409.231</v>
      </c>
      <c r="BO17" s="143">
        <v>-65825.486999999994</v>
      </c>
      <c r="BP17" s="143">
        <v>-62784.976000000002</v>
      </c>
      <c r="BQ17" s="143">
        <v>-64490.197</v>
      </c>
      <c r="BR17" s="143">
        <v>-48668.055999999997</v>
      </c>
      <c r="BS17" s="143">
        <v>-63449.580999999998</v>
      </c>
      <c r="BT17" s="143">
        <v>-97560.256999999998</v>
      </c>
      <c r="BU17" s="143">
        <v>-55634.911</v>
      </c>
      <c r="BV17" s="143">
        <v>-53356.112999999998</v>
      </c>
      <c r="BW17" s="143">
        <v>-54660.182000000001</v>
      </c>
      <c r="BX17" s="143"/>
      <c r="BY17" s="143">
        <v>-61564.930999999997</v>
      </c>
      <c r="BZ17" s="143">
        <v>-64490.197</v>
      </c>
      <c r="CA17" s="143"/>
      <c r="CB17" s="143"/>
      <c r="CC17" s="63"/>
      <c r="CD17" s="63"/>
      <c r="CG17" s="260"/>
    </row>
    <row r="18" spans="2:85" s="5" customFormat="1" ht="13.5" customHeight="1">
      <c r="B18" s="16" t="s">
        <v>292</v>
      </c>
      <c r="C18" s="55">
        <f>C12+C15+C16+C17+C14</f>
        <v>715259.95899999933</v>
      </c>
      <c r="D18" s="55">
        <f>D12+D15+D16+D17+D14</f>
        <v>780405.76999999955</v>
      </c>
      <c r="E18" s="55">
        <f>E12+E15+E16+E17+E14</f>
        <v>936752.27700000012</v>
      </c>
      <c r="F18" s="55">
        <f t="shared" ref="F18:K18" si="21">F12+F15+F16+F17+F14</f>
        <v>823039.88800000062</v>
      </c>
      <c r="G18" s="55">
        <f t="shared" si="21"/>
        <v>823039.8879999998</v>
      </c>
      <c r="H18" s="55">
        <f t="shared" si="21"/>
        <v>793946.29600000079</v>
      </c>
      <c r="I18" s="55">
        <f t="shared" si="21"/>
        <v>586885.48699999996</v>
      </c>
      <c r="J18" s="55">
        <f t="shared" si="21"/>
        <v>411164.21999999986</v>
      </c>
      <c r="K18" s="55">
        <f t="shared" si="21"/>
        <v>152993.90499999953</v>
      </c>
      <c r="L18" s="55">
        <f>L12+L15+L16+L17+L14</f>
        <v>776116.88600000006</v>
      </c>
      <c r="M18" s="55">
        <f>M12+M15+M16+M17+M14</f>
        <v>303254.03700000059</v>
      </c>
      <c r="N18" s="55">
        <f>N12+N15+N16+N17+N14</f>
        <v>487551.58799999958</v>
      </c>
      <c r="O18" s="55">
        <f>O12+O15+O16+O17+O14</f>
        <v>920128.68799999985</v>
      </c>
      <c r="P18" s="55">
        <f>P12+P15+P16+P17+P14</f>
        <v>2451227.0959999999</v>
      </c>
      <c r="Q18" s="55"/>
      <c r="R18" s="55">
        <f t="shared" ref="R18:W18" si="22">R12+R15+R16+R17+R14</f>
        <v>162523.57600000006</v>
      </c>
      <c r="S18" s="55">
        <f t="shared" si="22"/>
        <v>188619.12900000007</v>
      </c>
      <c r="T18" s="55">
        <f t="shared" si="22"/>
        <v>293069.25300000003</v>
      </c>
      <c r="U18" s="55">
        <f t="shared" si="22"/>
        <v>292540.31900000025</v>
      </c>
      <c r="V18" s="55">
        <f t="shared" si="22"/>
        <v>183257.40899999987</v>
      </c>
      <c r="W18" s="55">
        <f t="shared" si="22"/>
        <v>206420.83300000016</v>
      </c>
      <c r="X18" s="55">
        <f t="shared" ref="X18:AC18" si="23">X12+X15+X16+X17+X14</f>
        <v>145659.82900000009</v>
      </c>
      <c r="Y18" s="55">
        <f t="shared" si="23"/>
        <v>287701.81700000056</v>
      </c>
      <c r="Z18" s="55">
        <f t="shared" si="23"/>
        <v>190260.90299999996</v>
      </c>
      <c r="AA18" s="55">
        <f t="shared" si="23"/>
        <v>196907.68200000006</v>
      </c>
      <c r="AB18" s="55">
        <f t="shared" si="23"/>
        <v>149553.98200000048</v>
      </c>
      <c r="AC18" s="55">
        <f t="shared" si="23"/>
        <v>257223.72900000113</v>
      </c>
      <c r="AD18" s="55">
        <f t="shared" ref="AD18:AI18" si="24">AD12+AD15+AD16+AD17+AD14</f>
        <v>86659.383999999991</v>
      </c>
      <c r="AE18" s="55">
        <f t="shared" si="24"/>
        <v>122601.56699999973</v>
      </c>
      <c r="AF18" s="55">
        <f t="shared" si="24"/>
        <v>71150.907999999981</v>
      </c>
      <c r="AG18" s="55">
        <f t="shared" si="24"/>
        <v>130752.36100000022</v>
      </c>
      <c r="AH18" s="55">
        <f t="shared" si="24"/>
        <v>34957.887000000032</v>
      </c>
      <c r="AI18" s="55">
        <f t="shared" si="24"/>
        <v>-140396.69299999994</v>
      </c>
      <c r="AJ18" s="55">
        <f t="shared" ref="AJ18:AO18" si="25">AJ12+AJ15+AJ16+AJ17+AJ14</f>
        <v>31351.423000000817</v>
      </c>
      <c r="AK18" s="55">
        <f t="shared" si="25"/>
        <v>227081.28799999921</v>
      </c>
      <c r="AL18" s="55">
        <f t="shared" si="25"/>
        <v>139620.63700000005</v>
      </c>
      <c r="AM18" s="55">
        <f t="shared" si="25"/>
        <v>171725.71399999998</v>
      </c>
      <c r="AN18" s="55">
        <f t="shared" si="25"/>
        <v>206689.51099999953</v>
      </c>
      <c r="AO18" s="55">
        <f t="shared" si="25"/>
        <v>258081.02400000009</v>
      </c>
      <c r="AP18" s="55">
        <f t="shared" ref="AP18:AU18" si="26">AP12+AP15+AP16+AP17+AP14</f>
        <v>96662.023999999801</v>
      </c>
      <c r="AQ18" s="55">
        <f t="shared" si="26"/>
        <v>184156.65000000043</v>
      </c>
      <c r="AR18" s="55">
        <f t="shared" si="26"/>
        <v>45704.764999999556</v>
      </c>
      <c r="AS18" s="55">
        <f t="shared" si="26"/>
        <v>-23269.402000000038</v>
      </c>
      <c r="AT18" s="55">
        <f t="shared" si="26"/>
        <v>8759.4620000001523</v>
      </c>
      <c r="AU18" s="55">
        <f t="shared" si="26"/>
        <v>221741.47499999971</v>
      </c>
      <c r="AV18" s="55">
        <f t="shared" ref="AV18:BA18" si="27">AV12+AV15+AV16+AV17+AV14</f>
        <v>28939.463000000535</v>
      </c>
      <c r="AW18" s="55">
        <f t="shared" si="27"/>
        <v>228111.18800000017</v>
      </c>
      <c r="AX18" s="55">
        <f t="shared" si="27"/>
        <v>131449.14100000018</v>
      </c>
      <c r="AY18" s="55">
        <f t="shared" si="27"/>
        <v>267307.74099999928</v>
      </c>
      <c r="AZ18" s="55">
        <f t="shared" si="27"/>
        <v>142042.71600000042</v>
      </c>
      <c r="BA18" s="55">
        <f t="shared" si="27"/>
        <v>379329.09000000043</v>
      </c>
      <c r="BB18" s="55">
        <f>BB12+BB15+BB16+BB17+BB14</f>
        <v>242699.47399999987</v>
      </c>
      <c r="BC18" s="55">
        <f>BC12+BC15+BC16+BC17+BC14</f>
        <v>676964.00700000057</v>
      </c>
      <c r="BD18" s="55">
        <f>BD12+BD15+BD16+BD17+BD14</f>
        <v>213502.21799999959</v>
      </c>
      <c r="BE18" s="55">
        <f>BE12+BE15+BE16+BE17+BE14</f>
        <v>1318061.3969999996</v>
      </c>
      <c r="BF18" s="55">
        <f>BF12+BF15+BF16+BF17+BF14</f>
        <v>261157.30999999991</v>
      </c>
      <c r="BG18" s="142"/>
      <c r="BH18" s="55">
        <f>BH12+BH15+BH16+BH17+BH14</f>
        <v>133643.3000000001</v>
      </c>
      <c r="BI18" s="55">
        <f>BI12+BI15+BI16+BI17+BI14</f>
        <v>146704.05300000001</v>
      </c>
      <c r="BJ18" s="55">
        <f>BJ12+BJ15+BJ16+BJ17+BJ14</f>
        <v>100067.94899999967</v>
      </c>
      <c r="BK18" s="55">
        <f>BK12+BK15+BK16+BK17+BK14</f>
        <v>50162.919999999503</v>
      </c>
      <c r="BL18" s="55">
        <f>BL12+BL15+BL16+BL17+BL14</f>
        <v>86659.38400000002</v>
      </c>
      <c r="BM18" s="55"/>
      <c r="BN18" s="55">
        <f t="shared" ref="BN18:BS18" si="28">BN12+BN15+BN16+BN17+BN14</f>
        <v>351142.70500000013</v>
      </c>
      <c r="BO18" s="55">
        <f t="shared" si="28"/>
        <v>389678.24200000003</v>
      </c>
      <c r="BP18" s="55">
        <f t="shared" si="28"/>
        <v>387168.58499999996</v>
      </c>
      <c r="BQ18" s="55">
        <f t="shared" si="28"/>
        <v>209260.95099999971</v>
      </c>
      <c r="BR18" s="55">
        <f t="shared" si="28"/>
        <v>-105438.80599999989</v>
      </c>
      <c r="BS18" s="55">
        <f t="shared" si="28"/>
        <v>311346.35100000008</v>
      </c>
      <c r="BT18" s="55">
        <f>BT12+BT15+BT16+BT17+BT14</f>
        <v>280818.67400000023</v>
      </c>
      <c r="BU18" s="55">
        <f>BU12+BU15+BU16+BU17+BU14</f>
        <v>230500.93699999986</v>
      </c>
      <c r="BV18" s="55">
        <f>BV12+BV15+BV16+BV17+BV14</f>
        <v>398756.88199999952</v>
      </c>
      <c r="BW18" s="55">
        <f>BW12+BW15+BW16+BW17+BW14</f>
        <v>919663.48100000026</v>
      </c>
      <c r="BX18" s="55"/>
      <c r="BY18" s="55">
        <f>BY12+BY15+BY16+BY17+BY14</f>
        <v>280347.35300000018</v>
      </c>
      <c r="BZ18" s="55">
        <f>BZ12+BZ15+BZ16+BZ17+BZ14</f>
        <v>209260.95099999965</v>
      </c>
      <c r="CA18" s="55"/>
      <c r="CC18" s="121">
        <v>150597.11499999999</v>
      </c>
      <c r="CD18" s="121">
        <v>326170.14600000001</v>
      </c>
      <c r="CE18" s="5">
        <v>478149.54</v>
      </c>
      <c r="CG18" s="260"/>
    </row>
    <row r="19" spans="2:85" ht="13.5" customHeight="1">
      <c r="B19" s="7" t="s">
        <v>293</v>
      </c>
      <c r="C19" s="143">
        <v>19557.464</v>
      </c>
      <c r="D19" s="143">
        <v>33868.898999999998</v>
      </c>
      <c r="E19" s="143">
        <v>15268.092000000001</v>
      </c>
      <c r="F19" s="143">
        <v>16196.996999999999</v>
      </c>
      <c r="G19" s="143">
        <v>15113.934999999999</v>
      </c>
      <c r="H19" s="143">
        <v>37280.766000000003</v>
      </c>
      <c r="I19" s="143">
        <v>36224.345000000001</v>
      </c>
      <c r="J19" s="143">
        <v>27400.95</v>
      </c>
      <c r="K19" s="143">
        <v>67907.001000000004</v>
      </c>
      <c r="L19" s="143">
        <v>124517.24400000001</v>
      </c>
      <c r="M19" s="143">
        <v>61815.59</v>
      </c>
      <c r="N19" s="143">
        <f>46977.32</f>
        <v>46977.32</v>
      </c>
      <c r="O19" s="143">
        <v>102808.226</v>
      </c>
      <c r="P19" s="143">
        <v>78953.013000000006</v>
      </c>
      <c r="Q19" s="143"/>
      <c r="R19" s="143">
        <v>3935.739</v>
      </c>
      <c r="S19" s="25">
        <f>BN19-R19</f>
        <v>3052.0260000000003</v>
      </c>
      <c r="T19" s="143">
        <f>11523.788-S19-R19</f>
        <v>4536.023000000001</v>
      </c>
      <c r="U19" s="25">
        <f>E19-T19-S19-R19</f>
        <v>3744.3039999999996</v>
      </c>
      <c r="V19" s="143">
        <v>3775.8119999999999</v>
      </c>
      <c r="W19" s="25">
        <f>BO19-V19</f>
        <v>4040.4250000000002</v>
      </c>
      <c r="X19" s="143">
        <f>10472.948-W19-V19</f>
        <v>2656.7110000000002</v>
      </c>
      <c r="Y19" s="25">
        <f>F19-X19-W19-V19</f>
        <v>5724.0490000000009</v>
      </c>
      <c r="Z19" s="143">
        <v>3756.24</v>
      </c>
      <c r="AA19" s="25">
        <f>BP19-Z19</f>
        <v>11427.085000000001</v>
      </c>
      <c r="AB19" s="143">
        <f>28555.698-AA19-Z19</f>
        <v>13372.372999999998</v>
      </c>
      <c r="AC19" s="25">
        <f>H19-AB19-AA19-Z19</f>
        <v>8725.0680000000029</v>
      </c>
      <c r="AD19" s="143">
        <v>4412.7539999999999</v>
      </c>
      <c r="AE19" s="25">
        <f>BQ19-AD19</f>
        <v>4537.1660000000002</v>
      </c>
      <c r="AF19" s="143">
        <f>16074.752-AE19-AD19</f>
        <v>7124.8319999999994</v>
      </c>
      <c r="AG19" s="25">
        <f>J19-AF19-AE19-AD19</f>
        <v>11326.198</v>
      </c>
      <c r="AH19" s="143">
        <v>28072.221000000001</v>
      </c>
      <c r="AI19" s="25">
        <f>BR19-AH19</f>
        <v>25324.657999999999</v>
      </c>
      <c r="AJ19" s="143">
        <f>63585.194-AI19-AH19</f>
        <v>10188.315000000006</v>
      </c>
      <c r="AK19" s="25">
        <f>K19-AJ19-AI19-AH19</f>
        <v>4321.8070000000007</v>
      </c>
      <c r="AL19" s="143">
        <v>22714.384999999998</v>
      </c>
      <c r="AM19" s="25">
        <f>BS19-AL19</f>
        <v>20838.483000000004</v>
      </c>
      <c r="AN19" s="143">
        <f>123969.821-AM19-AL19</f>
        <v>80416.952999999994</v>
      </c>
      <c r="AO19" s="25">
        <f>L19-AN19-AM19-AL19</f>
        <v>547.42300000000978</v>
      </c>
      <c r="AP19" s="143">
        <v>5396.4440000000004</v>
      </c>
      <c r="AQ19" s="25">
        <f>BT19-AP19</f>
        <v>22294.042000000001</v>
      </c>
      <c r="AR19" s="143">
        <f>48978.447-AQ19-AP19</f>
        <v>21287.960999999999</v>
      </c>
      <c r="AS19" s="25">
        <f>M19-AR19-AQ19-AP19</f>
        <v>12837.143</v>
      </c>
      <c r="AT19" s="143">
        <v>24115.573</v>
      </c>
      <c r="AU19" s="25">
        <f>BU19-AT19</f>
        <v>11921.397999999997</v>
      </c>
      <c r="AV19" s="143">
        <f>39428.427-AU19-AT19</f>
        <v>3391.4560000000056</v>
      </c>
      <c r="AW19" s="25">
        <f>N19-AV19-AU19-AT19</f>
        <v>7548.8929999999964</v>
      </c>
      <c r="AX19" s="143">
        <v>28765.129000000001</v>
      </c>
      <c r="AY19" s="25">
        <f>BV19-AX19</f>
        <v>17531.415000000001</v>
      </c>
      <c r="AZ19" s="143">
        <f>60808.515-AY19-AX19</f>
        <v>14511.970999999998</v>
      </c>
      <c r="BA19" s="25">
        <f>O19-AZ19-AY19-AX19</f>
        <v>41999.710999999996</v>
      </c>
      <c r="BB19" s="143">
        <v>20760.631000000001</v>
      </c>
      <c r="BC19" s="25">
        <f>BW19-BB19</f>
        <v>18440.341999999997</v>
      </c>
      <c r="BD19" s="143">
        <f>59813.362 -BC19-BB19</f>
        <v>20612.389000000003</v>
      </c>
      <c r="BE19" s="25">
        <f>P19-BD19-BC19-BB19</f>
        <v>19139.651000000005</v>
      </c>
      <c r="BF19" s="143">
        <v>23509.425999999999</v>
      </c>
      <c r="BG19"/>
      <c r="BH19" s="143">
        <v>3671.0079999999998</v>
      </c>
      <c r="BI19" s="25">
        <f>BY19-BH19</f>
        <v>11168.308999999999</v>
      </c>
      <c r="BJ19" s="143">
        <f>27823.269-BI19-BH19</f>
        <v>12983.951999999999</v>
      </c>
      <c r="BK19" s="25">
        <f>I19-Z19-AB19-AA19</f>
        <v>7668.6470000000027</v>
      </c>
      <c r="BL19" s="143">
        <v>4412.7539999999999</v>
      </c>
      <c r="BM19" s="143"/>
      <c r="BN19" s="143">
        <v>6987.7650000000003</v>
      </c>
      <c r="BO19" s="143">
        <v>7816.2370000000001</v>
      </c>
      <c r="BP19" s="143">
        <v>15183.325000000001</v>
      </c>
      <c r="BQ19" s="143">
        <v>8949.92</v>
      </c>
      <c r="BR19" s="143">
        <v>53396.879000000001</v>
      </c>
      <c r="BS19" s="143">
        <v>43552.868000000002</v>
      </c>
      <c r="BT19" s="143">
        <v>27690.486000000001</v>
      </c>
      <c r="BU19" s="143">
        <v>36036.970999999998</v>
      </c>
      <c r="BV19" s="143">
        <v>46296.544000000002</v>
      </c>
      <c r="BW19" s="143">
        <v>39200.972999999998</v>
      </c>
      <c r="BX19" s="143"/>
      <c r="BY19" s="143">
        <v>14839.316999999999</v>
      </c>
      <c r="BZ19" s="143">
        <v>8949.92</v>
      </c>
      <c r="CA19" s="143"/>
      <c r="CC19" s="63"/>
      <c r="CD19" s="63"/>
      <c r="CG19" s="260"/>
    </row>
    <row r="20" spans="2:85" ht="13.5" customHeight="1">
      <c r="B20" s="7" t="s">
        <v>294</v>
      </c>
      <c r="C20" s="143">
        <v>-139227.17300000001</v>
      </c>
      <c r="D20" s="143">
        <v>-174032.519</v>
      </c>
      <c r="E20" s="143">
        <v>-207568.51800000001</v>
      </c>
      <c r="F20" s="143">
        <v>-196455.24299999999</v>
      </c>
      <c r="G20" s="143">
        <v>-195372.18100000001</v>
      </c>
      <c r="H20" s="143">
        <v>-181505.28</v>
      </c>
      <c r="I20" s="143">
        <v>-181142.09400000001</v>
      </c>
      <c r="J20" s="143">
        <v>-209910.8</v>
      </c>
      <c r="K20" s="143">
        <v>-254510.94899999999</v>
      </c>
      <c r="L20" s="143">
        <v>-234461.905</v>
      </c>
      <c r="M20" s="143">
        <v>-309849.69199999998</v>
      </c>
      <c r="N20" s="143">
        <f>-350424.957</f>
        <v>-350424.95699999999</v>
      </c>
      <c r="O20" s="143">
        <v>-350758.04200000002</v>
      </c>
      <c r="P20" s="143">
        <v>-335429.57400000002</v>
      </c>
      <c r="Q20" s="143"/>
      <c r="R20" s="143">
        <v>-54381.978999999999</v>
      </c>
      <c r="S20" s="25">
        <f>BN20-R20</f>
        <v>-56068.413000000008</v>
      </c>
      <c r="T20" s="199">
        <f>-159376.326-S20-R20</f>
        <v>-48925.934000000001</v>
      </c>
      <c r="U20" s="25">
        <f>E20-T20-S20-R20</f>
        <v>-48192.192000000003</v>
      </c>
      <c r="V20" s="143">
        <v>-51801.873</v>
      </c>
      <c r="W20" s="25">
        <f>BO20-V20</f>
        <v>-43827.314999999995</v>
      </c>
      <c r="X20" s="199">
        <f>-145347.459-W20-V20</f>
        <v>-49718.271000000001</v>
      </c>
      <c r="Y20" s="25">
        <f>F20-X20-W20-V20</f>
        <v>-51107.783999999978</v>
      </c>
      <c r="Z20" s="143">
        <v>-50233.337</v>
      </c>
      <c r="AA20" s="25">
        <f>BP20-Z20</f>
        <v>-44211.043999999994</v>
      </c>
      <c r="AB20" s="199">
        <f>-139784.912-AA20-Z20</f>
        <v>-45340.531000000017</v>
      </c>
      <c r="AC20" s="25">
        <f>H20-AB20-AA20-Z20</f>
        <v>-41720.367999999988</v>
      </c>
      <c r="AD20" s="143">
        <v>-54309.432000000001</v>
      </c>
      <c r="AE20" s="25">
        <f>BQ20-AD20</f>
        <v>-55575.907000000007</v>
      </c>
      <c r="AF20" s="143">
        <f>-147869.227-AE20-AD20</f>
        <v>-37983.888000000006</v>
      </c>
      <c r="AG20" s="25">
        <f>J20-AF20-AE20-AD20</f>
        <v>-62041.572999999975</v>
      </c>
      <c r="AH20" s="143">
        <v>-53153.389000000003</v>
      </c>
      <c r="AI20" s="25">
        <f>BR20-AH20</f>
        <v>-61728.703000000001</v>
      </c>
      <c r="AJ20" s="143">
        <f>-176938.059-AI20-AH20</f>
        <v>-62055.966999999997</v>
      </c>
      <c r="AK20" s="25">
        <f>K20-AJ20-AI20-AH20</f>
        <v>-77572.889999999985</v>
      </c>
      <c r="AL20" s="143">
        <v>-47771.875</v>
      </c>
      <c r="AM20" s="25">
        <f>BS20-AL20</f>
        <v>-53170.201000000001</v>
      </c>
      <c r="AN20" s="143">
        <f>-166696.133-AM20-AL20</f>
        <v>-65754.057000000001</v>
      </c>
      <c r="AO20" s="25">
        <f>L20-AN20-AM20-AL20</f>
        <v>-67765.771999999997</v>
      </c>
      <c r="AP20" s="143">
        <v>-108657.836</v>
      </c>
      <c r="AQ20" s="25">
        <f>BT20-AP20</f>
        <v>-33336.292000000001</v>
      </c>
      <c r="AR20" s="143">
        <f>-201891.374-AQ20-AP20</f>
        <v>-59897.245999999999</v>
      </c>
      <c r="AS20" s="25">
        <f>M20-AR20-AQ20-AP20</f>
        <v>-107958.31799999998</v>
      </c>
      <c r="AT20" s="143">
        <v>-96805.603000000003</v>
      </c>
      <c r="AU20" s="25">
        <f>BU20-AT20</f>
        <v>-91071.717000000004</v>
      </c>
      <c r="AV20" s="143">
        <f>-255786.52-AU20-AT20</f>
        <v>-67909.199999999983</v>
      </c>
      <c r="AW20" s="25">
        <f>N20-AV20-AU20-AT20</f>
        <v>-94638.436999999976</v>
      </c>
      <c r="AX20" s="143">
        <v>-90388.714999999997</v>
      </c>
      <c r="AY20" s="25">
        <f>BV20-AX20</f>
        <v>-88702.059000000008</v>
      </c>
      <c r="AZ20" s="143">
        <f>-265136.464-AY20-AX20</f>
        <v>-86045.689999999973</v>
      </c>
      <c r="BA20" s="25">
        <f>O20-AZ20-AY20-AX20</f>
        <v>-85621.578000000067</v>
      </c>
      <c r="BB20" s="143">
        <v>-94038.013999999996</v>
      </c>
      <c r="BC20" s="25">
        <f>BW20-BB20</f>
        <v>-84255.246000000014</v>
      </c>
      <c r="BD20" s="143">
        <f>-246995.032-BC20-BB20</f>
        <v>-68701.771999999997</v>
      </c>
      <c r="BE20" s="25">
        <f>P20-BD20-BC20-BB20</f>
        <v>-88434.542000000016</v>
      </c>
      <c r="BF20" s="143">
        <v>-69394.736000000004</v>
      </c>
      <c r="BG20"/>
      <c r="BH20" s="143">
        <v>-50066.245000000003</v>
      </c>
      <c r="BI20" s="25">
        <f>BY20-BH20</f>
        <v>-44102.529999999992</v>
      </c>
      <c r="BJ20" s="143">
        <f>-139455.425-BI20-BH20</f>
        <v>-45286.649999999987</v>
      </c>
      <c r="BK20" s="25">
        <f>I20-Z20-AB20-AA20</f>
        <v>-41357.182000000001</v>
      </c>
      <c r="BL20" s="143">
        <v>-54309.432000000001</v>
      </c>
      <c r="BM20" s="143"/>
      <c r="BN20" s="143">
        <v>-110450.39200000001</v>
      </c>
      <c r="BO20" s="143">
        <v>-95629.187999999995</v>
      </c>
      <c r="BP20" s="143">
        <v>-94444.380999999994</v>
      </c>
      <c r="BQ20" s="143">
        <v>-109885.33900000001</v>
      </c>
      <c r="BR20" s="143">
        <v>-114882.092</v>
      </c>
      <c r="BS20" s="143">
        <v>-100942.076</v>
      </c>
      <c r="BT20" s="143">
        <v>-141994.128</v>
      </c>
      <c r="BU20" s="143">
        <v>-187877.32</v>
      </c>
      <c r="BV20" s="143">
        <v>-179090.774</v>
      </c>
      <c r="BW20" s="143">
        <v>-178293.26</v>
      </c>
      <c r="BX20" s="143"/>
      <c r="BY20" s="143">
        <v>-94168.774999999994</v>
      </c>
      <c r="BZ20" s="143">
        <v>-109885.33900000001</v>
      </c>
      <c r="CA20" s="143"/>
      <c r="CC20" s="63"/>
      <c r="CD20" s="63"/>
      <c r="CG20" s="260"/>
    </row>
    <row r="21" spans="2:85" ht="13.5" customHeight="1">
      <c r="B21" s="1" t="s">
        <v>295</v>
      </c>
      <c r="C21" s="143">
        <f>26155.945-40226.654-41114.681</f>
        <v>-55185.39</v>
      </c>
      <c r="D21" s="143">
        <f>25272.409-18208.873-33455.45</f>
        <v>-26391.913999999997</v>
      </c>
      <c r="E21" s="143">
        <f>21247.989+3637.364-26087.89</f>
        <v>-1202.5369999999966</v>
      </c>
      <c r="F21" s="143">
        <f>15279.304-466.04-17264.195</f>
        <v>-2450.9310000000005</v>
      </c>
      <c r="G21" s="143">
        <f>(15279304-466040-17264195)/1000</f>
        <v>-2450.931</v>
      </c>
      <c r="H21" s="143">
        <f>(7092186-15793359-22494868)/1000</f>
        <v>-31196.041000000001</v>
      </c>
      <c r="I21" s="143">
        <f>(7092186-15580747-22494868)/1000</f>
        <v>-30983.429</v>
      </c>
      <c r="J21" s="143">
        <f>336.784-22065.192-21944.001</f>
        <v>-43672.409</v>
      </c>
      <c r="K21" s="143">
        <f>3579.174-29085.779-28678.051</f>
        <v>-54184.656000000003</v>
      </c>
      <c r="L21" s="143">
        <f>22662.137-41110.07-56003.432</f>
        <v>-74451.365000000005</v>
      </c>
      <c r="M21" s="143">
        <f>16815.716-7706.67-153721.901</f>
        <v>-144612.85500000001</v>
      </c>
      <c r="N21" s="143">
        <f>19044.549+38739.34-66019.02</f>
        <v>-8235.1310000000085</v>
      </c>
      <c r="O21" s="143">
        <f>24797.081-2548.839-63021.636</f>
        <v>-40773.394</v>
      </c>
      <c r="P21" s="143">
        <f>30301.086+44437.584-(52130.972)</f>
        <v>22607.697999999997</v>
      </c>
      <c r="Q21" s="143"/>
      <c r="R21" s="143">
        <f>5592.977+16.605-6285.019</f>
        <v>-675.43700000000081</v>
      </c>
      <c r="S21" s="25">
        <f>BN21-R21</f>
        <v>3205.3730000000023</v>
      </c>
      <c r="T21" s="143">
        <f>15431.963+3494.044-20794.127-S21-R21</f>
        <v>-4398.0560000000041</v>
      </c>
      <c r="U21" s="25">
        <f>E21-T21-S21-R21</f>
        <v>665.583000000006</v>
      </c>
      <c r="V21" s="143">
        <f>4371.96+2316.799-4283.507</f>
        <v>2405.2520000000004</v>
      </c>
      <c r="W21" s="25">
        <f>BO21-V21</f>
        <v>-7059.2530000000006</v>
      </c>
      <c r="X21" s="143">
        <f>9730.899+1077.901-10654.905-W21-V21</f>
        <v>4807.8959999999988</v>
      </c>
      <c r="Y21" s="25">
        <f>F21-X21-W21-V21</f>
        <v>-2604.8259999999991</v>
      </c>
      <c r="Z21" s="143">
        <f>(2394134+617271-6344480)/1000</f>
        <v>-3333.0749999999998</v>
      </c>
      <c r="AA21" s="25">
        <f>BP21-Z21</f>
        <v>-10102.456999999999</v>
      </c>
      <c r="AB21" s="143">
        <f>5436.026-16937.342-18114.625-AA21-Z21</f>
        <v>-16180.409</v>
      </c>
      <c r="AC21" s="25">
        <f>H21-AB21-AA21-Z21</f>
        <v>-1580.1000000000031</v>
      </c>
      <c r="AD21" s="143">
        <f>(887202+510869+66641)/1000</f>
        <v>1464.712</v>
      </c>
      <c r="AE21" s="25">
        <f>BQ21-AD21</f>
        <v>-10659.280999999999</v>
      </c>
      <c r="AF21" s="143">
        <f>-613.139-19594.921-14045.294-AE21-AD21</f>
        <v>-25058.785</v>
      </c>
      <c r="AG21" s="25">
        <f>J21-AF21-AE21-AD21</f>
        <v>-9419.0550000000003</v>
      </c>
      <c r="AH21" s="143">
        <f>-(2478.993+13188.965+10124.833)</f>
        <v>-25792.791000000001</v>
      </c>
      <c r="AI21" s="25">
        <f>BR21-AH21</f>
        <v>-15743.077000000001</v>
      </c>
      <c r="AJ21" s="143">
        <f>-3763.851-27819.351-15422.249-AI21-AH21</f>
        <v>-5469.5829999999987</v>
      </c>
      <c r="AK21" s="25">
        <f>K21-AJ21-AI21-AH21</f>
        <v>-7179.2049999999981</v>
      </c>
      <c r="AL21" s="143">
        <f>5203.08-15240.587-13628.005</f>
        <v>-23665.511999999999</v>
      </c>
      <c r="AM21" s="25">
        <f>BS21-AL21</f>
        <v>-20556.121999999999</v>
      </c>
      <c r="AN21" s="143">
        <f>14069.113-45488.032-38445.355-AM21-AL21</f>
        <v>-25642.640000000003</v>
      </c>
      <c r="AO21" s="25">
        <f>L21-AN21-AM21-AL21</f>
        <v>-4587.0910000000076</v>
      </c>
      <c r="AP21" s="143">
        <f>6011.224+33227.037-26964.404</f>
        <v>12273.857</v>
      </c>
      <c r="AQ21" s="25">
        <f>BT21-AP21</f>
        <v>-54114.182000000001</v>
      </c>
      <c r="AR21" s="143">
        <f>16553.36+1200.253-133092.133-AQ21-AP21</f>
        <v>-73498.195000000007</v>
      </c>
      <c r="AS21" s="25">
        <f>M21-AR21-AQ21-AP21</f>
        <v>-29274.335000000003</v>
      </c>
      <c r="AT21" s="143">
        <f>3614.252+3036.816-18730.946</f>
        <v>-12079.878000000001</v>
      </c>
      <c r="AU21" s="25">
        <f>BU21-AT21</f>
        <v>354.88400000000183</v>
      </c>
      <c r="AV21" s="143">
        <f>12331.587+23367.896-45091.23-AU21-AT21</f>
        <v>2333.2469999999958</v>
      </c>
      <c r="AW21" s="25">
        <f>N21-AV21-AU21-AT21</f>
        <v>1156.6159999999945</v>
      </c>
      <c r="AX21" s="143">
        <f>5606.295-2032.213-15027.684</f>
        <v>-11453.601999999999</v>
      </c>
      <c r="AY21" s="25">
        <f>BV21-AX21</f>
        <v>-21893.353000000003</v>
      </c>
      <c r="AZ21" s="143">
        <f>16936.959-4432.88-43684.137-AY21-AX21</f>
        <v>2166.8969999999972</v>
      </c>
      <c r="BA21" s="25">
        <f>O21-AZ21-AY21-AX21</f>
        <v>-9593.3359999999957</v>
      </c>
      <c r="BB21" s="143">
        <f>10036.743+12201.239-18860.288</f>
        <v>3377.6939999999995</v>
      </c>
      <c r="BC21" s="25">
        <f>BW21-BB21</f>
        <v>5351.2179999999971</v>
      </c>
      <c r="BD21" s="143">
        <f>26648.632+30195.877-42516.403-BC21-BB21</f>
        <v>5599.1940000000104</v>
      </c>
      <c r="BE21" s="25">
        <f>P21-BD21-BC21-BB21</f>
        <v>8279.5919999999896</v>
      </c>
      <c r="BF21" s="143">
        <f>11864.798-10930.868-5036.057</f>
        <v>-4102.1269999999995</v>
      </c>
      <c r="BG21" s="142"/>
      <c r="BH21" s="143">
        <f>(2394134+640584-6344480)/1000</f>
        <v>-3309.7620000000002</v>
      </c>
      <c r="BI21" s="25">
        <f>BY21-BH21</f>
        <v>-10040.851999999999</v>
      </c>
      <c r="BJ21" s="143">
        <f>5436.026-16592.306-18114.625-BI21-BH21</f>
        <v>-15920.290999999999</v>
      </c>
      <c r="BK21" s="25">
        <f>I21-Z21-AB21-AA21</f>
        <v>-1367.4880000000012</v>
      </c>
      <c r="BL21" s="143">
        <f>(887202+510869+66641)/1000</f>
        <v>1464.712</v>
      </c>
      <c r="BM21" s="143"/>
      <c r="BN21" s="143">
        <f>11068.964+6441.022-14980.05</f>
        <v>2529.9360000000015</v>
      </c>
      <c r="BO21" s="143">
        <f>7103.763-839.968-10917.796</f>
        <v>-4654.0010000000002</v>
      </c>
      <c r="BP21" s="143">
        <f>4035.861-5826.501-11644.892</f>
        <v>-13435.531999999999</v>
      </c>
      <c r="BQ21" s="143">
        <f>78.625+1243.574-10516.768</f>
        <v>-9194.5689999999995</v>
      </c>
      <c r="BR21" s="143">
        <f>-5074.5-21441.132-15020.236</f>
        <v>-41535.868000000002</v>
      </c>
      <c r="BS21" s="143">
        <f>8117.858-27257.443-25082.049</f>
        <v>-44221.633999999998</v>
      </c>
      <c r="BT21" s="143">
        <f>11266.09+31772.34-84878.755</f>
        <v>-41840.325000000004</v>
      </c>
      <c r="BU21" s="143">
        <f>6532.513+25848.165-44105.672</f>
        <v>-11724.993999999999</v>
      </c>
      <c r="BV21" s="143">
        <f>10117.03-13377.011-30086.974</f>
        <v>-33346.955000000002</v>
      </c>
      <c r="BW21" s="143">
        <f>18311.75+24710.672-34293.51</f>
        <v>8728.9119999999966</v>
      </c>
      <c r="BX21" s="143"/>
      <c r="BY21" s="143">
        <f>4035.861-5741.583-11644.892</f>
        <v>-13350.614</v>
      </c>
      <c r="BZ21" s="143">
        <f>78.625+1243.574-10516.768</f>
        <v>-9194.5689999999995</v>
      </c>
      <c r="CA21" s="143"/>
      <c r="CC21" s="63"/>
      <c r="CD21" s="63"/>
      <c r="CG21" s="260"/>
    </row>
    <row r="22" spans="2:85" s="5" customFormat="1" ht="13.5" customHeight="1">
      <c r="B22" s="5" t="s">
        <v>296</v>
      </c>
      <c r="C22" s="144">
        <f t="shared" ref="C22:H22" si="29">C18+C19+C20+C21</f>
        <v>540404.85999999929</v>
      </c>
      <c r="D22" s="144">
        <f t="shared" si="29"/>
        <v>613850.23599999957</v>
      </c>
      <c r="E22" s="144">
        <f t="shared" si="29"/>
        <v>743249.31400000001</v>
      </c>
      <c r="F22" s="144">
        <f t="shared" si="29"/>
        <v>640330.71100000059</v>
      </c>
      <c r="G22" s="144">
        <f t="shared" si="29"/>
        <v>640330.71099999989</v>
      </c>
      <c r="H22" s="144">
        <f t="shared" si="29"/>
        <v>618525.74100000085</v>
      </c>
      <c r="I22" s="144">
        <f t="shared" ref="I22:N22" si="30">I18+I19+I20+I21</f>
        <v>410984.30899999989</v>
      </c>
      <c r="J22" s="144">
        <f t="shared" si="30"/>
        <v>184981.96099999989</v>
      </c>
      <c r="K22" s="144">
        <f t="shared" si="30"/>
        <v>-87794.699000000444</v>
      </c>
      <c r="L22" s="144">
        <f t="shared" si="30"/>
        <v>591720.8600000001</v>
      </c>
      <c r="M22" s="144">
        <f>M18+M19+M20+M21</f>
        <v>-89392.919999999431</v>
      </c>
      <c r="N22" s="144">
        <f t="shared" si="30"/>
        <v>175868.8199999996</v>
      </c>
      <c r="O22" s="144">
        <f>O18+O19+O20+O21</f>
        <v>631405.47799999989</v>
      </c>
      <c r="P22" s="144">
        <f>P18+P19+P20+P21</f>
        <v>2217358.2329999995</v>
      </c>
      <c r="Q22" s="339"/>
      <c r="R22" s="144">
        <f t="shared" ref="R22:W22" si="31">R18+R19+R20+R21</f>
        <v>111401.89900000006</v>
      </c>
      <c r="S22" s="144">
        <f t="shared" si="31"/>
        <v>138808.11500000008</v>
      </c>
      <c r="T22" s="144">
        <f t="shared" si="31"/>
        <v>244281.28599999999</v>
      </c>
      <c r="U22" s="144">
        <f t="shared" si="31"/>
        <v>248758.01400000026</v>
      </c>
      <c r="V22" s="219">
        <f t="shared" si="31"/>
        <v>137636.59999999989</v>
      </c>
      <c r="W22" s="219">
        <f t="shared" si="31"/>
        <v>159574.69000000015</v>
      </c>
      <c r="X22" s="219">
        <f t="shared" ref="X22:AC22" si="32">X18+X19+X20+X21</f>
        <v>103406.16500000008</v>
      </c>
      <c r="Y22" s="144">
        <f t="shared" si="32"/>
        <v>239713.25600000058</v>
      </c>
      <c r="Z22" s="144">
        <f t="shared" si="32"/>
        <v>140450.73099999994</v>
      </c>
      <c r="AA22" s="219">
        <f t="shared" si="32"/>
        <v>154021.26600000006</v>
      </c>
      <c r="AB22" s="219">
        <f t="shared" si="32"/>
        <v>101405.41500000046</v>
      </c>
      <c r="AC22" s="219">
        <f t="shared" si="32"/>
        <v>222648.32900000113</v>
      </c>
      <c r="AD22" s="144">
        <f t="shared" ref="AD22:AI22" si="33">AD18+AD19+AD20+AD21</f>
        <v>38227.417999999991</v>
      </c>
      <c r="AE22" s="219">
        <f t="shared" si="33"/>
        <v>60903.544999999722</v>
      </c>
      <c r="AF22" s="144">
        <f t="shared" si="33"/>
        <v>15233.06699999997</v>
      </c>
      <c r="AG22" s="219">
        <f t="shared" si="33"/>
        <v>70617.931000000244</v>
      </c>
      <c r="AH22" s="144">
        <f t="shared" si="33"/>
        <v>-15916.071999999967</v>
      </c>
      <c r="AI22" s="219">
        <f t="shared" si="33"/>
        <v>-192543.81499999994</v>
      </c>
      <c r="AJ22" s="144">
        <f t="shared" ref="AJ22:AO22" si="34">AJ18+AJ19+AJ20+AJ21</f>
        <v>-25985.811999999169</v>
      </c>
      <c r="AK22" s="219">
        <f t="shared" si="34"/>
        <v>146650.99999999924</v>
      </c>
      <c r="AL22" s="144">
        <f t="shared" si="34"/>
        <v>90897.635000000053</v>
      </c>
      <c r="AM22" s="219">
        <f t="shared" si="34"/>
        <v>118837.87399999998</v>
      </c>
      <c r="AN22" s="144">
        <f t="shared" si="34"/>
        <v>195709.7669999995</v>
      </c>
      <c r="AO22" s="219">
        <f t="shared" si="34"/>
        <v>186275.58400000009</v>
      </c>
      <c r="AP22" s="144">
        <f t="shared" ref="AP22:AU22" si="35">AP18+AP19+AP20+AP21</f>
        <v>5674.4889999998086</v>
      </c>
      <c r="AQ22" s="219">
        <f t="shared" si="35"/>
        <v>119000.21800000043</v>
      </c>
      <c r="AR22" s="144">
        <f t="shared" si="35"/>
        <v>-66402.715000000448</v>
      </c>
      <c r="AS22" s="219">
        <f t="shared" si="35"/>
        <v>-147664.91200000001</v>
      </c>
      <c r="AT22" s="144">
        <f t="shared" si="35"/>
        <v>-76010.445999999851</v>
      </c>
      <c r="AU22" s="219">
        <f t="shared" si="35"/>
        <v>142946.03999999969</v>
      </c>
      <c r="AV22" s="144">
        <f t="shared" ref="AV22:BA22" si="36">AV18+AV19+AV20+AV21</f>
        <v>-33245.033999999447</v>
      </c>
      <c r="AW22" s="219">
        <f t="shared" si="36"/>
        <v>142178.26000000018</v>
      </c>
      <c r="AX22" s="144">
        <f t="shared" si="36"/>
        <v>58371.953000000198</v>
      </c>
      <c r="AY22" s="219">
        <f t="shared" si="36"/>
        <v>174243.74399999925</v>
      </c>
      <c r="AZ22" s="144">
        <f t="shared" si="36"/>
        <v>72675.894000000437</v>
      </c>
      <c r="BA22" s="219">
        <f t="shared" si="36"/>
        <v>326113.88700000034</v>
      </c>
      <c r="BB22" s="144">
        <f>BB18+BB19+BB20+BB21</f>
        <v>172799.78499999986</v>
      </c>
      <c r="BC22" s="219">
        <f>BC18+BC19+BC20+BC21</f>
        <v>616500.32100000046</v>
      </c>
      <c r="BD22" s="144">
        <f>BD18+BD19+BD20+BD21</f>
        <v>171012.0289999996</v>
      </c>
      <c r="BE22" s="219">
        <f>BE18+BE19+BE20+BE21</f>
        <v>1257046.0979999995</v>
      </c>
      <c r="BF22" s="144">
        <f>BF18+BF19+BF20+BF21</f>
        <v>211169.87299999991</v>
      </c>
      <c r="BG22"/>
      <c r="BH22" s="144">
        <f>BH18+BH19+BH20+BH21</f>
        <v>83938.301000000109</v>
      </c>
      <c r="BI22" s="219">
        <f>BI18+BI19+BI20+BI21</f>
        <v>103728.98000000003</v>
      </c>
      <c r="BJ22" s="144">
        <f>BJ18+BJ19+BJ20+BJ21</f>
        <v>51844.959999999701</v>
      </c>
      <c r="BK22" s="219">
        <f>BK18+BK19+BK20+BK21</f>
        <v>15106.896999999506</v>
      </c>
      <c r="BL22" s="144">
        <f>BL18+BL19+BL20+BL21</f>
        <v>38227.41800000002</v>
      </c>
      <c r="BM22" s="339"/>
      <c r="BN22" s="144">
        <f t="shared" ref="BN22:BS22" si="37">BN18+BN19+BN20+BN21</f>
        <v>250210.01400000014</v>
      </c>
      <c r="BO22" s="144">
        <f t="shared" si="37"/>
        <v>297211.2900000001</v>
      </c>
      <c r="BP22" s="144">
        <f t="shared" si="37"/>
        <v>294471.99699999997</v>
      </c>
      <c r="BQ22" s="144">
        <f t="shared" si="37"/>
        <v>99130.962999999712</v>
      </c>
      <c r="BR22" s="351">
        <f t="shared" si="37"/>
        <v>-208459.88699999993</v>
      </c>
      <c r="BS22" s="144">
        <f t="shared" si="37"/>
        <v>209735.50900000011</v>
      </c>
      <c r="BT22" s="413">
        <f>BT18+BT19+BT20+BT21</f>
        <v>124674.7070000002</v>
      </c>
      <c r="BU22" s="144">
        <f>BU18+BU19+BU20+BU21</f>
        <v>66935.593999999866</v>
      </c>
      <c r="BV22" s="144">
        <f>BV18+BV19+BV20+BV21</f>
        <v>232615.69699999952</v>
      </c>
      <c r="BW22" s="144">
        <f>BW18+BW19+BW20+BW21</f>
        <v>789300.10600000026</v>
      </c>
      <c r="BX22" s="339"/>
      <c r="BY22" s="144">
        <f>BY18+BY19+BY20+BY21</f>
        <v>187667.28100000016</v>
      </c>
      <c r="BZ22" s="144">
        <f>BZ18+BZ19+BZ20+BZ21</f>
        <v>99130.962999999654</v>
      </c>
      <c r="CA22" s="339"/>
      <c r="CC22" s="121"/>
      <c r="CD22" s="121"/>
      <c r="CG22" s="260"/>
    </row>
    <row r="23" spans="2:85" s="5" customFormat="1" ht="13.5" customHeight="1">
      <c r="B23" s="7" t="s">
        <v>297</v>
      </c>
      <c r="C23" s="143">
        <v>-101425.82399999999</v>
      </c>
      <c r="D23" s="143">
        <v>-134095.68599999999</v>
      </c>
      <c r="E23" s="143">
        <v>-148580.17600000001</v>
      </c>
      <c r="F23" s="143">
        <v>-159920.61300000001</v>
      </c>
      <c r="G23" s="143">
        <v>-159920.61300000001</v>
      </c>
      <c r="H23" s="143">
        <v>-152653.82999999999</v>
      </c>
      <c r="I23" s="143">
        <v>-101167.095</v>
      </c>
      <c r="J23" s="143">
        <v>-62097.989000000001</v>
      </c>
      <c r="K23" s="143">
        <v>-5243.0739999999996</v>
      </c>
      <c r="L23" s="143">
        <v>-137325.967</v>
      </c>
      <c r="M23" s="143">
        <v>80781.84</v>
      </c>
      <c r="N23" s="143">
        <v>-27913.012999999999</v>
      </c>
      <c r="O23" s="143">
        <v>-200897.06899999999</v>
      </c>
      <c r="P23" s="143">
        <v>-535651.52899999998</v>
      </c>
      <c r="Q23" s="143"/>
      <c r="R23" s="143">
        <v>-20399.589</v>
      </c>
      <c r="S23" s="25">
        <f>BN23-R23</f>
        <v>-30086.646999999997</v>
      </c>
      <c r="T23" s="143">
        <f>-71778.793-S23-R23</f>
        <v>-21292.557000000008</v>
      </c>
      <c r="U23" s="25">
        <f>E23-T23-S23-R23</f>
        <v>-76801.383000000002</v>
      </c>
      <c r="V23" s="143">
        <v>-29460.29</v>
      </c>
      <c r="W23" s="143">
        <f>BO23-V23</f>
        <v>-40121.704999999994</v>
      </c>
      <c r="X23" s="143">
        <f>-96767.076-W23-V23</f>
        <v>-27185.081000000006</v>
      </c>
      <c r="Y23" s="25">
        <f>F23-X23-W23-V23</f>
        <v>-63153.537000000018</v>
      </c>
      <c r="Z23" s="143">
        <v>-35758.106</v>
      </c>
      <c r="AA23" s="143">
        <f>BP23-Z23</f>
        <v>-28281.048000000003</v>
      </c>
      <c r="AB23" s="143">
        <f>-89312.595-AA23-Z23</f>
        <v>-25273.440999999999</v>
      </c>
      <c r="AC23" s="25">
        <f>H23-AB23-AA23-Z23</f>
        <v>-63341.234999999986</v>
      </c>
      <c r="AD23" s="143">
        <v>-14400.611999999999</v>
      </c>
      <c r="AE23" s="25">
        <f>BQ23-AD23</f>
        <v>-14824.508</v>
      </c>
      <c r="AF23" s="143">
        <f>-38987.134-AE23-AD23</f>
        <v>-9762.0139999999974</v>
      </c>
      <c r="AG23" s="25">
        <f>J23-AF23-AE23-AD23</f>
        <v>-23110.855000000003</v>
      </c>
      <c r="AH23" s="143">
        <v>-2182.4740000000002</v>
      </c>
      <c r="AI23" s="25">
        <f>BR23-AH23</f>
        <v>49471.331000000006</v>
      </c>
      <c r="AJ23" s="143">
        <f>47995.639-AI23-AH23</f>
        <v>706.78199999999742</v>
      </c>
      <c r="AK23" s="25">
        <f>K23-AJ23-AI23-AH23</f>
        <v>-53238.713000000003</v>
      </c>
      <c r="AL23" s="143">
        <v>-22309.986000000001</v>
      </c>
      <c r="AM23" s="25">
        <f>BS23-AL23</f>
        <v>-34146.639999999999</v>
      </c>
      <c r="AN23" s="143">
        <f>-106620.197-AM23-AL23</f>
        <v>-50163.570999999996</v>
      </c>
      <c r="AO23" s="25">
        <f>L23-AN23-AM23-AL23</f>
        <v>-30705.770000000008</v>
      </c>
      <c r="AP23" s="143">
        <v>17397.789000000001</v>
      </c>
      <c r="AQ23" s="25">
        <f>BT23-AP23</f>
        <v>-20172.839</v>
      </c>
      <c r="AR23" s="143">
        <f>27079.479-AQ23-AP23</f>
        <v>29854.528999999999</v>
      </c>
      <c r="AS23" s="25">
        <f>M23-AR23-AQ23-AP23</f>
        <v>53702.36099999999</v>
      </c>
      <c r="AT23" s="143">
        <v>20643.061000000002</v>
      </c>
      <c r="AU23" s="25">
        <f>BU23-AT23</f>
        <v>-30881.21</v>
      </c>
      <c r="AV23" s="143">
        <f>3355.558-AU23-AT23</f>
        <v>13593.706999999995</v>
      </c>
      <c r="AW23" s="25">
        <f>N23-AV23-AU23-AT23</f>
        <v>-31268.570999999996</v>
      </c>
      <c r="AX23" s="143">
        <v>-23193.99</v>
      </c>
      <c r="AY23" s="25">
        <f>BV23-AX23</f>
        <v>-68739.61</v>
      </c>
      <c r="AZ23" s="143">
        <f>-113714.95-AY23-AX23</f>
        <v>-21781.349999999995</v>
      </c>
      <c r="BA23" s="25">
        <f>O23-AZ23-AY23-AX23</f>
        <v>-87182.118999999977</v>
      </c>
      <c r="BB23" s="143">
        <v>-43348.540999999997</v>
      </c>
      <c r="BC23" s="25">
        <f>BW23-BB23</f>
        <v>-158935.54399999999</v>
      </c>
      <c r="BD23" s="143">
        <f>-246752.197-BC23-BB23</f>
        <v>-44468.111999999994</v>
      </c>
      <c r="BE23" s="25">
        <f>P23-BD23-BC23-BB23</f>
        <v>-288899.33200000005</v>
      </c>
      <c r="BF23" s="143">
        <v>-62303.523999999998</v>
      </c>
      <c r="BG23"/>
      <c r="BH23" s="143">
        <v>-21746.325000000001</v>
      </c>
      <c r="BI23" s="25">
        <f>BY23-BH23</f>
        <v>-15952.797999999999</v>
      </c>
      <c r="BJ23" s="143">
        <f>-50556.535-BI23-BH23</f>
        <v>-12857.412000000008</v>
      </c>
      <c r="BK23" s="25">
        <f>I23-Z23-AB23-AA23</f>
        <v>-11854.5</v>
      </c>
      <c r="BL23" s="143">
        <v>-14400.611999999999</v>
      </c>
      <c r="BM23" s="143"/>
      <c r="BN23" s="143">
        <v>-50486.235999999997</v>
      </c>
      <c r="BO23" s="143">
        <v>-69581.994999999995</v>
      </c>
      <c r="BP23" s="143">
        <v>-64039.154000000002</v>
      </c>
      <c r="BQ23" s="143">
        <v>-29225.119999999999</v>
      </c>
      <c r="BR23" s="143">
        <v>47288.857000000004</v>
      </c>
      <c r="BS23" s="143">
        <v>-56456.625999999997</v>
      </c>
      <c r="BT23" s="143">
        <v>-2775.05</v>
      </c>
      <c r="BU23" s="143">
        <v>-10238.148999999999</v>
      </c>
      <c r="BV23" s="143">
        <v>-91933.6</v>
      </c>
      <c r="BW23" s="143">
        <v>-202284.08499999999</v>
      </c>
      <c r="BX23" s="143"/>
      <c r="BY23" s="143">
        <v>-37699.123</v>
      </c>
      <c r="BZ23" s="143">
        <v>-29225.119999999999</v>
      </c>
      <c r="CA23" s="143"/>
      <c r="CC23" s="121"/>
      <c r="CD23" s="121"/>
      <c r="CG23" s="260"/>
    </row>
    <row r="24" spans="2:85" s="5" customFormat="1" ht="13.5" customHeight="1">
      <c r="B24" s="5" t="s">
        <v>298</v>
      </c>
      <c r="C24" s="55">
        <f t="shared" ref="C24:H24" si="38">C22+C23</f>
        <v>438979.03599999927</v>
      </c>
      <c r="D24" s="55">
        <f t="shared" si="38"/>
        <v>479754.54999999958</v>
      </c>
      <c r="E24" s="55">
        <f t="shared" si="38"/>
        <v>594669.13800000004</v>
      </c>
      <c r="F24" s="55">
        <f t="shared" si="38"/>
        <v>480410.09800000058</v>
      </c>
      <c r="G24" s="55">
        <f t="shared" si="38"/>
        <v>480410.09799999988</v>
      </c>
      <c r="H24" s="55">
        <f t="shared" si="38"/>
        <v>465871.9110000009</v>
      </c>
      <c r="I24" s="55">
        <f t="shared" ref="I24:N24" si="39">I22+I23</f>
        <v>309817.21399999992</v>
      </c>
      <c r="J24" s="55">
        <f t="shared" si="39"/>
        <v>122883.97199999989</v>
      </c>
      <c r="K24" s="55">
        <f t="shared" si="39"/>
        <v>-93037.773000000438</v>
      </c>
      <c r="L24" s="55">
        <f t="shared" si="39"/>
        <v>454394.8930000001</v>
      </c>
      <c r="M24" s="55">
        <f>M22+M23</f>
        <v>-8611.0799999994342</v>
      </c>
      <c r="N24" s="55">
        <f t="shared" si="39"/>
        <v>147955.80699999959</v>
      </c>
      <c r="O24" s="55">
        <f>O22+O23</f>
        <v>430508.40899999987</v>
      </c>
      <c r="P24" s="55">
        <f>P22+P23</f>
        <v>1681706.7039999994</v>
      </c>
      <c r="Q24" s="55"/>
      <c r="R24" s="55">
        <f t="shared" ref="R24:W24" si="40">R22+R23</f>
        <v>91002.310000000056</v>
      </c>
      <c r="S24" s="55">
        <f t="shared" si="40"/>
        <v>108721.46800000008</v>
      </c>
      <c r="T24" s="55">
        <f t="shared" si="40"/>
        <v>222988.72899999999</v>
      </c>
      <c r="U24" s="55">
        <f t="shared" si="40"/>
        <v>171956.63100000026</v>
      </c>
      <c r="V24" s="55">
        <f t="shared" si="40"/>
        <v>108176.30999999988</v>
      </c>
      <c r="W24" s="55">
        <f t="shared" si="40"/>
        <v>119452.98500000016</v>
      </c>
      <c r="X24" s="55">
        <f t="shared" ref="X24:AC24" si="41">X22+X23</f>
        <v>76221.084000000075</v>
      </c>
      <c r="Y24" s="55">
        <f t="shared" si="41"/>
        <v>176559.71900000056</v>
      </c>
      <c r="Z24" s="55">
        <f t="shared" si="41"/>
        <v>104692.62499999994</v>
      </c>
      <c r="AA24" s="55">
        <f t="shared" si="41"/>
        <v>125740.21800000005</v>
      </c>
      <c r="AB24" s="55">
        <f t="shared" si="41"/>
        <v>76131.974000000453</v>
      </c>
      <c r="AC24" s="55">
        <f t="shared" si="41"/>
        <v>159307.09400000115</v>
      </c>
      <c r="AD24" s="55">
        <f t="shared" ref="AD24:AI24" si="42">AD22+AD23</f>
        <v>23826.80599999999</v>
      </c>
      <c r="AE24" s="55">
        <f t="shared" si="42"/>
        <v>46079.03699999972</v>
      </c>
      <c r="AF24" s="55">
        <f t="shared" si="42"/>
        <v>5471.0529999999726</v>
      </c>
      <c r="AG24" s="55">
        <f t="shared" si="42"/>
        <v>47507.076000000241</v>
      </c>
      <c r="AH24" s="55">
        <f t="shared" si="42"/>
        <v>-18098.545999999966</v>
      </c>
      <c r="AI24" s="55">
        <f t="shared" si="42"/>
        <v>-143072.48399999994</v>
      </c>
      <c r="AJ24" s="55">
        <f t="shared" ref="AJ24:AO24" si="43">AJ22+AJ23</f>
        <v>-25279.029999999169</v>
      </c>
      <c r="AK24" s="55">
        <f t="shared" si="43"/>
        <v>93412.28699999924</v>
      </c>
      <c r="AL24" s="55">
        <f t="shared" si="43"/>
        <v>68587.649000000049</v>
      </c>
      <c r="AM24" s="55">
        <f t="shared" si="43"/>
        <v>84691.233999999982</v>
      </c>
      <c r="AN24" s="55">
        <f t="shared" si="43"/>
        <v>145546.1959999995</v>
      </c>
      <c r="AO24" s="55">
        <f t="shared" si="43"/>
        <v>155569.81400000007</v>
      </c>
      <c r="AP24" s="55">
        <f t="shared" ref="AP24:AU24" si="44">AP22+AP23</f>
        <v>23072.277999999809</v>
      </c>
      <c r="AQ24" s="55">
        <f t="shared" si="44"/>
        <v>98827.379000000423</v>
      </c>
      <c r="AR24" s="55">
        <f t="shared" si="44"/>
        <v>-36548.186000000453</v>
      </c>
      <c r="AS24" s="55">
        <f t="shared" si="44"/>
        <v>-93962.551000000021</v>
      </c>
      <c r="AT24" s="55">
        <f t="shared" si="44"/>
        <v>-55367.384999999849</v>
      </c>
      <c r="AU24" s="55">
        <f t="shared" si="44"/>
        <v>112064.8299999997</v>
      </c>
      <c r="AV24" s="55">
        <f t="shared" ref="AV24:BA24" si="45">AV22+AV23</f>
        <v>-19651.326999999452</v>
      </c>
      <c r="AW24" s="55">
        <f t="shared" si="45"/>
        <v>110909.68900000019</v>
      </c>
      <c r="AX24" s="55">
        <f t="shared" si="45"/>
        <v>35177.963000000193</v>
      </c>
      <c r="AY24" s="55">
        <f t="shared" si="45"/>
        <v>105504.13399999925</v>
      </c>
      <c r="AZ24" s="55">
        <f t="shared" si="45"/>
        <v>50894.544000000446</v>
      </c>
      <c r="BA24" s="55">
        <f t="shared" si="45"/>
        <v>238931.76800000036</v>
      </c>
      <c r="BB24" s="55">
        <f>BB22+BB23</f>
        <v>129451.24399999986</v>
      </c>
      <c r="BC24" s="55">
        <f>BC22+BC23</f>
        <v>457564.77700000047</v>
      </c>
      <c r="BD24" s="55">
        <f>BD22+BD23</f>
        <v>126543.91699999961</v>
      </c>
      <c r="BE24" s="55">
        <f>BE22+BE23</f>
        <v>968146.76599999948</v>
      </c>
      <c r="BF24" s="55">
        <f>BF22+BF23</f>
        <v>148866.3489999999</v>
      </c>
      <c r="BG24"/>
      <c r="BH24" s="55">
        <f>BH22+BH23</f>
        <v>62191.976000000112</v>
      </c>
      <c r="BI24" s="55">
        <f>BI22+BI23</f>
        <v>87776.18200000003</v>
      </c>
      <c r="BJ24" s="55">
        <f>BJ22+BJ23</f>
        <v>38987.54799999969</v>
      </c>
      <c r="BK24" s="55">
        <f>BK22+BK23</f>
        <v>3252.3969999995061</v>
      </c>
      <c r="BL24" s="55">
        <f>BL22+BL23</f>
        <v>23826.806000000019</v>
      </c>
      <c r="BM24" s="55"/>
      <c r="BN24" s="55">
        <f t="shared" ref="BN24:BS24" si="46">BN22+BN23</f>
        <v>199723.77800000014</v>
      </c>
      <c r="BO24" s="55">
        <f t="shared" si="46"/>
        <v>227629.2950000001</v>
      </c>
      <c r="BP24" s="55">
        <f t="shared" si="46"/>
        <v>230432.84299999996</v>
      </c>
      <c r="BQ24" s="55">
        <f t="shared" si="46"/>
        <v>69905.842999999717</v>
      </c>
      <c r="BR24" s="8">
        <f t="shared" si="46"/>
        <v>-161171.02999999991</v>
      </c>
      <c r="BS24" s="8">
        <f t="shared" si="46"/>
        <v>153278.88300000012</v>
      </c>
      <c r="BT24" s="55">
        <f>BT22+BT23</f>
        <v>121899.6570000002</v>
      </c>
      <c r="BU24" s="55">
        <f>BU22+BU23</f>
        <v>56697.444999999869</v>
      </c>
      <c r="BV24" s="55">
        <f>BV22+BV23</f>
        <v>140682.09699999951</v>
      </c>
      <c r="BW24" s="55">
        <f>BW22+BW23</f>
        <v>587016.0210000003</v>
      </c>
      <c r="BX24" s="55"/>
      <c r="BY24" s="55">
        <f>BY22+BY23</f>
        <v>149968.15800000017</v>
      </c>
      <c r="BZ24" s="55">
        <f>BZ22+BZ23</f>
        <v>69905.842999999659</v>
      </c>
      <c r="CA24" s="55"/>
      <c r="CC24" s="121">
        <v>93668.103000000003</v>
      </c>
      <c r="CD24" s="121">
        <v>196361.11499999999</v>
      </c>
      <c r="CE24" s="5">
        <v>279718.65899999999</v>
      </c>
      <c r="CG24" s="260"/>
    </row>
    <row r="25" spans="2:85" ht="13.5" customHeight="1">
      <c r="B25" s="7" t="s">
        <v>299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/>
      <c r="R25" s="4">
        <v>0</v>
      </c>
      <c r="S25" s="6">
        <f>BN25-R25</f>
        <v>0</v>
      </c>
      <c r="T25" s="4">
        <f>0-S25-R25</f>
        <v>0</v>
      </c>
      <c r="U25" s="6">
        <f>E25-T25-S25-R25</f>
        <v>0</v>
      </c>
      <c r="V25" s="4">
        <v>0</v>
      </c>
      <c r="W25" s="4">
        <f>BO25-V25</f>
        <v>0</v>
      </c>
      <c r="X25" s="4">
        <f>0-W25-V25</f>
        <v>0</v>
      </c>
      <c r="Y25" s="6">
        <f t="shared" ref="Y25:AH25" si="47">F25-X25-W25-V25</f>
        <v>0</v>
      </c>
      <c r="Z25" s="6">
        <f t="shared" si="47"/>
        <v>0</v>
      </c>
      <c r="AA25" s="6">
        <f t="shared" si="47"/>
        <v>0</v>
      </c>
      <c r="AB25" s="6">
        <f t="shared" si="47"/>
        <v>0</v>
      </c>
      <c r="AC25" s="6">
        <f t="shared" si="47"/>
        <v>0</v>
      </c>
      <c r="AD25" s="6">
        <f t="shared" si="47"/>
        <v>0</v>
      </c>
      <c r="AE25" s="6">
        <f t="shared" si="47"/>
        <v>0</v>
      </c>
      <c r="AF25" s="6">
        <f t="shared" si="47"/>
        <v>0</v>
      </c>
      <c r="AG25" s="6">
        <f t="shared" si="47"/>
        <v>0</v>
      </c>
      <c r="AH25" s="6">
        <f t="shared" si="47"/>
        <v>0</v>
      </c>
      <c r="AI25" s="6">
        <f t="shared" ref="AI25:BF25" si="48">Q25-AH25-AG25-AF25</f>
        <v>0</v>
      </c>
      <c r="AJ25" s="6">
        <f t="shared" si="48"/>
        <v>0</v>
      </c>
      <c r="AK25" s="6">
        <f t="shared" si="48"/>
        <v>0</v>
      </c>
      <c r="AL25" s="6">
        <f t="shared" si="48"/>
        <v>0</v>
      </c>
      <c r="AM25" s="6">
        <f t="shared" si="48"/>
        <v>0</v>
      </c>
      <c r="AN25" s="6">
        <f t="shared" si="48"/>
        <v>0</v>
      </c>
      <c r="AO25" s="6">
        <f t="shared" si="48"/>
        <v>0</v>
      </c>
      <c r="AP25" s="6">
        <f t="shared" si="48"/>
        <v>0</v>
      </c>
      <c r="AQ25" s="6">
        <f t="shared" si="48"/>
        <v>0</v>
      </c>
      <c r="AR25" s="6">
        <f t="shared" si="48"/>
        <v>0</v>
      </c>
      <c r="AS25" s="6">
        <f t="shared" si="48"/>
        <v>0</v>
      </c>
      <c r="AT25" s="6">
        <f t="shared" si="48"/>
        <v>0</v>
      </c>
      <c r="AU25" s="6">
        <f t="shared" si="48"/>
        <v>0</v>
      </c>
      <c r="AV25" s="6">
        <f t="shared" si="48"/>
        <v>0</v>
      </c>
      <c r="AW25" s="6">
        <f t="shared" si="48"/>
        <v>0</v>
      </c>
      <c r="AX25" s="145">
        <f t="shared" si="48"/>
        <v>0</v>
      </c>
      <c r="AY25" s="6">
        <f t="shared" si="48"/>
        <v>0</v>
      </c>
      <c r="AZ25" s="145">
        <f t="shared" si="48"/>
        <v>0</v>
      </c>
      <c r="BA25" s="6">
        <f t="shared" si="48"/>
        <v>0</v>
      </c>
      <c r="BB25" s="145">
        <f t="shared" si="48"/>
        <v>0</v>
      </c>
      <c r="BC25" s="6">
        <f t="shared" si="48"/>
        <v>0</v>
      </c>
      <c r="BD25" s="145">
        <f t="shared" si="48"/>
        <v>0</v>
      </c>
      <c r="BE25" s="6">
        <f>P25-BD25-BC25-BB25</f>
        <v>0</v>
      </c>
      <c r="BF25" s="145">
        <f t="shared" si="48"/>
        <v>0</v>
      </c>
      <c r="BG25" s="142"/>
      <c r="BH25" s="143">
        <f>(T25-BG25-AD25-AC25)/1000</f>
        <v>0</v>
      </c>
      <c r="BI25" s="6">
        <f>(U25-BH25-AE25-AD25)/1000</f>
        <v>0</v>
      </c>
      <c r="BJ25" s="143">
        <f>(V25-BI25-AF25-AE25)/1000</f>
        <v>0</v>
      </c>
      <c r="BK25" s="6">
        <f>I25-Z25-AB25-AA25</f>
        <v>0</v>
      </c>
      <c r="BL25" s="143">
        <f>(AB25-BK25-BJ25-BI25)/1000</f>
        <v>0</v>
      </c>
      <c r="BM25" s="143"/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/>
      <c r="BY25" s="4">
        <v>0</v>
      </c>
      <c r="BZ25" s="4">
        <v>0</v>
      </c>
      <c r="CA25" s="4"/>
      <c r="CC25" s="63"/>
      <c r="CD25" s="63">
        <v>0</v>
      </c>
      <c r="CE25" s="63">
        <v>0</v>
      </c>
      <c r="CG25" s="260"/>
    </row>
    <row r="26" spans="2:85" s="5" customFormat="1" ht="13.5" customHeight="1">
      <c r="B26" s="5" t="s">
        <v>300</v>
      </c>
      <c r="C26" s="55">
        <f t="shared" ref="C26:H26" si="49">C24+C25</f>
        <v>438979.03599999927</v>
      </c>
      <c r="D26" s="55">
        <f t="shared" si="49"/>
        <v>479754.54999999958</v>
      </c>
      <c r="E26" s="55">
        <f t="shared" si="49"/>
        <v>594669.13800000004</v>
      </c>
      <c r="F26" s="55">
        <f t="shared" si="49"/>
        <v>480410.09800000058</v>
      </c>
      <c r="G26" s="55">
        <f t="shared" si="49"/>
        <v>480410.09799999988</v>
      </c>
      <c r="H26" s="55">
        <f t="shared" si="49"/>
        <v>465871.9110000009</v>
      </c>
      <c r="I26" s="55">
        <f t="shared" ref="I26:N26" si="50">I24+I25</f>
        <v>309817.21399999992</v>
      </c>
      <c r="J26" s="55">
        <f t="shared" si="50"/>
        <v>122883.97199999989</v>
      </c>
      <c r="K26" s="55">
        <f t="shared" si="50"/>
        <v>-93037.773000000438</v>
      </c>
      <c r="L26" s="55">
        <f t="shared" si="50"/>
        <v>454394.8930000001</v>
      </c>
      <c r="M26" s="55">
        <f>M24+M25</f>
        <v>-8611.0799999994342</v>
      </c>
      <c r="N26" s="55">
        <f t="shared" si="50"/>
        <v>147955.80699999959</v>
      </c>
      <c r="O26" s="55">
        <f>O24+O25</f>
        <v>430508.40899999987</v>
      </c>
      <c r="P26" s="55">
        <f>P24+P25</f>
        <v>1681706.7039999994</v>
      </c>
      <c r="Q26" s="55"/>
      <c r="R26" s="55">
        <f t="shared" ref="R26:W26" si="51">R24+R25</f>
        <v>91002.310000000056</v>
      </c>
      <c r="S26" s="55">
        <f t="shared" si="51"/>
        <v>108721.46800000008</v>
      </c>
      <c r="T26" s="55">
        <f t="shared" si="51"/>
        <v>222988.72899999999</v>
      </c>
      <c r="U26" s="55">
        <f t="shared" si="51"/>
        <v>171956.63100000026</v>
      </c>
      <c r="V26" s="55">
        <f t="shared" si="51"/>
        <v>108176.30999999988</v>
      </c>
      <c r="W26" s="55">
        <f t="shared" si="51"/>
        <v>119452.98500000016</v>
      </c>
      <c r="X26" s="55">
        <f t="shared" ref="X26:AC26" si="52">X24+X25</f>
        <v>76221.084000000075</v>
      </c>
      <c r="Y26" s="55">
        <f t="shared" si="52"/>
        <v>176559.71900000056</v>
      </c>
      <c r="Z26" s="55">
        <f t="shared" si="52"/>
        <v>104692.62499999994</v>
      </c>
      <c r="AA26" s="55">
        <f t="shared" si="52"/>
        <v>125740.21800000005</v>
      </c>
      <c r="AB26" s="55">
        <f t="shared" si="52"/>
        <v>76131.974000000453</v>
      </c>
      <c r="AC26" s="55">
        <f t="shared" si="52"/>
        <v>159307.09400000115</v>
      </c>
      <c r="AD26" s="55">
        <f t="shared" ref="AD26:AI26" si="53">AD24+AD25</f>
        <v>23826.80599999999</v>
      </c>
      <c r="AE26" s="55">
        <f t="shared" si="53"/>
        <v>46079.03699999972</v>
      </c>
      <c r="AF26" s="55">
        <f t="shared" si="53"/>
        <v>5471.0529999999726</v>
      </c>
      <c r="AG26" s="55">
        <f t="shared" si="53"/>
        <v>47507.076000000241</v>
      </c>
      <c r="AH26" s="55">
        <f t="shared" si="53"/>
        <v>-18098.545999999966</v>
      </c>
      <c r="AI26" s="55">
        <f t="shared" si="53"/>
        <v>-143072.48399999994</v>
      </c>
      <c r="AJ26" s="55">
        <f t="shared" ref="AJ26:AO26" si="54">AJ24+AJ25</f>
        <v>-25279.029999999169</v>
      </c>
      <c r="AK26" s="55">
        <f t="shared" si="54"/>
        <v>93412.28699999924</v>
      </c>
      <c r="AL26" s="55">
        <f t="shared" si="54"/>
        <v>68587.649000000049</v>
      </c>
      <c r="AM26" s="55">
        <f t="shared" si="54"/>
        <v>84691.233999999982</v>
      </c>
      <c r="AN26" s="55">
        <f t="shared" si="54"/>
        <v>145546.1959999995</v>
      </c>
      <c r="AO26" s="55">
        <f t="shared" si="54"/>
        <v>155569.81400000007</v>
      </c>
      <c r="AP26" s="55">
        <f t="shared" ref="AP26:AU26" si="55">AP24+AP25</f>
        <v>23072.277999999809</v>
      </c>
      <c r="AQ26" s="55">
        <f t="shared" si="55"/>
        <v>98827.379000000423</v>
      </c>
      <c r="AR26" s="55">
        <f t="shared" si="55"/>
        <v>-36548.186000000453</v>
      </c>
      <c r="AS26" s="55">
        <f t="shared" si="55"/>
        <v>-93962.551000000021</v>
      </c>
      <c r="AT26" s="55">
        <f t="shared" si="55"/>
        <v>-55367.384999999849</v>
      </c>
      <c r="AU26" s="55">
        <f t="shared" si="55"/>
        <v>112064.8299999997</v>
      </c>
      <c r="AV26" s="55">
        <f t="shared" ref="AV26:BA26" si="56">AV24+AV25</f>
        <v>-19651.326999999452</v>
      </c>
      <c r="AW26" s="55">
        <f t="shared" si="56"/>
        <v>110909.68900000019</v>
      </c>
      <c r="AX26" s="55">
        <f t="shared" si="56"/>
        <v>35177.963000000193</v>
      </c>
      <c r="AY26" s="55">
        <f t="shared" si="56"/>
        <v>105504.13399999925</v>
      </c>
      <c r="AZ26" s="55">
        <f t="shared" si="56"/>
        <v>50894.544000000446</v>
      </c>
      <c r="BA26" s="55">
        <f t="shared" si="56"/>
        <v>238931.76800000036</v>
      </c>
      <c r="BB26" s="55">
        <f>BB24+BB25</f>
        <v>129451.24399999986</v>
      </c>
      <c r="BC26" s="55">
        <f>BC24+BC25</f>
        <v>457564.77700000047</v>
      </c>
      <c r="BD26" s="55">
        <f>BD24+BD25</f>
        <v>126543.91699999961</v>
      </c>
      <c r="BE26" s="55">
        <f>BE24+BE25</f>
        <v>968146.76599999948</v>
      </c>
      <c r="BF26" s="8">
        <f>BF24+BF25</f>
        <v>148866.3489999999</v>
      </c>
      <c r="BG26" s="142"/>
      <c r="BH26" s="55">
        <f>BH24+BH25</f>
        <v>62191.976000000112</v>
      </c>
      <c r="BI26" s="55">
        <f>BI24+BI25</f>
        <v>87776.18200000003</v>
      </c>
      <c r="BJ26" s="55">
        <f>BJ24+BJ25</f>
        <v>38987.54799999969</v>
      </c>
      <c r="BK26" s="55">
        <f>BK24+BK25</f>
        <v>3252.3969999995061</v>
      </c>
      <c r="BL26" s="55">
        <f>BL24+BL25</f>
        <v>23826.806000000019</v>
      </c>
      <c r="BM26" s="55"/>
      <c r="BN26" s="55">
        <f t="shared" ref="BN26:BS26" si="57">BN24+BN25</f>
        <v>199723.77800000014</v>
      </c>
      <c r="BO26" s="55">
        <f t="shared" si="57"/>
        <v>227629.2950000001</v>
      </c>
      <c r="BP26" s="55">
        <f t="shared" si="57"/>
        <v>230432.84299999996</v>
      </c>
      <c r="BQ26" s="8">
        <f t="shared" si="57"/>
        <v>69905.842999999717</v>
      </c>
      <c r="BR26" s="55">
        <f t="shared" si="57"/>
        <v>-161171.02999999991</v>
      </c>
      <c r="BS26" s="55">
        <f t="shared" si="57"/>
        <v>153278.88300000012</v>
      </c>
      <c r="BT26" s="55">
        <f>BT24+BT25</f>
        <v>121899.6570000002</v>
      </c>
      <c r="BU26" s="55">
        <f>BU24+BU25</f>
        <v>56697.444999999869</v>
      </c>
      <c r="BV26" s="55">
        <f>BV24+BV25</f>
        <v>140682.09699999951</v>
      </c>
      <c r="BW26" s="55">
        <f>BW24+BW25</f>
        <v>587016.0210000003</v>
      </c>
      <c r="BX26" s="55"/>
      <c r="BY26" s="55">
        <f>BY24+BY25</f>
        <v>149968.15800000017</v>
      </c>
      <c r="BZ26" s="8">
        <f>BZ24+BZ25</f>
        <v>69905.842999999659</v>
      </c>
      <c r="CA26" s="55"/>
      <c r="CC26" s="121">
        <f>CC24</f>
        <v>93668.103000000003</v>
      </c>
      <c r="CD26" s="121">
        <f>CD24</f>
        <v>196361.11499999999</v>
      </c>
      <c r="CE26" s="121">
        <f>CE24</f>
        <v>279718.65899999999</v>
      </c>
      <c r="CG26" s="260"/>
    </row>
    <row r="27" spans="2:85" s="49" customFormat="1" ht="13.5" customHeight="1">
      <c r="B27" s="70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220"/>
      <c r="R27" s="71"/>
      <c r="V27" s="220"/>
      <c r="W27" s="220"/>
      <c r="AA27" s="220"/>
      <c r="AE27" s="220"/>
      <c r="AI27" s="220"/>
      <c r="AM27" s="220"/>
      <c r="AQ27" s="220"/>
      <c r="AU27" s="220"/>
      <c r="AY27" s="220"/>
      <c r="BC27" s="220"/>
      <c r="BG27" s="142"/>
      <c r="CC27" s="207"/>
      <c r="CG27" s="260"/>
    </row>
    <row r="28" spans="2:85" ht="13.5" customHeight="1">
      <c r="B28" s="17" t="s">
        <v>301</v>
      </c>
      <c r="C28" s="46">
        <v>41975</v>
      </c>
      <c r="D28" s="46">
        <v>42341</v>
      </c>
      <c r="E28" s="46">
        <v>42708</v>
      </c>
      <c r="F28" s="46">
        <v>43073</v>
      </c>
      <c r="G28" s="46">
        <f t="shared" ref="G28:L28" si="58">G3</f>
        <v>43073</v>
      </c>
      <c r="H28" s="46">
        <f t="shared" si="58"/>
        <v>43438</v>
      </c>
      <c r="I28" s="46">
        <f t="shared" si="58"/>
        <v>43438</v>
      </c>
      <c r="J28" s="46">
        <f t="shared" si="58"/>
        <v>43803</v>
      </c>
      <c r="K28" s="46">
        <f t="shared" si="58"/>
        <v>44169</v>
      </c>
      <c r="L28" s="253">
        <f t="shared" si="58"/>
        <v>44534</v>
      </c>
      <c r="M28" s="253">
        <f>M3</f>
        <v>44899</v>
      </c>
      <c r="N28" s="253">
        <f>N3</f>
        <v>45264</v>
      </c>
      <c r="O28" s="253">
        <f>O3</f>
        <v>45630</v>
      </c>
      <c r="P28" s="253">
        <f>P3</f>
        <v>45995</v>
      </c>
      <c r="Q28" s="62"/>
      <c r="R28" s="46">
        <v>42437</v>
      </c>
      <c r="S28" s="46">
        <v>42527</v>
      </c>
      <c r="T28" s="46">
        <v>42622</v>
      </c>
      <c r="U28" s="46">
        <v>42714</v>
      </c>
      <c r="V28" s="46">
        <v>42801</v>
      </c>
      <c r="W28" s="46">
        <v>42892</v>
      </c>
      <c r="X28" s="46">
        <v>42987</v>
      </c>
      <c r="Y28" s="253">
        <v>43079</v>
      </c>
      <c r="Z28" s="46">
        <f t="shared" ref="Z28:AF28" si="59">Z3</f>
        <v>43166</v>
      </c>
      <c r="AA28" s="46">
        <f t="shared" si="59"/>
        <v>43257</v>
      </c>
      <c r="AB28" s="46">
        <f t="shared" si="59"/>
        <v>43352</v>
      </c>
      <c r="AC28" s="253">
        <f t="shared" si="59"/>
        <v>43444</v>
      </c>
      <c r="AD28" s="253">
        <f t="shared" si="59"/>
        <v>43531</v>
      </c>
      <c r="AE28" s="253">
        <f t="shared" si="59"/>
        <v>43622</v>
      </c>
      <c r="AF28" s="253">
        <f t="shared" si="59"/>
        <v>43738</v>
      </c>
      <c r="AG28" s="253">
        <f t="shared" ref="AG28:AM28" si="60">AG3</f>
        <v>43809</v>
      </c>
      <c r="AH28" s="253">
        <f t="shared" si="60"/>
        <v>43897</v>
      </c>
      <c r="AI28" s="253">
        <f t="shared" si="60"/>
        <v>43988</v>
      </c>
      <c r="AJ28" s="253">
        <f t="shared" si="60"/>
        <v>44104</v>
      </c>
      <c r="AK28" s="253">
        <f t="shared" si="60"/>
        <v>44175</v>
      </c>
      <c r="AL28" s="253">
        <f t="shared" si="60"/>
        <v>44262</v>
      </c>
      <c r="AM28" s="253">
        <f t="shared" si="60"/>
        <v>44348</v>
      </c>
      <c r="AN28" s="253">
        <f t="shared" ref="AN28:AS28" si="61">AN3</f>
        <v>44469</v>
      </c>
      <c r="AO28" s="253">
        <f t="shared" si="61"/>
        <v>44540</v>
      </c>
      <c r="AP28" s="253">
        <f t="shared" si="61"/>
        <v>44651</v>
      </c>
      <c r="AQ28" s="253">
        <f t="shared" si="61"/>
        <v>44713</v>
      </c>
      <c r="AR28" s="253">
        <f t="shared" si="61"/>
        <v>44834</v>
      </c>
      <c r="AS28" s="253">
        <f t="shared" si="61"/>
        <v>44905</v>
      </c>
      <c r="AT28" s="253">
        <f t="shared" ref="AT28:AY28" si="62">AT3</f>
        <v>45016</v>
      </c>
      <c r="AU28" s="253">
        <f t="shared" si="62"/>
        <v>45078</v>
      </c>
      <c r="AV28" s="253">
        <f t="shared" si="62"/>
        <v>45199</v>
      </c>
      <c r="AW28" s="253">
        <f t="shared" si="62"/>
        <v>45270</v>
      </c>
      <c r="AX28" s="253">
        <f t="shared" si="62"/>
        <v>45382</v>
      </c>
      <c r="AY28" s="253">
        <f t="shared" si="62"/>
        <v>45444</v>
      </c>
      <c r="AZ28" s="253">
        <f t="shared" ref="AZ28:BE28" si="63">AZ3</f>
        <v>45565</v>
      </c>
      <c r="BA28" s="253">
        <f t="shared" si="63"/>
        <v>45636</v>
      </c>
      <c r="BB28" s="253">
        <f t="shared" si="63"/>
        <v>45747</v>
      </c>
      <c r="BC28" s="253">
        <f t="shared" si="63"/>
        <v>45809</v>
      </c>
      <c r="BD28" s="253">
        <f t="shared" si="63"/>
        <v>45930</v>
      </c>
      <c r="BE28" s="253">
        <f t="shared" si="63"/>
        <v>46001</v>
      </c>
      <c r="BF28" s="253">
        <f>BF3</f>
        <v>46112</v>
      </c>
      <c r="BG28" s="142"/>
      <c r="BH28" s="46">
        <f>BH3</f>
        <v>43166</v>
      </c>
      <c r="BI28" s="46">
        <f>BI3</f>
        <v>43281</v>
      </c>
      <c r="BJ28" s="46">
        <f>BJ3</f>
        <v>43373</v>
      </c>
      <c r="BK28" s="253">
        <f>BK3</f>
        <v>43444</v>
      </c>
      <c r="BL28" s="253">
        <f>BL3</f>
        <v>43531</v>
      </c>
      <c r="BM28" s="329"/>
      <c r="BN28" s="46">
        <v>42530</v>
      </c>
      <c r="BO28" s="46">
        <v>42896</v>
      </c>
      <c r="BP28" s="46">
        <f t="shared" ref="BP28:BU28" si="64">BP3</f>
        <v>43261</v>
      </c>
      <c r="BQ28" s="253">
        <f t="shared" si="64"/>
        <v>43646</v>
      </c>
      <c r="BR28" s="253">
        <f t="shared" si="64"/>
        <v>44012</v>
      </c>
      <c r="BS28" s="253">
        <f t="shared" si="64"/>
        <v>44377</v>
      </c>
      <c r="BT28" s="253">
        <f t="shared" si="64"/>
        <v>44742</v>
      </c>
      <c r="BU28" s="253">
        <f t="shared" si="64"/>
        <v>45107</v>
      </c>
      <c r="BV28" s="253">
        <f>BV3</f>
        <v>45473</v>
      </c>
      <c r="BW28" s="253">
        <f>BW3</f>
        <v>45838</v>
      </c>
      <c r="BX28" s="329"/>
      <c r="BY28" s="253">
        <f>BY3</f>
        <v>43281</v>
      </c>
      <c r="BZ28" s="253">
        <f>BZ3</f>
        <v>43646</v>
      </c>
      <c r="CA28" s="62"/>
      <c r="CC28" s="203"/>
      <c r="CG28" s="260"/>
    </row>
    <row r="29" spans="2:85" s="49" customFormat="1" ht="13.5" customHeight="1">
      <c r="B29" s="1" t="s">
        <v>302</v>
      </c>
      <c r="C29" s="140">
        <v>445605.71600000001</v>
      </c>
      <c r="D29" s="140">
        <v>485319.45600000001</v>
      </c>
      <c r="E29" s="140">
        <v>526664.49100000004</v>
      </c>
      <c r="F29" s="140">
        <v>556942.53799999994</v>
      </c>
      <c r="G29" s="143">
        <v>580503.51</v>
      </c>
      <c r="H29" s="143">
        <v>598968.12199999997</v>
      </c>
      <c r="I29" s="143">
        <v>1030424.24</v>
      </c>
      <c r="J29" s="143">
        <v>1108745.9669999999</v>
      </c>
      <c r="K29" s="143">
        <v>978716.65399999998</v>
      </c>
      <c r="L29" s="143">
        <v>901241.50399999996</v>
      </c>
      <c r="M29" s="143">
        <v>1483314.9069999999</v>
      </c>
      <c r="N29" s="143">
        <f>1478556.46+41291.16</f>
        <v>1519847.6199999999</v>
      </c>
      <c r="O29" s="143">
        <f>1387171.214+35532.885</f>
        <v>1422704.0989999999</v>
      </c>
      <c r="P29" s="143">
        <f>1476334.739+30905.664</f>
        <v>1507240.4030000002</v>
      </c>
      <c r="Q29" s="143"/>
      <c r="R29" s="140">
        <v>125539.159</v>
      </c>
      <c r="S29" s="151">
        <f>BN29-R29</f>
        <v>131560.52600000001</v>
      </c>
      <c r="T29" s="140">
        <f>390560.638-S29-R29</f>
        <v>133460.95299999998</v>
      </c>
      <c r="U29" s="151">
        <f>E29-T29-S29-R29</f>
        <v>136103.85300000006</v>
      </c>
      <c r="V29" s="124">
        <v>138497.88500000001</v>
      </c>
      <c r="W29" s="63">
        <f>BO29-V29</f>
        <v>144720.75299999997</v>
      </c>
      <c r="X29" s="124">
        <f>419434.845-W29-V29</f>
        <v>136216.20699999999</v>
      </c>
      <c r="Y29" s="151">
        <f>F29-X29-W29-V29</f>
        <v>137507.69299999997</v>
      </c>
      <c r="Z29" s="143">
        <v>142435.80799999999</v>
      </c>
      <c r="AA29" s="63">
        <f>BP29-Z29</f>
        <v>147279.49899999998</v>
      </c>
      <c r="AB29" s="124">
        <f>442891.404-AA29-Z29</f>
        <v>153176.09700000004</v>
      </c>
      <c r="AC29" s="25">
        <f>H29-AB29-AA29-Z29</f>
        <v>156076.71799999996</v>
      </c>
      <c r="AD29" s="143">
        <v>266179.13299999997</v>
      </c>
      <c r="AE29" s="63">
        <f>BQ29-AD29</f>
        <v>279234.25700000004</v>
      </c>
      <c r="AF29" s="143">
        <f>824896.564-AE29-AD29</f>
        <v>279483.17400000006</v>
      </c>
      <c r="AG29" s="25">
        <f>J29-AF29-AE29-AD29</f>
        <v>283849.40299999987</v>
      </c>
      <c r="AH29" s="143">
        <v>286649.93</v>
      </c>
      <c r="AI29" s="63">
        <f>BR29-AH29</f>
        <v>254568.61599999998</v>
      </c>
      <c r="AJ29" s="143">
        <f>762024.745-AI29-AH29</f>
        <v>220806.19900000002</v>
      </c>
      <c r="AK29" s="25">
        <f>K29-AJ29-AI29-AH29</f>
        <v>216691.90899999999</v>
      </c>
      <c r="AL29" s="143">
        <v>208676.10200000001</v>
      </c>
      <c r="AM29" s="63">
        <f>BS29-AL29</f>
        <v>207388.59599999996</v>
      </c>
      <c r="AN29" s="143">
        <f>634820.562-AM29-AL29</f>
        <v>218755.86400000006</v>
      </c>
      <c r="AO29" s="25">
        <f>L29-AN29-AM29-AL29</f>
        <v>266420.94199999992</v>
      </c>
      <c r="AP29" s="143">
        <v>305465.91399999999</v>
      </c>
      <c r="AQ29" s="63">
        <f>BT29-AP29</f>
        <v>372193.50300000003</v>
      </c>
      <c r="AR29" s="143">
        <f>999056.02+81079.093-AQ29-AP29</f>
        <v>402475.69599999988</v>
      </c>
      <c r="AS29" s="25">
        <f>M29-AR29-AQ29-AP29</f>
        <v>403179.79400000011</v>
      </c>
      <c r="AT29" s="143">
        <v>383759.859</v>
      </c>
      <c r="AU29" s="25">
        <f>BU29-AT29</f>
        <v>380629.48799999995</v>
      </c>
      <c r="AV29" s="143">
        <f>1119184.417+28238.115-AU29-AT29</f>
        <v>383033.185</v>
      </c>
      <c r="AW29" s="25">
        <f>N29-AV29-AU29-AT29</f>
        <v>372425.08799999993</v>
      </c>
      <c r="AX29" s="143">
        <f>358719.206+6483.274</f>
        <v>365202.48</v>
      </c>
      <c r="AY29" s="25">
        <f>BV29-AX29</f>
        <v>360952.20999999996</v>
      </c>
      <c r="AZ29" s="143">
        <f>1047503.515+24280.81-AY29-AX29</f>
        <v>345629.63500000001</v>
      </c>
      <c r="BA29" s="25">
        <f>O29-AZ29-AY29-AX29</f>
        <v>350919.77399999998</v>
      </c>
      <c r="BB29" s="143">
        <f>351193.012+10724.148</f>
        <v>361917.16</v>
      </c>
      <c r="BC29" s="25">
        <f>BW29-BB29</f>
        <v>374252.50799999997</v>
      </c>
      <c r="BD29" s="143">
        <f>1090336.069+25066.904-BC29-BB29</f>
        <v>379233.30500000011</v>
      </c>
      <c r="BE29" s="25">
        <f>P29-BD29-BC29-BB29</f>
        <v>391837.43000000011</v>
      </c>
      <c r="BF29" s="143">
        <f>398147.131+2757.304</f>
        <v>400904.435</v>
      </c>
      <c r="BG29" s="142"/>
      <c r="BH29" s="143">
        <v>248488.886</v>
      </c>
      <c r="BI29" s="63">
        <f>BY29-BH29</f>
        <v>254822.05300000001</v>
      </c>
      <c r="BJ29" s="143">
        <f>763849.417-BI29-BH29</f>
        <v>260538.478</v>
      </c>
      <c r="BK29" s="25">
        <f>I29-Z29-AB29-AA29</f>
        <v>587532.83600000001</v>
      </c>
      <c r="BL29" s="143">
        <v>266179.13299999997</v>
      </c>
      <c r="BM29" s="143"/>
      <c r="BN29" s="140">
        <v>257099.685</v>
      </c>
      <c r="BO29" s="140">
        <v>283218.63799999998</v>
      </c>
      <c r="BP29" s="140">
        <v>289715.30699999997</v>
      </c>
      <c r="BQ29" s="140">
        <v>545413.39</v>
      </c>
      <c r="BR29" s="140">
        <v>541218.54599999997</v>
      </c>
      <c r="BS29" s="140">
        <v>416064.69799999997</v>
      </c>
      <c r="BT29" s="140">
        <f>625516.904+52142.513</f>
        <v>677659.41700000002</v>
      </c>
      <c r="BU29" s="140">
        <f>741043.845+23345.502</f>
        <v>764389.34699999995</v>
      </c>
      <c r="BV29" s="140">
        <f>709611.982+16542.708</f>
        <v>726154.69</v>
      </c>
      <c r="BW29" s="140">
        <f>716256.99+19912.678</f>
        <v>736169.66799999995</v>
      </c>
      <c r="BX29" s="124"/>
      <c r="BY29" s="140">
        <v>503310.93900000001</v>
      </c>
      <c r="BZ29" s="140">
        <v>545413.39</v>
      </c>
      <c r="CA29" s="124"/>
      <c r="CB29" s="124"/>
      <c r="CC29" s="207">
        <v>109942.15700000001</v>
      </c>
      <c r="CD29" s="207">
        <v>230671.86199999999</v>
      </c>
      <c r="CE29" s="207">
        <v>358562.77100000001</v>
      </c>
      <c r="CG29" s="260"/>
    </row>
    <row r="30" spans="2:85" s="49" customFormat="1" ht="13.5" customHeight="1">
      <c r="B30" s="1" t="s">
        <v>303</v>
      </c>
      <c r="C30" s="140">
        <v>-129938.79399999999</v>
      </c>
      <c r="D30" s="140">
        <v>-133370.24299999999</v>
      </c>
      <c r="E30" s="140">
        <v>-152144.758</v>
      </c>
      <c r="F30" s="140">
        <v>-131370.90599999999</v>
      </c>
      <c r="G30" s="143">
        <v>-131789.24400000001</v>
      </c>
      <c r="H30" s="143">
        <v>-123592.686</v>
      </c>
      <c r="I30" s="143">
        <v>-159244.897</v>
      </c>
      <c r="J30" s="143">
        <v>-183119.74299999999</v>
      </c>
      <c r="K30" s="143">
        <v>-138045.49900000001</v>
      </c>
      <c r="L30" s="143">
        <v>-115989.486</v>
      </c>
      <c r="M30" s="143">
        <v>-381166.565</v>
      </c>
      <c r="N30" s="143">
        <f>-448056.203-27366.89</f>
        <v>-475423.09299999999</v>
      </c>
      <c r="O30" s="143">
        <f>-338960.1-25650.678</f>
        <v>-364610.77799999999</v>
      </c>
      <c r="P30" s="143">
        <f>-20885.941-252735.845</f>
        <v>-273621.78600000002</v>
      </c>
      <c r="Q30" s="143"/>
      <c r="R30" s="140">
        <v>-35992.828000000001</v>
      </c>
      <c r="S30" s="151">
        <f>BN30-R30</f>
        <v>-39238.813000000002</v>
      </c>
      <c r="T30" s="140">
        <f>-114157.895-S30-R30</f>
        <v>-38926.253999999994</v>
      </c>
      <c r="U30" s="151">
        <f>E30-T30-S30-R30</f>
        <v>-37986.863000000019</v>
      </c>
      <c r="V30" s="124">
        <v>-38537.457000000002</v>
      </c>
      <c r="W30" s="63">
        <f>BO30-V30</f>
        <v>-34274.04</v>
      </c>
      <c r="X30" s="124">
        <f>-102584.355-W30-V30</f>
        <v>-29772.858</v>
      </c>
      <c r="Y30" s="151">
        <f>F30-X30-W30-V30</f>
        <v>-28786.55099999997</v>
      </c>
      <c r="Z30" s="143">
        <v>-29437.147000000001</v>
      </c>
      <c r="AA30" s="63">
        <f>BP30-Z30</f>
        <v>-29591.539000000001</v>
      </c>
      <c r="AB30" s="124">
        <f>-91225.111-AA30-Z30</f>
        <v>-32196.424999999999</v>
      </c>
      <c r="AC30" s="25">
        <f>H30-AB30-AA30-Z30</f>
        <v>-32367.574999999993</v>
      </c>
      <c r="AD30" s="143">
        <v>-41645.262000000002</v>
      </c>
      <c r="AE30" s="63">
        <f>BQ30-AD30</f>
        <v>-48806.061999999991</v>
      </c>
      <c r="AF30" s="143">
        <f>-136139.206-AE30-AD30</f>
        <v>-45687.882000000012</v>
      </c>
      <c r="AG30" s="25">
        <f>J30-AF30-AE30-AD30</f>
        <v>-46980.536999999982</v>
      </c>
      <c r="AH30" s="143">
        <v>-43648.425000000003</v>
      </c>
      <c r="AI30" s="63">
        <f>BR30-AH30</f>
        <v>-39080.328999999998</v>
      </c>
      <c r="AJ30" s="143">
        <f>-110440.512-AI30-AH30</f>
        <v>-27711.758000000002</v>
      </c>
      <c r="AK30" s="25">
        <f>K30-AJ30-AI30-AH30</f>
        <v>-27604.987000000008</v>
      </c>
      <c r="AL30" s="143">
        <v>-26209.041000000001</v>
      </c>
      <c r="AM30" s="63">
        <f>BS30-AL30</f>
        <v>-21899.59</v>
      </c>
      <c r="AN30" s="143">
        <f>-73211.454-AM30-AL30</f>
        <v>-25102.823</v>
      </c>
      <c r="AO30" s="25">
        <f>L30-AN30-AM30-AL30</f>
        <v>-42778.032000000007</v>
      </c>
      <c r="AP30" s="143">
        <v>-54524.866000000002</v>
      </c>
      <c r="AQ30" s="63">
        <f>BT30-AP30</f>
        <v>-90359.361999999994</v>
      </c>
      <c r="AR30" s="143">
        <f>-203850.272-57800.755-AQ30-AP30</f>
        <v>-116766.799</v>
      </c>
      <c r="AS30" s="25">
        <f>M30-AR30-AQ30-AP30</f>
        <v>-119515.538</v>
      </c>
      <c r="AT30" s="143">
        <v>-118450.79</v>
      </c>
      <c r="AU30" s="25">
        <f>BU30-AT30</f>
        <v>-120324.50499999999</v>
      </c>
      <c r="AV30" s="143">
        <f>-337323.213-17746.916-AU30-AT30</f>
        <v>-116294.83400000002</v>
      </c>
      <c r="AW30" s="25">
        <f>N30-AV30-AU30-AT30</f>
        <v>-120352.96399999996</v>
      </c>
      <c r="AX30" s="143">
        <f>-105697.939-4777.198</f>
        <v>-110475.137</v>
      </c>
      <c r="AY30" s="25">
        <f>BV30-AX30</f>
        <v>-97265.333999999988</v>
      </c>
      <c r="AZ30" s="143">
        <f>-272322.142-17665.879-AY30-AX30</f>
        <v>-82247.550000000032</v>
      </c>
      <c r="BA30" s="25">
        <f>O30-AZ30-AY30-AX30</f>
        <v>-74622.756999999969</v>
      </c>
      <c r="BB30" s="143">
        <f>-61589.132-7410.802</f>
        <v>-68999.933999999994</v>
      </c>
      <c r="BC30" s="25">
        <f>BW30-BB30</f>
        <v>-68739.387000000002</v>
      </c>
      <c r="BD30" s="143">
        <f>-189705.754-16890.488-BC30-BB30</f>
        <v>-68856.920999999988</v>
      </c>
      <c r="BE30" s="25">
        <f>P30-BD30-BC30-BB30</f>
        <v>-67025.544000000067</v>
      </c>
      <c r="BF30" s="143">
        <f>-61842.026-1846.825</f>
        <v>-63688.850999999995</v>
      </c>
      <c r="BG30" s="142"/>
      <c r="BH30" s="143">
        <v>-38033.156000000003</v>
      </c>
      <c r="BI30" s="63">
        <f>BY30-BH30</f>
        <v>-38365.002999999997</v>
      </c>
      <c r="BJ30" s="143">
        <f>-117304.963-BI30-BH30</f>
        <v>-40906.804000000004</v>
      </c>
      <c r="BK30" s="25">
        <f>I30-Z30-AB30-AA30</f>
        <v>-68019.785999999993</v>
      </c>
      <c r="BL30" s="143">
        <v>-41645.262000000002</v>
      </c>
      <c r="BM30" s="143"/>
      <c r="BN30" s="140">
        <v>-75231.641000000003</v>
      </c>
      <c r="BO30" s="140">
        <v>-72811.497000000003</v>
      </c>
      <c r="BP30" s="140">
        <v>-59028.686000000002</v>
      </c>
      <c r="BQ30" s="140">
        <v>-90451.323999999993</v>
      </c>
      <c r="BR30" s="140">
        <v>-82728.754000000001</v>
      </c>
      <c r="BS30" s="140">
        <v>-48108.631000000001</v>
      </c>
      <c r="BT30" s="140">
        <f>-107344.703-37539.525</f>
        <v>-144884.228</v>
      </c>
      <c r="BU30" s="140">
        <f>-222714.808-16060.487</f>
        <v>-238775.29499999998</v>
      </c>
      <c r="BV30" s="140">
        <f>-195383.341-12357.13</f>
        <v>-207740.47099999999</v>
      </c>
      <c r="BW30" s="140">
        <f>-124380.291-13359.03</f>
        <v>-137739.321</v>
      </c>
      <c r="BX30" s="124"/>
      <c r="BY30" s="140">
        <v>-76398.159</v>
      </c>
      <c r="BZ30" s="140">
        <v>-90451.323999999993</v>
      </c>
      <c r="CA30" s="124"/>
      <c r="CB30" s="124"/>
      <c r="CC30" s="207">
        <v>-26594.405999999999</v>
      </c>
      <c r="CD30" s="207">
        <v>-59257.417999999998</v>
      </c>
      <c r="CE30" s="207">
        <v>-96289.736000000004</v>
      </c>
      <c r="CG30" s="260"/>
    </row>
    <row r="31" spans="2:85" s="49" customFormat="1" ht="13.5" customHeight="1">
      <c r="B31" s="5" t="s">
        <v>304</v>
      </c>
      <c r="C31" s="150">
        <f t="shared" ref="C31:H31" si="65">C29+C30</f>
        <v>315666.92200000002</v>
      </c>
      <c r="D31" s="150">
        <f t="shared" si="65"/>
        <v>351949.21299999999</v>
      </c>
      <c r="E31" s="150">
        <f t="shared" si="65"/>
        <v>374519.73300000001</v>
      </c>
      <c r="F31" s="150">
        <f t="shared" si="65"/>
        <v>425571.63199999998</v>
      </c>
      <c r="G31" s="150">
        <f t="shared" si="65"/>
        <v>448714.266</v>
      </c>
      <c r="H31" s="150">
        <f t="shared" si="65"/>
        <v>475375.43599999999</v>
      </c>
      <c r="I31" s="150">
        <f t="shared" ref="I31:N31" si="66">I29+I30</f>
        <v>871179.34299999999</v>
      </c>
      <c r="J31" s="150">
        <f t="shared" si="66"/>
        <v>925626.22399999993</v>
      </c>
      <c r="K31" s="150">
        <f t="shared" si="66"/>
        <v>840671.15500000003</v>
      </c>
      <c r="L31" s="150">
        <f t="shared" si="66"/>
        <v>785252.01799999992</v>
      </c>
      <c r="M31" s="150">
        <f>M29+M30</f>
        <v>1102148.3419999999</v>
      </c>
      <c r="N31" s="150">
        <f t="shared" si="66"/>
        <v>1044424.5269999999</v>
      </c>
      <c r="O31" s="150">
        <f>O29+O30</f>
        <v>1058093.321</v>
      </c>
      <c r="P31" s="150">
        <f>P29+P30</f>
        <v>1233618.6170000001</v>
      </c>
      <c r="Q31" s="121"/>
      <c r="R31" s="150">
        <f t="shared" ref="R31:W31" si="67">R29+R30</f>
        <v>89546.331000000006</v>
      </c>
      <c r="S31" s="150">
        <f t="shared" si="67"/>
        <v>92321.713000000018</v>
      </c>
      <c r="T31" s="150">
        <f t="shared" si="67"/>
        <v>94534.698999999993</v>
      </c>
      <c r="U31" s="150">
        <f t="shared" si="67"/>
        <v>98116.990000000049</v>
      </c>
      <c r="V31" s="121">
        <f t="shared" si="67"/>
        <v>99960.428000000014</v>
      </c>
      <c r="W31" s="121">
        <f t="shared" si="67"/>
        <v>110446.71299999996</v>
      </c>
      <c r="X31" s="121">
        <f t="shared" ref="X31:AC31" si="68">X29+X30</f>
        <v>106443.34899999999</v>
      </c>
      <c r="Y31" s="150">
        <f t="shared" si="68"/>
        <v>108721.14199999999</v>
      </c>
      <c r="Z31" s="150">
        <f t="shared" si="68"/>
        <v>112998.66099999999</v>
      </c>
      <c r="AA31" s="121">
        <f t="shared" si="68"/>
        <v>117687.95999999998</v>
      </c>
      <c r="AB31" s="150">
        <f t="shared" si="68"/>
        <v>120979.67200000004</v>
      </c>
      <c r="AC31" s="150">
        <f t="shared" si="68"/>
        <v>123709.14299999997</v>
      </c>
      <c r="AD31" s="150">
        <f t="shared" ref="AD31:AI31" si="69">AD29+AD30</f>
        <v>224533.87099999998</v>
      </c>
      <c r="AE31" s="121">
        <f t="shared" si="69"/>
        <v>230428.19500000007</v>
      </c>
      <c r="AF31" s="150">
        <f t="shared" si="69"/>
        <v>233795.29200000004</v>
      </c>
      <c r="AG31" s="150">
        <f t="shared" si="69"/>
        <v>236868.86599999989</v>
      </c>
      <c r="AH31" s="150">
        <f t="shared" si="69"/>
        <v>243001.505</v>
      </c>
      <c r="AI31" s="121">
        <f t="shared" si="69"/>
        <v>215488.28699999998</v>
      </c>
      <c r="AJ31" s="150">
        <f t="shared" ref="AJ31:AO31" si="70">AJ29+AJ30</f>
        <v>193094.44100000002</v>
      </c>
      <c r="AK31" s="150">
        <f t="shared" si="70"/>
        <v>189086.92199999996</v>
      </c>
      <c r="AL31" s="150">
        <f t="shared" si="70"/>
        <v>182467.06100000002</v>
      </c>
      <c r="AM31" s="121">
        <f t="shared" si="70"/>
        <v>185489.00599999996</v>
      </c>
      <c r="AN31" s="150">
        <f t="shared" si="70"/>
        <v>193653.04100000006</v>
      </c>
      <c r="AO31" s="150">
        <f t="shared" si="70"/>
        <v>223642.90999999992</v>
      </c>
      <c r="AP31" s="150">
        <f t="shared" ref="AP31:AU31" si="71">AP29+AP30</f>
        <v>250941.04799999998</v>
      </c>
      <c r="AQ31" s="121">
        <f t="shared" si="71"/>
        <v>281834.14100000006</v>
      </c>
      <c r="AR31" s="150">
        <f t="shared" si="71"/>
        <v>285708.89699999988</v>
      </c>
      <c r="AS31" s="150">
        <f t="shared" si="71"/>
        <v>283664.25600000011</v>
      </c>
      <c r="AT31" s="150">
        <f t="shared" si="71"/>
        <v>265309.06900000002</v>
      </c>
      <c r="AU31" s="121">
        <f t="shared" si="71"/>
        <v>260304.98299999995</v>
      </c>
      <c r="AV31" s="150">
        <f t="shared" ref="AV31:BA31" si="72">AV29+AV30</f>
        <v>266738.35099999997</v>
      </c>
      <c r="AW31" s="150">
        <f t="shared" si="72"/>
        <v>252072.12399999995</v>
      </c>
      <c r="AX31" s="150">
        <f t="shared" si="72"/>
        <v>254727.34299999999</v>
      </c>
      <c r="AY31" s="121">
        <f t="shared" si="72"/>
        <v>263686.87599999999</v>
      </c>
      <c r="AZ31" s="150">
        <f t="shared" si="72"/>
        <v>263382.08499999996</v>
      </c>
      <c r="BA31" s="150">
        <f t="shared" si="72"/>
        <v>276297.01699999999</v>
      </c>
      <c r="BB31" s="150">
        <f>BB29+BB30</f>
        <v>292917.22599999997</v>
      </c>
      <c r="BC31" s="121">
        <f>BC29+BC30</f>
        <v>305513.12099999998</v>
      </c>
      <c r="BD31" s="150">
        <f>BD29+BD30</f>
        <v>310376.38400000014</v>
      </c>
      <c r="BE31" s="150">
        <f>BE29+BE30</f>
        <v>324811.88600000006</v>
      </c>
      <c r="BF31" s="150">
        <f>BF29+BF30</f>
        <v>337215.58400000003</v>
      </c>
      <c r="BG31" s="142"/>
      <c r="BH31" s="150">
        <f>BH29+BH30</f>
        <v>210455.72999999998</v>
      </c>
      <c r="BI31" s="121">
        <f>BI29+BI30</f>
        <v>216457.05000000002</v>
      </c>
      <c r="BJ31" s="150">
        <f>BJ29+BJ30</f>
        <v>219631.674</v>
      </c>
      <c r="BK31" s="150">
        <f>BK29+BK30</f>
        <v>519513.05000000005</v>
      </c>
      <c r="BL31" s="150">
        <f>BL29+BL30</f>
        <v>224533.87099999998</v>
      </c>
      <c r="BM31" s="121"/>
      <c r="BN31" s="150">
        <f t="shared" ref="BN31:BS31" si="73">BN29+BN30</f>
        <v>181868.04399999999</v>
      </c>
      <c r="BO31" s="150">
        <f t="shared" si="73"/>
        <v>210407.14099999997</v>
      </c>
      <c r="BP31" s="150">
        <f t="shared" si="73"/>
        <v>230686.62099999998</v>
      </c>
      <c r="BQ31" s="150">
        <f t="shared" si="73"/>
        <v>454962.06599999999</v>
      </c>
      <c r="BR31" s="150">
        <f t="shared" si="73"/>
        <v>458489.79199999996</v>
      </c>
      <c r="BS31" s="150">
        <f t="shared" si="73"/>
        <v>367956.06699999998</v>
      </c>
      <c r="BT31" s="150">
        <f>BT29+BT30</f>
        <v>532775.18900000001</v>
      </c>
      <c r="BU31" s="150">
        <f>BU29+BU30</f>
        <v>525614.05199999991</v>
      </c>
      <c r="BV31" s="150">
        <f>BV29+BV30</f>
        <v>518414.21899999992</v>
      </c>
      <c r="BW31" s="150">
        <f>BW29+BW30</f>
        <v>598430.34699999995</v>
      </c>
      <c r="BX31" s="121"/>
      <c r="BY31" s="150">
        <f>BY29+BY30</f>
        <v>426912.78</v>
      </c>
      <c r="BZ31" s="150">
        <f>BZ29+BZ30</f>
        <v>454962.06599999999</v>
      </c>
      <c r="CA31" s="121"/>
      <c r="CB31" s="121"/>
      <c r="CC31" s="148">
        <f>CC29+CC30</f>
        <v>83347.751000000004</v>
      </c>
      <c r="CD31" s="148">
        <v>171414.44399999999</v>
      </c>
      <c r="CE31" s="148">
        <v>262273.03499999997</v>
      </c>
      <c r="CG31" s="260"/>
    </row>
    <row r="32" spans="2:85" s="49" customFormat="1" ht="13.5" customHeight="1">
      <c r="B32" s="1" t="s">
        <v>305</v>
      </c>
      <c r="C32" s="140">
        <v>106875.474</v>
      </c>
      <c r="D32" s="140">
        <v>135915.71</v>
      </c>
      <c r="E32" s="140">
        <v>163483.78200000001</v>
      </c>
      <c r="F32" s="140">
        <v>168429.49</v>
      </c>
      <c r="G32" s="143">
        <v>144686.06299999999</v>
      </c>
      <c r="H32" s="143">
        <v>151585.27600000001</v>
      </c>
      <c r="I32" s="143">
        <v>222880.446</v>
      </c>
      <c r="J32" s="143">
        <v>245043.799</v>
      </c>
      <c r="K32" s="143">
        <v>206908.35500000001</v>
      </c>
      <c r="L32" s="143">
        <v>231937.08600000001</v>
      </c>
      <c r="M32" s="143">
        <v>320766.14299999998</v>
      </c>
      <c r="N32" s="143">
        <f>348379.315</f>
        <v>348379.315</v>
      </c>
      <c r="O32" s="143">
        <v>382301.65</v>
      </c>
      <c r="P32" s="143">
        <v>454764.15100000001</v>
      </c>
      <c r="Q32" s="143"/>
      <c r="R32" s="140">
        <v>38535.589999999997</v>
      </c>
      <c r="S32" s="151">
        <f>BN32-R32</f>
        <v>39517.887000000002</v>
      </c>
      <c r="T32" s="140">
        <f>119569.97-S32-R32</f>
        <v>41516.493000000002</v>
      </c>
      <c r="U32" s="151">
        <f>E32-T32-S32-R32</f>
        <v>43913.812000000005</v>
      </c>
      <c r="V32" s="124">
        <v>41599.49</v>
      </c>
      <c r="W32" s="63">
        <f>BO32-V32</f>
        <v>42259.575000000004</v>
      </c>
      <c r="X32" s="124">
        <f>125549.462-W32-V32</f>
        <v>41690.39699999999</v>
      </c>
      <c r="Y32" s="151">
        <f>F32-X32-W32-V32</f>
        <v>42880.027999999984</v>
      </c>
      <c r="Z32" s="143">
        <v>35276.678999999996</v>
      </c>
      <c r="AA32" s="63">
        <f>BP32-Z32</f>
        <v>36532.644999999997</v>
      </c>
      <c r="AB32" s="124">
        <f>110971.977-AA32-Z32</f>
        <v>39162.652999999998</v>
      </c>
      <c r="AC32" s="25">
        <f>H32-AB32-AA32-Z32</f>
        <v>40613.299000000035</v>
      </c>
      <c r="AD32" s="143">
        <v>58843.567000000003</v>
      </c>
      <c r="AE32" s="63">
        <f>BQ32-AD32</f>
        <v>59772.075000000004</v>
      </c>
      <c r="AF32" s="143">
        <f>180549.699-AE32-AD32</f>
        <v>61934.056999999979</v>
      </c>
      <c r="AG32" s="25">
        <f>J32-AF32-AE32-AD32</f>
        <v>64494.100000000013</v>
      </c>
      <c r="AH32" s="143">
        <v>64062.720999999998</v>
      </c>
      <c r="AI32" s="63">
        <f>BR32-AH32</f>
        <v>44187.027999999998</v>
      </c>
      <c r="AJ32" s="143">
        <f>155852.771-AI32-AH32</f>
        <v>47603.022000000019</v>
      </c>
      <c r="AK32" s="25">
        <f>K32-AJ32-AI32-AH32</f>
        <v>51055.583999999995</v>
      </c>
      <c r="AL32" s="143">
        <v>51602.324999999997</v>
      </c>
      <c r="AM32" s="63">
        <f>BS32-AL32</f>
        <v>49079.947</v>
      </c>
      <c r="AN32" s="143">
        <f>160892.025-AM32-AL32</f>
        <v>60209.752999999997</v>
      </c>
      <c r="AO32" s="25">
        <f>L32-AN32-AM32-AL32</f>
        <v>71045.061000000016</v>
      </c>
      <c r="AP32" s="143">
        <v>79105.145999999993</v>
      </c>
      <c r="AQ32" s="63">
        <f>BT32-AP32</f>
        <v>78788.126000000004</v>
      </c>
      <c r="AR32" s="143">
        <f>236279.208-AQ32-AP32</f>
        <v>78385.936000000002</v>
      </c>
      <c r="AS32" s="25">
        <f>M32-AR32-AQ32-AP32</f>
        <v>84486.935000000012</v>
      </c>
      <c r="AT32" s="143">
        <v>86629.691000000006</v>
      </c>
      <c r="AU32" s="25">
        <f>BU32-AT32</f>
        <v>82615.463999999993</v>
      </c>
      <c r="AV32" s="143">
        <f>262008.23-AU32-AT32</f>
        <v>92763.074999999997</v>
      </c>
      <c r="AW32" s="25">
        <f>N32-AV32-AU32-AT32</f>
        <v>86371.085000000006</v>
      </c>
      <c r="AX32" s="143">
        <v>92675.790999999997</v>
      </c>
      <c r="AY32" s="25">
        <f>BV32-AX32</f>
        <v>93479.841000000015</v>
      </c>
      <c r="AZ32" s="143">
        <f>281107.347-AY32-AX32</f>
        <v>94951.714999999997</v>
      </c>
      <c r="BA32" s="25">
        <f>O32-AZ32-AY32-AX32</f>
        <v>101194.30300000004</v>
      </c>
      <c r="BB32" s="143">
        <v>105917.9</v>
      </c>
      <c r="BC32" s="25">
        <f>BW32-BB32</f>
        <v>109541.641</v>
      </c>
      <c r="BD32" s="143">
        <f>329730.835-BC32-BB32</f>
        <v>114271.29400000002</v>
      </c>
      <c r="BE32" s="25">
        <f>P32-BD32-BC32-BB32</f>
        <v>125033.31599999996</v>
      </c>
      <c r="BF32" s="143">
        <v>168025.375</v>
      </c>
      <c r="BG32" s="142"/>
      <c r="BH32" s="143">
        <v>52257.527999999998</v>
      </c>
      <c r="BI32" s="63">
        <f>BY32-BH32</f>
        <v>54405.129000000008</v>
      </c>
      <c r="BJ32" s="143">
        <f>163658.025-BI32-BH32</f>
        <v>56995.36799999998</v>
      </c>
      <c r="BK32" s="25">
        <f>I32-Z32-AB32-AA32</f>
        <v>111908.46900000001</v>
      </c>
      <c r="BL32" s="143">
        <v>58843.567000000003</v>
      </c>
      <c r="BM32" s="143"/>
      <c r="BN32" s="140">
        <v>78053.476999999999</v>
      </c>
      <c r="BO32" s="140">
        <v>83859.065000000002</v>
      </c>
      <c r="BP32" s="140">
        <v>71809.323999999993</v>
      </c>
      <c r="BQ32" s="140">
        <v>118615.64200000001</v>
      </c>
      <c r="BR32" s="140">
        <v>108249.749</v>
      </c>
      <c r="BS32" s="140">
        <v>100682.272</v>
      </c>
      <c r="BT32" s="140">
        <v>157893.272</v>
      </c>
      <c r="BU32" s="140">
        <v>169245.155</v>
      </c>
      <c r="BV32" s="140">
        <v>186155.63200000001</v>
      </c>
      <c r="BW32" s="140">
        <v>215459.541</v>
      </c>
      <c r="BX32" s="124"/>
      <c r="BY32" s="140">
        <v>106662.65700000001</v>
      </c>
      <c r="BZ32" s="140">
        <v>118615.64200000001</v>
      </c>
      <c r="CA32" s="124"/>
      <c r="CB32" s="124"/>
      <c r="CC32" s="207">
        <v>29504.036</v>
      </c>
      <c r="CD32" s="207">
        <v>59034.834999999999</v>
      </c>
      <c r="CE32" s="207">
        <v>94436.260999999999</v>
      </c>
      <c r="CG32" s="260"/>
    </row>
    <row r="33" spans="2:85" s="49" customFormat="1" ht="13.5" customHeight="1">
      <c r="B33" s="1" t="s">
        <v>306</v>
      </c>
      <c r="C33" s="140">
        <v>-29218.655999999999</v>
      </c>
      <c r="D33" s="140">
        <v>-33607.580999999998</v>
      </c>
      <c r="E33" s="140">
        <v>-40135.722999999998</v>
      </c>
      <c r="F33" s="140">
        <v>-42394.224000000002</v>
      </c>
      <c r="G33" s="143">
        <v>-40914.588000000003</v>
      </c>
      <c r="H33" s="143">
        <v>-46909.811000000002</v>
      </c>
      <c r="I33" s="143">
        <v>-117165.20699999999</v>
      </c>
      <c r="J33" s="143">
        <v>-116057.421</v>
      </c>
      <c r="K33" s="143">
        <v>-86761.813999999998</v>
      </c>
      <c r="L33" s="143">
        <v>-88385.524999999994</v>
      </c>
      <c r="M33" s="143">
        <v>-132047.614</v>
      </c>
      <c r="N33" s="143">
        <f>-102362.057</f>
        <v>-102362.057</v>
      </c>
      <c r="O33" s="143">
        <v>-129378.53200000001</v>
      </c>
      <c r="P33" s="143">
        <v>-158985.503</v>
      </c>
      <c r="Q33" s="143"/>
      <c r="R33" s="140">
        <v>-8911.8770000000004</v>
      </c>
      <c r="S33" s="151">
        <f>BN33-R33</f>
        <v>-10127.990999999998</v>
      </c>
      <c r="T33" s="140">
        <f>-28960.018-S33-R33</f>
        <v>-9920.1500000000015</v>
      </c>
      <c r="U33" s="151">
        <f>E33-T33-S33-R33</f>
        <v>-11175.704999999998</v>
      </c>
      <c r="V33" s="124">
        <v>-9574.6970000000001</v>
      </c>
      <c r="W33" s="63">
        <f>BO33-V33</f>
        <v>-10231.821</v>
      </c>
      <c r="X33" s="124">
        <f>-30689.635-W33-V33</f>
        <v>-10883.116999999998</v>
      </c>
      <c r="Y33" s="151">
        <f>F33-X33-W33-V33</f>
        <v>-11704.589000000004</v>
      </c>
      <c r="Z33" s="143">
        <v>-10621.517</v>
      </c>
      <c r="AA33" s="63">
        <f>BP33-Z33</f>
        <v>-11799.311000000002</v>
      </c>
      <c r="AB33" s="124">
        <f>-34442.139-AA33-Z33</f>
        <v>-12021.311000000002</v>
      </c>
      <c r="AC33" s="25">
        <f>H33-AB33-AA33-Z33</f>
        <v>-12467.671999999999</v>
      </c>
      <c r="AD33" s="143">
        <v>-28654.613000000001</v>
      </c>
      <c r="AE33" s="63">
        <f>BQ33-AD33</f>
        <v>-29033.032999999999</v>
      </c>
      <c r="AF33" s="143">
        <f>-85214.41-AE33-AD33</f>
        <v>-27526.764000000006</v>
      </c>
      <c r="AG33" s="25">
        <f>J33-AF33-AE33-AD33</f>
        <v>-30843.010999999995</v>
      </c>
      <c r="AH33" s="143">
        <v>-28426.914000000001</v>
      </c>
      <c r="AI33" s="63">
        <f>BR33-AH33</f>
        <v>-18950.939999999999</v>
      </c>
      <c r="AJ33" s="143">
        <f>-65069.443-AI33-AH33</f>
        <v>-17691.588999999996</v>
      </c>
      <c r="AK33" s="25">
        <f>K33-AJ33-AI33-AH33</f>
        <v>-21692.371000000003</v>
      </c>
      <c r="AL33" s="143">
        <v>-18941.512999999999</v>
      </c>
      <c r="AM33" s="63">
        <f>BS33-AL33</f>
        <v>-18344.135000000002</v>
      </c>
      <c r="AN33" s="143">
        <f>-60800.287-AM33-AL33</f>
        <v>-23514.638999999996</v>
      </c>
      <c r="AO33" s="25">
        <f>L33-AN33-AM33-AL33</f>
        <v>-27585.237999999998</v>
      </c>
      <c r="AP33" s="143">
        <v>-27733.485000000001</v>
      </c>
      <c r="AQ33" s="63">
        <f>BT33-AP33</f>
        <v>-35335.784999999996</v>
      </c>
      <c r="AR33" s="143">
        <f>-94678.036-AQ33-AP33</f>
        <v>-31608.765999999996</v>
      </c>
      <c r="AS33" s="25">
        <f>M33-AR33-AQ33-AP33</f>
        <v>-37369.578000000001</v>
      </c>
      <c r="AT33" s="143">
        <v>-22959.826000000001</v>
      </c>
      <c r="AU33" s="25">
        <f>BU33-AT33</f>
        <v>-25622.216</v>
      </c>
      <c r="AV33" s="143">
        <f>-69406.125-AU33-AT33</f>
        <v>-20824.082999999999</v>
      </c>
      <c r="AW33" s="25">
        <f>N33-AV33-AU33-AT33</f>
        <v>-32955.932000000001</v>
      </c>
      <c r="AX33" s="143">
        <v>-31024.919000000002</v>
      </c>
      <c r="AY33" s="25">
        <f>BV33-AX33</f>
        <v>-31938.396999999997</v>
      </c>
      <c r="AZ33" s="143">
        <f>-92550.189-AY33-AX33</f>
        <v>-29586.873</v>
      </c>
      <c r="BA33" s="25">
        <f>O33-AZ33-AY33-AX33</f>
        <v>-36828.343000000015</v>
      </c>
      <c r="BB33" s="143">
        <v>-33351.858</v>
      </c>
      <c r="BC33" s="25">
        <f>BW33-BB33</f>
        <v>-38622.078000000001</v>
      </c>
      <c r="BD33" s="143">
        <f>-111531.895-BC33-BB33</f>
        <v>-39557.95900000001</v>
      </c>
      <c r="BE33" s="25">
        <f>P33-BD33-BC33-BB33</f>
        <v>-47453.607999999986</v>
      </c>
      <c r="BF33" s="143">
        <v>-69336.678</v>
      </c>
      <c r="BG33" s="142"/>
      <c r="BH33" s="143">
        <v>-28038.482</v>
      </c>
      <c r="BI33" s="63">
        <f>BY33-BH33</f>
        <v>-29920.772000000001</v>
      </c>
      <c r="BJ33" s="143">
        <f>-86921.328-BI33-BH33</f>
        <v>-28962.073999999997</v>
      </c>
      <c r="BK33" s="25">
        <f>I33-Z33-AB33-AA33</f>
        <v>-82723.067999999999</v>
      </c>
      <c r="BL33" s="143">
        <v>-28654.613000000001</v>
      </c>
      <c r="BM33" s="143"/>
      <c r="BN33" s="140">
        <v>-19039.867999999999</v>
      </c>
      <c r="BO33" s="140">
        <v>-19806.518</v>
      </c>
      <c r="BP33" s="140">
        <v>-22420.828000000001</v>
      </c>
      <c r="BQ33" s="140">
        <v>-57687.646000000001</v>
      </c>
      <c r="BR33" s="140">
        <v>-47377.853999999999</v>
      </c>
      <c r="BS33" s="140">
        <v>-37285.648000000001</v>
      </c>
      <c r="BT33" s="140">
        <v>-63069.27</v>
      </c>
      <c r="BU33" s="140">
        <v>-48582.042000000001</v>
      </c>
      <c r="BV33" s="140">
        <v>-62963.315999999999</v>
      </c>
      <c r="BW33" s="140">
        <v>-71973.936000000002</v>
      </c>
      <c r="BX33" s="124"/>
      <c r="BY33" s="140">
        <v>-57959.254000000001</v>
      </c>
      <c r="BZ33" s="140">
        <v>-57687.646000000001</v>
      </c>
      <c r="CA33" s="124"/>
      <c r="CB33" s="124"/>
      <c r="CC33" s="207">
        <v>-7788.4269999999997</v>
      </c>
      <c r="CD33" s="207">
        <v>-15607.507</v>
      </c>
      <c r="CE33" s="207">
        <v>-24151.703000000001</v>
      </c>
      <c r="CG33" s="260"/>
    </row>
    <row r="34" spans="2:85" s="49" customFormat="1" ht="13.5" customHeight="1">
      <c r="B34" s="5" t="s">
        <v>307</v>
      </c>
      <c r="C34" s="150">
        <f t="shared" ref="C34:H34" si="74">C32+C33</f>
        <v>77656.817999999999</v>
      </c>
      <c r="D34" s="150">
        <f t="shared" si="74"/>
        <v>102308.12899999999</v>
      </c>
      <c r="E34" s="150">
        <f t="shared" si="74"/>
        <v>123348.05900000001</v>
      </c>
      <c r="F34" s="150">
        <f t="shared" si="74"/>
        <v>126035.26599999999</v>
      </c>
      <c r="G34" s="150">
        <f t="shared" si="74"/>
        <v>103771.47499999999</v>
      </c>
      <c r="H34" s="150">
        <f t="shared" si="74"/>
        <v>104675.46500000001</v>
      </c>
      <c r="I34" s="150">
        <f t="shared" ref="I34:N34" si="75">I32+I33</f>
        <v>105715.239</v>
      </c>
      <c r="J34" s="150">
        <f t="shared" si="75"/>
        <v>128986.378</v>
      </c>
      <c r="K34" s="150">
        <f t="shared" si="75"/>
        <v>120146.54100000001</v>
      </c>
      <c r="L34" s="150">
        <f t="shared" si="75"/>
        <v>143551.56100000002</v>
      </c>
      <c r="M34" s="150">
        <f>M32+M33</f>
        <v>188718.52899999998</v>
      </c>
      <c r="N34" s="150">
        <f t="shared" si="75"/>
        <v>246017.258</v>
      </c>
      <c r="O34" s="150">
        <f>O32+O33</f>
        <v>252923.11800000002</v>
      </c>
      <c r="P34" s="150">
        <f>P32+P33</f>
        <v>295778.64800000004</v>
      </c>
      <c r="Q34" s="121"/>
      <c r="R34" s="150">
        <f t="shared" ref="R34:W34" si="76">R32+R33</f>
        <v>29623.712999999996</v>
      </c>
      <c r="S34" s="150">
        <f t="shared" si="76"/>
        <v>29389.896000000004</v>
      </c>
      <c r="T34" s="150">
        <f t="shared" si="76"/>
        <v>31596.343000000001</v>
      </c>
      <c r="U34" s="150">
        <f t="shared" si="76"/>
        <v>32738.107000000007</v>
      </c>
      <c r="V34" s="121">
        <f t="shared" si="76"/>
        <v>32024.792999999998</v>
      </c>
      <c r="W34" s="121">
        <f t="shared" si="76"/>
        <v>32027.754000000004</v>
      </c>
      <c r="X34" s="121">
        <f t="shared" ref="X34:AC34" si="77">X32+X33</f>
        <v>30807.279999999992</v>
      </c>
      <c r="Y34" s="150">
        <f t="shared" si="77"/>
        <v>31175.43899999998</v>
      </c>
      <c r="Z34" s="150">
        <f t="shared" si="77"/>
        <v>24655.161999999997</v>
      </c>
      <c r="AA34" s="121">
        <f t="shared" si="77"/>
        <v>24733.333999999995</v>
      </c>
      <c r="AB34" s="121">
        <f t="shared" si="77"/>
        <v>27141.341999999997</v>
      </c>
      <c r="AC34" s="121">
        <f t="shared" si="77"/>
        <v>28145.627000000037</v>
      </c>
      <c r="AD34" s="150">
        <f t="shared" ref="AD34:AI34" si="78">AD32+AD33</f>
        <v>30188.954000000002</v>
      </c>
      <c r="AE34" s="121">
        <f t="shared" si="78"/>
        <v>30739.042000000005</v>
      </c>
      <c r="AF34" s="150">
        <f t="shared" si="78"/>
        <v>34407.292999999976</v>
      </c>
      <c r="AG34" s="121">
        <f t="shared" si="78"/>
        <v>33651.089000000022</v>
      </c>
      <c r="AH34" s="150">
        <f t="shared" si="78"/>
        <v>35635.807000000001</v>
      </c>
      <c r="AI34" s="121">
        <f t="shared" si="78"/>
        <v>25236.088</v>
      </c>
      <c r="AJ34" s="150">
        <f t="shared" ref="AJ34:AO34" si="79">AJ32+AJ33</f>
        <v>29911.433000000023</v>
      </c>
      <c r="AK34" s="121">
        <f t="shared" si="79"/>
        <v>29363.212999999992</v>
      </c>
      <c r="AL34" s="150">
        <f t="shared" si="79"/>
        <v>32660.811999999998</v>
      </c>
      <c r="AM34" s="121">
        <f t="shared" si="79"/>
        <v>30735.811999999998</v>
      </c>
      <c r="AN34" s="150">
        <f t="shared" si="79"/>
        <v>36695.114000000001</v>
      </c>
      <c r="AO34" s="121">
        <f t="shared" si="79"/>
        <v>43459.823000000019</v>
      </c>
      <c r="AP34" s="150">
        <f t="shared" ref="AP34:AU34" si="80">AP32+AP33</f>
        <v>51371.660999999993</v>
      </c>
      <c r="AQ34" s="121">
        <f t="shared" si="80"/>
        <v>43452.341000000008</v>
      </c>
      <c r="AR34" s="150">
        <f t="shared" si="80"/>
        <v>46777.170000000006</v>
      </c>
      <c r="AS34" s="121">
        <f t="shared" si="80"/>
        <v>47117.357000000011</v>
      </c>
      <c r="AT34" s="150">
        <f t="shared" si="80"/>
        <v>63669.865000000005</v>
      </c>
      <c r="AU34" s="121">
        <f t="shared" si="80"/>
        <v>56993.247999999992</v>
      </c>
      <c r="AV34" s="150">
        <f t="shared" ref="AV34:BA34" si="81">AV32+AV33</f>
        <v>71938.991999999998</v>
      </c>
      <c r="AW34" s="121">
        <f t="shared" si="81"/>
        <v>53415.153000000006</v>
      </c>
      <c r="AX34" s="150">
        <f t="shared" si="81"/>
        <v>61650.871999999996</v>
      </c>
      <c r="AY34" s="121">
        <f t="shared" si="81"/>
        <v>61541.444000000018</v>
      </c>
      <c r="AZ34" s="150">
        <f t="shared" si="81"/>
        <v>65364.841999999997</v>
      </c>
      <c r="BA34" s="121">
        <f t="shared" si="81"/>
        <v>64365.960000000028</v>
      </c>
      <c r="BB34" s="150">
        <f>BB32+BB33</f>
        <v>72566.041999999987</v>
      </c>
      <c r="BC34" s="121">
        <f>BC32+BC33</f>
        <v>70919.562999999995</v>
      </c>
      <c r="BD34" s="150">
        <f>BD32+BD33</f>
        <v>74713.335000000021</v>
      </c>
      <c r="BE34" s="121">
        <f>BE32+BE33</f>
        <v>77579.707999999984</v>
      </c>
      <c r="BF34" s="150">
        <f>BF32+BF33</f>
        <v>98688.697</v>
      </c>
      <c r="BG34" s="142"/>
      <c r="BH34" s="150">
        <f>BH32+BH33</f>
        <v>24219.045999999998</v>
      </c>
      <c r="BI34" s="121">
        <f>BI32+BI33</f>
        <v>24484.357000000007</v>
      </c>
      <c r="BJ34" s="150">
        <f>BJ32+BJ33</f>
        <v>28033.293999999983</v>
      </c>
      <c r="BK34" s="121">
        <f>BK32+BK33</f>
        <v>29185.401000000013</v>
      </c>
      <c r="BL34" s="150">
        <f>BL32+BL33</f>
        <v>30188.954000000002</v>
      </c>
      <c r="BM34" s="121"/>
      <c r="BN34" s="150">
        <f t="shared" ref="BN34:BS34" si="82">BN32+BN33</f>
        <v>59013.608999999997</v>
      </c>
      <c r="BO34" s="150">
        <f t="shared" si="82"/>
        <v>64052.547000000006</v>
      </c>
      <c r="BP34" s="150">
        <f t="shared" si="82"/>
        <v>49388.495999999992</v>
      </c>
      <c r="BQ34" s="150">
        <f t="shared" si="82"/>
        <v>60927.996000000006</v>
      </c>
      <c r="BR34" s="150">
        <f t="shared" si="82"/>
        <v>60871.894999999997</v>
      </c>
      <c r="BS34" s="150">
        <f t="shared" si="82"/>
        <v>63396.623999999996</v>
      </c>
      <c r="BT34" s="150">
        <f>BT32+BT33</f>
        <v>94824.002000000008</v>
      </c>
      <c r="BU34" s="150">
        <f>BU32+BU33</f>
        <v>120663.113</v>
      </c>
      <c r="BV34" s="150">
        <f>BV32+BV33</f>
        <v>123192.31600000002</v>
      </c>
      <c r="BW34" s="150">
        <f>BW32+BW33</f>
        <v>143485.60499999998</v>
      </c>
      <c r="BX34" s="121"/>
      <c r="BY34" s="150">
        <f>BY32+BY33</f>
        <v>48703.403000000006</v>
      </c>
      <c r="BZ34" s="150">
        <f>BZ32+BZ33</f>
        <v>60927.996000000006</v>
      </c>
      <c r="CA34" s="121"/>
      <c r="CB34" s="121"/>
      <c r="CC34" s="148">
        <f>CC32+CC33</f>
        <v>21715.609</v>
      </c>
      <c r="CD34" s="148">
        <v>43427.328000000001</v>
      </c>
      <c r="CE34" s="148">
        <v>70284.558000000005</v>
      </c>
      <c r="CG34" s="260"/>
    </row>
    <row r="35" spans="2:85" s="49" customFormat="1" ht="13.5" customHeight="1">
      <c r="B35" s="1" t="s">
        <v>308</v>
      </c>
      <c r="C35" s="140">
        <v>-1118.943</v>
      </c>
      <c r="D35" s="140">
        <v>2341.6460000000002</v>
      </c>
      <c r="E35" s="140">
        <v>17811.714</v>
      </c>
      <c r="F35" s="140">
        <v>6562.3370000000004</v>
      </c>
      <c r="G35" s="143">
        <v>5013.585</v>
      </c>
      <c r="H35" s="143">
        <v>20658.478999999999</v>
      </c>
      <c r="I35" s="143">
        <v>20883.343000000001</v>
      </c>
      <c r="J35" s="143">
        <v>17187.95</v>
      </c>
      <c r="K35" s="143">
        <v>26894.489000000001</v>
      </c>
      <c r="L35" s="143">
        <v>22555.337</v>
      </c>
      <c r="M35" s="143">
        <v>30629.556</v>
      </c>
      <c r="N35" s="143">
        <f>41804.83</f>
        <v>41804.83</v>
      </c>
      <c r="O35" s="143">
        <v>54446.125</v>
      </c>
      <c r="P35" s="143">
        <v>25039.395</v>
      </c>
      <c r="Q35" s="143"/>
      <c r="R35" s="140">
        <v>6021.91</v>
      </c>
      <c r="S35" s="151">
        <f>BN35-R35</f>
        <v>2617.9400000000005</v>
      </c>
      <c r="T35" s="140">
        <f>11652.355-S35-R35</f>
        <v>3012.5049999999992</v>
      </c>
      <c r="U35" s="151">
        <f>E35-T35-S35-R35</f>
        <v>6159.3590000000004</v>
      </c>
      <c r="V35" s="124">
        <v>4296.759</v>
      </c>
      <c r="W35" s="63">
        <f>BO35-V35</f>
        <v>2686.5910000000003</v>
      </c>
      <c r="X35" s="124">
        <f>8929.982-W35-V35</f>
        <v>1946.6319999999996</v>
      </c>
      <c r="Y35" s="151">
        <f>F35-X35-W35-V35</f>
        <v>-2367.6449999999995</v>
      </c>
      <c r="Z35" s="143">
        <v>5546.5550000000003</v>
      </c>
      <c r="AA35" s="63">
        <f>BP35-Z35</f>
        <v>7303.235999999999</v>
      </c>
      <c r="AB35" s="124">
        <f>14298.612-AA35-Z35</f>
        <v>1448.8209999999999</v>
      </c>
      <c r="AC35" s="25">
        <f>H35-AB35-AA35-Z35</f>
        <v>6359.8670000000002</v>
      </c>
      <c r="AD35" s="143">
        <v>3698.05</v>
      </c>
      <c r="AE35" s="63">
        <f>BQ35-AD35</f>
        <v>7159.53</v>
      </c>
      <c r="AF35" s="143">
        <f>15822.252-AE35-AD35</f>
        <v>4964.6720000000014</v>
      </c>
      <c r="AG35" s="25">
        <f>J35-AF35-AE35-AD35</f>
        <v>1365.6979999999985</v>
      </c>
      <c r="AH35" s="143">
        <v>13408.596</v>
      </c>
      <c r="AI35" s="63">
        <f>BR35-AH35</f>
        <v>6591.7140000000018</v>
      </c>
      <c r="AJ35" s="143">
        <f>25920.888-AI35-AH35</f>
        <v>5920.5779999999995</v>
      </c>
      <c r="AK35" s="25">
        <f>K35-AJ35-AI35-AH35</f>
        <v>973.60099999999875</v>
      </c>
      <c r="AL35" s="143">
        <v>10009.511</v>
      </c>
      <c r="AM35" s="63">
        <f>BS35-AL35</f>
        <v>4009.9189999999999</v>
      </c>
      <c r="AN35" s="143">
        <f>15618.634-AM35-AL35</f>
        <v>1599.2039999999997</v>
      </c>
      <c r="AO35" s="25">
        <f>L35-AN35-AM35-AL35</f>
        <v>6936.7029999999995</v>
      </c>
      <c r="AP35" s="143">
        <v>-9603.66</v>
      </c>
      <c r="AQ35" s="63">
        <f>BT35-AP35</f>
        <v>28511.429</v>
      </c>
      <c r="AR35" s="143">
        <f>33166.304-AQ35-AP35</f>
        <v>14258.534999999996</v>
      </c>
      <c r="AS35" s="25">
        <f>M35-AR35-AQ35-AP35</f>
        <v>-2536.747999999996</v>
      </c>
      <c r="AT35" s="143">
        <v>-8674.3420000000006</v>
      </c>
      <c r="AU35" s="25">
        <f>BU35-AT35</f>
        <v>1972.219000000001</v>
      </c>
      <c r="AV35" s="143">
        <f>22731.424-AU35-AT35</f>
        <v>29433.546999999999</v>
      </c>
      <c r="AW35" s="25">
        <f>N35-AV35-AU35-AT35</f>
        <v>19073.406000000003</v>
      </c>
      <c r="AX35" s="143">
        <v>17189.687999999998</v>
      </c>
      <c r="AY35" s="25">
        <f>BV35-AX35</f>
        <v>10349.004000000001</v>
      </c>
      <c r="AZ35" s="143">
        <f>38233.284-AY35-AX35</f>
        <v>10694.592000000001</v>
      </c>
      <c r="BA35" s="25">
        <f>O35-AZ35-AY35-AX35</f>
        <v>16212.840999999997</v>
      </c>
      <c r="BB35" s="143">
        <v>9188.6110000000008</v>
      </c>
      <c r="BC35" s="25">
        <f>BW35-BB35</f>
        <v>3084.1959999999999</v>
      </c>
      <c r="BD35" s="143">
        <f>29291.921-BC35-BB35</f>
        <v>17019.113999999998</v>
      </c>
      <c r="BE35" s="25">
        <f>P35-BD35-BC35-BB35</f>
        <v>-4252.525999999998</v>
      </c>
      <c r="BF35" s="143">
        <v>9624.0499999999993</v>
      </c>
      <c r="BG35" s="142"/>
      <c r="BH35" s="143">
        <v>5546.5550000000003</v>
      </c>
      <c r="BI35" s="63">
        <f>BY35-BH35</f>
        <v>7371.723</v>
      </c>
      <c r="BJ35" s="143">
        <f>14495.739-BI35-BH35</f>
        <v>1577.4609999999993</v>
      </c>
      <c r="BK35" s="25">
        <f>I35-Z35-AB35-AA35</f>
        <v>6584.7310000000016</v>
      </c>
      <c r="BL35" s="143">
        <v>3698.05</v>
      </c>
      <c r="BM35" s="143"/>
      <c r="BN35" s="140">
        <v>8639.85</v>
      </c>
      <c r="BO35" s="140">
        <v>6983.35</v>
      </c>
      <c r="BP35" s="140">
        <v>12849.790999999999</v>
      </c>
      <c r="BQ35" s="140">
        <v>10857.58</v>
      </c>
      <c r="BR35" s="140">
        <v>20000.310000000001</v>
      </c>
      <c r="BS35" s="140">
        <v>14019.43</v>
      </c>
      <c r="BT35" s="140">
        <v>18907.769</v>
      </c>
      <c r="BU35" s="140">
        <v>-6702.1229999999996</v>
      </c>
      <c r="BV35" s="140">
        <v>27538.691999999999</v>
      </c>
      <c r="BW35" s="140">
        <v>12272.807000000001</v>
      </c>
      <c r="BX35" s="124"/>
      <c r="BY35" s="140">
        <v>12918.278</v>
      </c>
      <c r="BZ35" s="140">
        <v>10857.58</v>
      </c>
      <c r="CA35" s="124"/>
      <c r="CB35" s="124"/>
      <c r="CC35" s="207">
        <v>1289.56</v>
      </c>
      <c r="CD35" s="207">
        <v>546.76599999999996</v>
      </c>
      <c r="CE35" s="207">
        <v>-1267.961</v>
      </c>
      <c r="CG35" s="260"/>
    </row>
    <row r="36" spans="2:85" s="49" customFormat="1" ht="13.5" customHeight="1">
      <c r="B36" s="1" t="s">
        <v>309</v>
      </c>
      <c r="C36" s="140">
        <v>10760.905000000001</v>
      </c>
      <c r="D36" s="140">
        <v>8854.4869999999992</v>
      </c>
      <c r="E36" s="140">
        <v>-5777.5839999999998</v>
      </c>
      <c r="F36" s="140">
        <v>5549.3029999999999</v>
      </c>
      <c r="G36" s="143">
        <v>5549.3029999999999</v>
      </c>
      <c r="H36" s="143">
        <v>-8982.7880000000005</v>
      </c>
      <c r="I36" s="143">
        <v>-8667.5560000000005</v>
      </c>
      <c r="J36" s="143">
        <v>4289.4030000000002</v>
      </c>
      <c r="K36" s="143">
        <v>-3198.9740000000002</v>
      </c>
      <c r="L36" s="143">
        <v>-8379.4310000000005</v>
      </c>
      <c r="M36" s="143">
        <v>-22050.715</v>
      </c>
      <c r="N36" s="143">
        <f>-1097.673</f>
        <v>-1097.673</v>
      </c>
      <c r="O36" s="143">
        <v>6850.8419999999996</v>
      </c>
      <c r="P36" s="143">
        <v>15727.808000000001</v>
      </c>
      <c r="Q36" s="143"/>
      <c r="R36" s="140">
        <v>-2696.7429999999999</v>
      </c>
      <c r="S36" s="151">
        <f>BN36-R36</f>
        <v>1123.335</v>
      </c>
      <c r="T36" s="140">
        <f>-2088.395-S36-R36</f>
        <v>-514.98700000000008</v>
      </c>
      <c r="U36" s="151">
        <f>E36-T36-S36-R36</f>
        <v>-3689.1889999999999</v>
      </c>
      <c r="V36" s="124">
        <v>-158.08199999999999</v>
      </c>
      <c r="W36" s="63">
        <f>BO36-V36</f>
        <v>78.062999999999988</v>
      </c>
      <c r="X36" s="124">
        <f>199.907-W36-V36</f>
        <v>279.92600000000004</v>
      </c>
      <c r="Y36" s="151">
        <f>F36-X36-W36-V36</f>
        <v>5349.3959999999997</v>
      </c>
      <c r="Z36" s="143">
        <v>-3224.654</v>
      </c>
      <c r="AA36" s="63">
        <f>BP36-Z36</f>
        <v>-4789.7090000000007</v>
      </c>
      <c r="AB36" s="124">
        <f>-5964.282-AA36-Z36</f>
        <v>2050.0810000000006</v>
      </c>
      <c r="AC36" s="25">
        <f>H36-AB36-AA36-Z36</f>
        <v>-3018.5059999999999</v>
      </c>
      <c r="AD36" s="143">
        <v>793.50599999999997</v>
      </c>
      <c r="AE36" s="63">
        <f>BQ36-AD36</f>
        <v>538.64800000000002</v>
      </c>
      <c r="AF36" s="143">
        <f>-133.397-AE36-AD36</f>
        <v>-1465.5509999999999</v>
      </c>
      <c r="AG36" s="25">
        <f>J36-AF36-AE36-AD36</f>
        <v>4422.7999999999993</v>
      </c>
      <c r="AH36" s="143">
        <v>-10592.732</v>
      </c>
      <c r="AI36" s="63">
        <f>BR36-AH36</f>
        <v>2910.5540000000001</v>
      </c>
      <c r="AJ36" s="143">
        <f>-6943.082-AI36-AH36</f>
        <v>739.09599999999955</v>
      </c>
      <c r="AK36" s="25">
        <f>K36-AJ36-AI36-AH36</f>
        <v>3744.1080000000002</v>
      </c>
      <c r="AL36" s="143">
        <v>-3061.3919999999998</v>
      </c>
      <c r="AM36" s="63">
        <f>BS36-AL36</f>
        <v>-983.4350000000004</v>
      </c>
      <c r="AN36" s="143">
        <f>-4732.17-AM36-AL36</f>
        <v>-687.34299999999985</v>
      </c>
      <c r="AO36" s="25">
        <f>L36-AN36-AM36-AL36</f>
        <v>-3647.2610000000004</v>
      </c>
      <c r="AP36" s="143">
        <v>12199.547</v>
      </c>
      <c r="AQ36" s="63">
        <f>BT36-AP36</f>
        <v>-29086.052000000003</v>
      </c>
      <c r="AR36" s="143">
        <f>-28093.323-AQ36-AP36</f>
        <v>-11206.817999999997</v>
      </c>
      <c r="AS36" s="25">
        <f>M36-AR36-AQ36-AP36</f>
        <v>6042.6079999999984</v>
      </c>
      <c r="AT36" s="143">
        <v>11218.593999999999</v>
      </c>
      <c r="AU36" s="25">
        <f>BU36-AT36</f>
        <v>4778.768</v>
      </c>
      <c r="AV36" s="143">
        <f>-1173.512-AU36-AT36</f>
        <v>-17170.874</v>
      </c>
      <c r="AW36" s="25">
        <f>N36-AV36-AU36-AT36</f>
        <v>75.838999999999942</v>
      </c>
      <c r="AX36" s="143">
        <v>2935.2710000000002</v>
      </c>
      <c r="AY36" s="25">
        <f>BV36-AX36</f>
        <v>-607.47900000000027</v>
      </c>
      <c r="AZ36" s="143">
        <f>11230.372-AY36-AX36</f>
        <v>8902.5799999999981</v>
      </c>
      <c r="BA36" s="25">
        <f>O36-AZ36-AY36-AX36</f>
        <v>-4379.5299999999988</v>
      </c>
      <c r="BB36" s="143">
        <v>4685.951</v>
      </c>
      <c r="BC36" s="25">
        <f>BW36-BB36</f>
        <v>3257.5209999999997</v>
      </c>
      <c r="BD36" s="143">
        <f>2124.971 -BC36-BB36</f>
        <v>-5818.5010000000002</v>
      </c>
      <c r="BE36" s="25">
        <f>P36-BD36-BC36-BB36</f>
        <v>13602.837</v>
      </c>
      <c r="BF36" s="143">
        <v>-717.43899999999996</v>
      </c>
      <c r="BG36" s="142"/>
      <c r="BH36" s="143">
        <v>-3247.33</v>
      </c>
      <c r="BI36" s="63">
        <f>BY36-BH36</f>
        <v>-4733.2489999999998</v>
      </c>
      <c r="BJ36" s="143">
        <f>-6044.816-BI36-BH36</f>
        <v>1935.7629999999999</v>
      </c>
      <c r="BK36" s="25">
        <f>I36-Z36-AB36-AA36</f>
        <v>-2703.2739999999994</v>
      </c>
      <c r="BL36" s="143">
        <v>793.50599999999997</v>
      </c>
      <c r="BM36" s="143"/>
      <c r="BN36" s="140">
        <v>-1573.4079999999999</v>
      </c>
      <c r="BO36" s="140">
        <v>-80.019000000000005</v>
      </c>
      <c r="BP36" s="140">
        <v>-8014.3630000000003</v>
      </c>
      <c r="BQ36" s="140">
        <v>1332.154</v>
      </c>
      <c r="BR36" s="140">
        <v>-7682.1779999999999</v>
      </c>
      <c r="BS36" s="140">
        <v>-4044.8270000000002</v>
      </c>
      <c r="BT36" s="140">
        <v>-16886.505000000001</v>
      </c>
      <c r="BU36" s="140">
        <v>15997.361999999999</v>
      </c>
      <c r="BV36" s="140">
        <v>2327.7919999999999</v>
      </c>
      <c r="BW36" s="140">
        <v>7943.4719999999998</v>
      </c>
      <c r="BX36" s="124"/>
      <c r="BY36" s="140">
        <v>-7980.5789999999997</v>
      </c>
      <c r="BZ36" s="140">
        <v>1332.154</v>
      </c>
      <c r="CA36" s="124"/>
      <c r="CB36" s="124"/>
      <c r="CC36" s="207">
        <v>2287.5909999999999</v>
      </c>
      <c r="CD36" s="207">
        <v>4888.7070000000003</v>
      </c>
      <c r="CE36" s="207">
        <v>9751.1010000000006</v>
      </c>
      <c r="CG36" s="260"/>
    </row>
    <row r="37" spans="2:85" s="49" customFormat="1" ht="13.5" customHeight="1">
      <c r="B37" s="1" t="s">
        <v>310</v>
      </c>
      <c r="C37" s="140">
        <v>827.14599999999996</v>
      </c>
      <c r="D37" s="140">
        <v>2147.7939999999999</v>
      </c>
      <c r="E37" s="140">
        <v>-69.539000000000001</v>
      </c>
      <c r="F37" s="140">
        <v>-1278.595</v>
      </c>
      <c r="G37" s="143">
        <v>1377.03</v>
      </c>
      <c r="H37" s="143">
        <v>2128.723</v>
      </c>
      <c r="I37" s="143">
        <v>7139.46</v>
      </c>
      <c r="J37" s="143">
        <v>3402.0239999999999</v>
      </c>
      <c r="K37" s="143">
        <v>2125.4769999999999</v>
      </c>
      <c r="L37" s="143">
        <v>3320.4340000000002</v>
      </c>
      <c r="M37" s="143">
        <v>17219.311000000002</v>
      </c>
      <c r="N37" s="143">
        <f>22017.939</f>
        <v>22017.938999999998</v>
      </c>
      <c r="O37" s="143">
        <v>26509.757000000001</v>
      </c>
      <c r="P37" s="143">
        <v>11324.466</v>
      </c>
      <c r="Q37" s="143"/>
      <c r="R37" s="140">
        <v>72.427000000000007</v>
      </c>
      <c r="S37" s="151">
        <f>BN37-R37</f>
        <v>178.83299999999997</v>
      </c>
      <c r="T37" s="140">
        <f>-116.098-S37-R37</f>
        <v>-367.358</v>
      </c>
      <c r="U37" s="151">
        <f>E37-T37-S37-R37</f>
        <v>46.55900000000004</v>
      </c>
      <c r="V37" s="124">
        <v>-329.38299999999998</v>
      </c>
      <c r="W37" s="63">
        <f>BO37-V37</f>
        <v>-145.96700000000004</v>
      </c>
      <c r="X37" s="124">
        <f>-495.601-W37-V37</f>
        <v>-20.250999999999976</v>
      </c>
      <c r="Y37" s="151">
        <f>F37-X37-W37-V37</f>
        <v>-782.99399999999991</v>
      </c>
      <c r="Z37" s="143">
        <v>464.65899999999999</v>
      </c>
      <c r="AA37" s="63">
        <f>BP37-Z37</f>
        <v>339.02200000000005</v>
      </c>
      <c r="AB37" s="124">
        <f>1450.885-AA37-Z37</f>
        <v>647.20399999999984</v>
      </c>
      <c r="AC37" s="25">
        <f>H37-AB37-AA37-Z37</f>
        <v>677.83800000000031</v>
      </c>
      <c r="AD37" s="143">
        <v>302.83499999999998</v>
      </c>
      <c r="AE37" s="63">
        <f>BQ37-AD37</f>
        <v>1032.999</v>
      </c>
      <c r="AF37" s="143">
        <f>2383.321-AE37-AD37</f>
        <v>1047.4869999999999</v>
      </c>
      <c r="AG37" s="25">
        <f>J37-AF37-AE37-AD37</f>
        <v>1018.7030000000002</v>
      </c>
      <c r="AH37" s="143">
        <v>297.166</v>
      </c>
      <c r="AI37" s="63">
        <f>BR37-AH37</f>
        <v>668.77299999999991</v>
      </c>
      <c r="AJ37" s="143">
        <f>1130.286-AI37-AH37</f>
        <v>164.34700000000015</v>
      </c>
      <c r="AK37" s="25">
        <f>K37-AJ37-AI37-AH37</f>
        <v>995.1909999999998</v>
      </c>
      <c r="AL37" s="143">
        <v>852.08799999999997</v>
      </c>
      <c r="AM37" s="63">
        <f>BS37-AL37</f>
        <v>1461.99</v>
      </c>
      <c r="AN37" s="143">
        <f>2781.522-AM37-AL37</f>
        <v>467.44399999999996</v>
      </c>
      <c r="AO37" s="25">
        <f>L37-AN37-AM37-AL37</f>
        <v>538.91200000000026</v>
      </c>
      <c r="AP37" s="143">
        <v>2825.3330000000001</v>
      </c>
      <c r="AQ37" s="63">
        <f>BT37-AP37</f>
        <v>3357.5319999999997</v>
      </c>
      <c r="AR37" s="143">
        <f>7175.948-AQ37-AP37</f>
        <v>993.08300000000054</v>
      </c>
      <c r="AS37" s="25">
        <f>M37-AR37-AQ37-AP37</f>
        <v>10043.363000000001</v>
      </c>
      <c r="AT37" s="143">
        <v>2422.16</v>
      </c>
      <c r="AU37" s="25">
        <f>BU37-AT37</f>
        <v>5259.7120000000004</v>
      </c>
      <c r="AV37" s="143">
        <f>13285.522-AU37-AT37</f>
        <v>5603.6500000000005</v>
      </c>
      <c r="AW37" s="25">
        <f>N37-AV37-AU37-AT37</f>
        <v>8732.4169999999976</v>
      </c>
      <c r="AX37" s="143">
        <v>12696.022999999999</v>
      </c>
      <c r="AY37" s="25">
        <f>BV37-AX37</f>
        <v>3200.7780000000002</v>
      </c>
      <c r="AZ37" s="143">
        <f>17410.46-AY37-AX37</f>
        <v>1513.6589999999997</v>
      </c>
      <c r="BA37" s="25">
        <f>O37-AZ37-AY37-AX37</f>
        <v>9099.2970000000005</v>
      </c>
      <c r="BB37" s="143">
        <v>2772.93</v>
      </c>
      <c r="BC37" s="25">
        <f>BW37-BB37</f>
        <v>3476.3300000000004</v>
      </c>
      <c r="BD37" s="143">
        <f>7930.177 -BC37-BB37</f>
        <v>1680.9169999999999</v>
      </c>
      <c r="BE37" s="25">
        <f>P37-BD37-BC37-BB37</f>
        <v>3394.2890000000011</v>
      </c>
      <c r="BF37" s="143">
        <v>5150.8680000000004</v>
      </c>
      <c r="BG37" s="142"/>
      <c r="BH37" s="143">
        <v>942.56</v>
      </c>
      <c r="BI37" s="63">
        <f>BY37-BH37</f>
        <v>1336.0170000000003</v>
      </c>
      <c r="BJ37" s="143">
        <f>4339.327-BI37-BH37</f>
        <v>2060.75</v>
      </c>
      <c r="BK37" s="25">
        <f>I37-Z37-AB37-AA37</f>
        <v>5688.5750000000007</v>
      </c>
      <c r="BL37" s="143">
        <v>302.83499999999998</v>
      </c>
      <c r="BM37" s="143"/>
      <c r="BN37" s="140">
        <v>251.26</v>
      </c>
      <c r="BO37" s="140">
        <v>-475.35</v>
      </c>
      <c r="BP37" s="140">
        <v>803.68100000000004</v>
      </c>
      <c r="BQ37" s="140">
        <v>1335.8340000000001</v>
      </c>
      <c r="BR37" s="140">
        <v>965.93899999999996</v>
      </c>
      <c r="BS37" s="140">
        <v>2314.078</v>
      </c>
      <c r="BT37" s="140">
        <v>6182.8649999999998</v>
      </c>
      <c r="BU37" s="140">
        <v>7681.8720000000003</v>
      </c>
      <c r="BV37" s="140">
        <v>15896.800999999999</v>
      </c>
      <c r="BW37" s="140">
        <v>6249.26</v>
      </c>
      <c r="BX37" s="124"/>
      <c r="BY37" s="140">
        <v>2278.5770000000002</v>
      </c>
      <c r="BZ37" s="140">
        <v>1335.8340000000001</v>
      </c>
      <c r="CA37" s="124"/>
      <c r="CB37" s="124"/>
      <c r="CC37" s="207">
        <v>166.47900000000001</v>
      </c>
      <c r="CD37" s="207">
        <v>916.22</v>
      </c>
      <c r="CE37" s="207">
        <v>956.97900000000004</v>
      </c>
      <c r="CG37" s="260"/>
    </row>
    <row r="38" spans="2:85" s="49" customFormat="1" ht="13.5" customHeight="1">
      <c r="B38" s="1" t="s">
        <v>311</v>
      </c>
      <c r="C38" s="140">
        <v>-89422.062999999995</v>
      </c>
      <c r="D38" s="140">
        <v>-114698.003</v>
      </c>
      <c r="E38" s="140">
        <v>-146481.242</v>
      </c>
      <c r="F38" s="140">
        <v>-179240.272</v>
      </c>
      <c r="G38" s="143">
        <v>-178991.29399999999</v>
      </c>
      <c r="H38" s="143">
        <v>-177873.734</v>
      </c>
      <c r="I38" s="143">
        <v>-291664.72600000002</v>
      </c>
      <c r="J38" s="143">
        <v>-337736.21399999998</v>
      </c>
      <c r="K38" s="143">
        <v>-384783.08</v>
      </c>
      <c r="L38" s="143">
        <v>-130842.039</v>
      </c>
      <c r="M38" s="143">
        <v>-563865.75</v>
      </c>
      <c r="N38" s="143">
        <v>-685758.07900000003</v>
      </c>
      <c r="O38" s="143">
        <v>-448921.50199999998</v>
      </c>
      <c r="P38" s="143">
        <v>-423940.951</v>
      </c>
      <c r="Q38" s="143"/>
      <c r="R38" s="140">
        <v>-32512.800999999999</v>
      </c>
      <c r="S38" s="151">
        <f>BN38-R38</f>
        <v>-38674.370000000003</v>
      </c>
      <c r="T38" s="140">
        <f>-103973.812-S38-R38</f>
        <v>-32786.641000000003</v>
      </c>
      <c r="U38" s="151">
        <f>E38-T38-S38-R38</f>
        <v>-42507.43</v>
      </c>
      <c r="V38" s="124">
        <v>-42867.99</v>
      </c>
      <c r="W38" s="63">
        <f>BO38-V38</f>
        <v>-50811.616000000002</v>
      </c>
      <c r="X38" s="124">
        <f>-135250.515-W38-V38</f>
        <v>-41570.909000000007</v>
      </c>
      <c r="Y38" s="151">
        <f>F38-X38-W38-V38</f>
        <v>-43989.756999999976</v>
      </c>
      <c r="Z38" s="124">
        <v>-38784.347999999998</v>
      </c>
      <c r="AA38" s="63">
        <f>BP38-Z38</f>
        <v>-40608.225000000006</v>
      </c>
      <c r="AB38" s="124">
        <f>-133657.173-AA38-Z38</f>
        <v>-54264.600000000006</v>
      </c>
      <c r="AC38" s="25">
        <f>H38-AB38-AA38-Z38</f>
        <v>-44216.560999999987</v>
      </c>
      <c r="AD38" s="143">
        <v>-76382.532000000007</v>
      </c>
      <c r="AE38" s="63">
        <f>BQ38-AD38</f>
        <v>-69490.915999999997</v>
      </c>
      <c r="AF38" s="143">
        <f>-227270.017-AE38-AD38</f>
        <v>-81396.568999999989</v>
      </c>
      <c r="AG38" s="25">
        <f>J38-AF38-AE38-AD38</f>
        <v>-110466.19699999999</v>
      </c>
      <c r="AH38" s="143">
        <v>-106753.409</v>
      </c>
      <c r="AI38" s="63">
        <f>BR38-AH38</f>
        <v>-156264.19099999999</v>
      </c>
      <c r="AJ38" s="143">
        <f>-353437.894-AI38-AH38</f>
        <v>-90420.29399999998</v>
      </c>
      <c r="AK38" s="25">
        <f>K38-AJ38-AI38-AH38</f>
        <v>-31345.186000000031</v>
      </c>
      <c r="AL38" s="143">
        <v>-12166.688</v>
      </c>
      <c r="AM38" s="63">
        <f>BS38-AL38</f>
        <v>-30510.796999999999</v>
      </c>
      <c r="AN38" s="143">
        <f>-75033.997-AM38-AL38</f>
        <v>-32356.512000000002</v>
      </c>
      <c r="AO38" s="25">
        <f>L38-AN38-AM38-AL38</f>
        <v>-55808.042000000009</v>
      </c>
      <c r="AP38" s="143">
        <v>-89008.413</v>
      </c>
      <c r="AQ38" s="63">
        <f>BT38-AP38</f>
        <v>-127954.03</v>
      </c>
      <c r="AR38" s="143">
        <f>-363446.066-AQ38-AP38</f>
        <v>-146483.62299999999</v>
      </c>
      <c r="AS38" s="25">
        <f>M38-AR38-AQ38-AP38</f>
        <v>-200419.68399999995</v>
      </c>
      <c r="AT38" s="143">
        <v>-188311.87700000001</v>
      </c>
      <c r="AU38" s="25">
        <f>BU38-AT38</f>
        <v>-184769.27</v>
      </c>
      <c r="AV38" s="143">
        <f>-523201.631-AU38-AT38</f>
        <v>-150120.48400000003</v>
      </c>
      <c r="AW38" s="25">
        <f>N38-AV38-AU38-AT38</f>
        <v>-162556.44799999995</v>
      </c>
      <c r="AX38" s="143">
        <v>-128754.126</v>
      </c>
      <c r="AY38" s="25">
        <f>BV38-AX38</f>
        <v>-124600.23599999999</v>
      </c>
      <c r="AZ38" s="143">
        <f>-348633.656-AY38-AX38</f>
        <v>-95279.294000000038</v>
      </c>
      <c r="BA38" s="25">
        <f>O38-AZ38-AY38-AX38</f>
        <v>-100287.84599999995</v>
      </c>
      <c r="BB38" s="143">
        <v>-85492.186000000002</v>
      </c>
      <c r="BC38" s="25">
        <f>BW38-BB38</f>
        <v>-97083.653000000006</v>
      </c>
      <c r="BD38" s="143">
        <f>-290005.138-BC38-BB38</f>
        <v>-107429.29899999998</v>
      </c>
      <c r="BE38" s="25">
        <f>P38-BD38-BC38-BB38</f>
        <v>-133935.81300000002</v>
      </c>
      <c r="BF38" s="143">
        <v>-98444.679000000004</v>
      </c>
      <c r="BG38" s="142"/>
      <c r="BH38" s="143">
        <v>-60377.682999999997</v>
      </c>
      <c r="BI38" s="63">
        <f>BY38-BH38</f>
        <v>-68712.962</v>
      </c>
      <c r="BJ38" s="143">
        <f>-214147.917-BI38-BH38</f>
        <v>-85057.271999999997</v>
      </c>
      <c r="BK38" s="25">
        <f>I38-Z38-AB38-AA38</f>
        <v>-158007.55300000001</v>
      </c>
      <c r="BL38" s="143">
        <v>-76382.532000000007</v>
      </c>
      <c r="BM38" s="143"/>
      <c r="BN38" s="140">
        <v>-71187.171000000002</v>
      </c>
      <c r="BO38" s="140">
        <v>-93679.606</v>
      </c>
      <c r="BP38" s="140">
        <v>-79392.573000000004</v>
      </c>
      <c r="BQ38" s="140">
        <v>-145873.448</v>
      </c>
      <c r="BR38" s="140">
        <v>-263017.59999999998</v>
      </c>
      <c r="BS38" s="140">
        <v>-42677.485000000001</v>
      </c>
      <c r="BT38" s="140">
        <v>-216962.443</v>
      </c>
      <c r="BU38" s="140">
        <v>-373081.147</v>
      </c>
      <c r="BV38" s="140">
        <v>-253354.36199999999</v>
      </c>
      <c r="BW38" s="140">
        <v>-182575.83900000001</v>
      </c>
      <c r="BX38" s="124"/>
      <c r="BY38" s="140">
        <v>-129090.645</v>
      </c>
      <c r="BZ38" s="140">
        <v>-145873.448</v>
      </c>
      <c r="CA38" s="124"/>
      <c r="CB38" s="124"/>
      <c r="CC38" s="207">
        <v>-23438.166000000001</v>
      </c>
      <c r="CD38" s="207">
        <v>-51251.266000000003</v>
      </c>
      <c r="CE38" s="207">
        <v>-80966.414000000004</v>
      </c>
      <c r="CG38" s="260"/>
    </row>
    <row r="39" spans="2:85" s="49" customFormat="1" ht="13.5" customHeight="1">
      <c r="B39" s="5" t="s">
        <v>312</v>
      </c>
      <c r="C39" s="150">
        <f t="shared" ref="C39:H39" si="83">C31+C34+SUM(C35:C38)</f>
        <v>314370.78500000003</v>
      </c>
      <c r="D39" s="150">
        <f t="shared" si="83"/>
        <v>352903.26599999995</v>
      </c>
      <c r="E39" s="150">
        <f t="shared" si="83"/>
        <v>363351.141</v>
      </c>
      <c r="F39" s="150">
        <f t="shared" si="83"/>
        <v>383199.67099999997</v>
      </c>
      <c r="G39" s="150">
        <f t="shared" si="83"/>
        <v>385434.36500000005</v>
      </c>
      <c r="H39" s="150">
        <f t="shared" si="83"/>
        <v>415981.58099999995</v>
      </c>
      <c r="I39" s="150">
        <f t="shared" ref="I39:N39" si="84">I31+I34+SUM(I35:I38)</f>
        <v>704585.10299999989</v>
      </c>
      <c r="J39" s="150">
        <f t="shared" si="84"/>
        <v>741755.7649999999</v>
      </c>
      <c r="K39" s="150">
        <f t="shared" si="84"/>
        <v>601855.60800000001</v>
      </c>
      <c r="L39" s="150">
        <f t="shared" si="84"/>
        <v>815457.87999999989</v>
      </c>
      <c r="M39" s="150">
        <f>M31+M34+SUM(M35:M38)</f>
        <v>752799.27299999981</v>
      </c>
      <c r="N39" s="150">
        <f t="shared" si="84"/>
        <v>667408.80199999991</v>
      </c>
      <c r="O39" s="150">
        <f>O31+O34+SUM(O35:O38)</f>
        <v>949901.66100000008</v>
      </c>
      <c r="P39" s="150">
        <f>P31+P34+SUM(P35:P38)</f>
        <v>1157547.983</v>
      </c>
      <c r="Q39" s="121"/>
      <c r="R39" s="150">
        <f t="shared" ref="R39:W39" si="85">R31+R34+SUM(R35:R38)</f>
        <v>90054.837</v>
      </c>
      <c r="S39" s="150">
        <f t="shared" si="85"/>
        <v>86957.347000000023</v>
      </c>
      <c r="T39" s="150">
        <f t="shared" si="85"/>
        <v>95474.560999999987</v>
      </c>
      <c r="U39" s="150">
        <f t="shared" si="85"/>
        <v>90864.396000000052</v>
      </c>
      <c r="V39" s="121">
        <f t="shared" si="85"/>
        <v>92926.525000000023</v>
      </c>
      <c r="W39" s="121">
        <f t="shared" si="85"/>
        <v>94281.537999999971</v>
      </c>
      <c r="X39" s="121">
        <f t="shared" ref="X39:AC39" si="86">X31+X34+SUM(X35:X38)</f>
        <v>97886.026999999973</v>
      </c>
      <c r="Y39" s="150">
        <f t="shared" si="86"/>
        <v>98105.581000000006</v>
      </c>
      <c r="Z39" s="150">
        <f t="shared" si="86"/>
        <v>101656.03499999997</v>
      </c>
      <c r="AA39" s="121">
        <f t="shared" si="86"/>
        <v>104665.61799999996</v>
      </c>
      <c r="AB39" s="121">
        <f t="shared" si="86"/>
        <v>98002.520000000019</v>
      </c>
      <c r="AC39" s="121">
        <f t="shared" si="86"/>
        <v>111657.40800000002</v>
      </c>
      <c r="AD39" s="150">
        <f t="shared" ref="AD39:AI39" si="87">AD31+AD34+SUM(AD35:AD38)</f>
        <v>183134.68399999998</v>
      </c>
      <c r="AE39" s="121">
        <f t="shared" si="87"/>
        <v>200407.49800000008</v>
      </c>
      <c r="AF39" s="150">
        <f t="shared" si="87"/>
        <v>191352.62400000004</v>
      </c>
      <c r="AG39" s="121">
        <f t="shared" si="87"/>
        <v>166860.95899999992</v>
      </c>
      <c r="AH39" s="150">
        <f t="shared" si="87"/>
        <v>174996.93300000002</v>
      </c>
      <c r="AI39" s="121">
        <f t="shared" si="87"/>
        <v>94631.224999999977</v>
      </c>
      <c r="AJ39" s="150">
        <f t="shared" ref="AJ39:AO39" si="88">AJ31+AJ34+SUM(AJ35:AJ38)</f>
        <v>139409.60100000005</v>
      </c>
      <c r="AK39" s="121">
        <f t="shared" si="88"/>
        <v>192817.84899999993</v>
      </c>
      <c r="AL39" s="150">
        <f t="shared" si="88"/>
        <v>210761.39200000002</v>
      </c>
      <c r="AM39" s="121">
        <f t="shared" si="88"/>
        <v>190202.49499999997</v>
      </c>
      <c r="AN39" s="150">
        <f t="shared" si="88"/>
        <v>199370.94800000006</v>
      </c>
      <c r="AO39" s="121">
        <f t="shared" si="88"/>
        <v>215123.04499999993</v>
      </c>
      <c r="AP39" s="150">
        <f t="shared" ref="AP39:AU39" si="89">AP31+AP34+SUM(AP35:AP38)</f>
        <v>218725.51599999997</v>
      </c>
      <c r="AQ39" s="121">
        <f t="shared" si="89"/>
        <v>200115.36100000009</v>
      </c>
      <c r="AR39" s="150">
        <f t="shared" si="89"/>
        <v>190047.24399999986</v>
      </c>
      <c r="AS39" s="121">
        <f t="shared" si="89"/>
        <v>143911.15200000018</v>
      </c>
      <c r="AT39" s="150">
        <f t="shared" si="89"/>
        <v>145633.46900000001</v>
      </c>
      <c r="AU39" s="121">
        <f t="shared" si="89"/>
        <v>144539.65999999992</v>
      </c>
      <c r="AV39" s="150">
        <f t="shared" ref="AV39:BA39" si="90">AV31+AV34+SUM(AV35:AV38)</f>
        <v>206423.18199999997</v>
      </c>
      <c r="AW39" s="121">
        <f t="shared" si="90"/>
        <v>170812.49100000001</v>
      </c>
      <c r="AX39" s="150">
        <f t="shared" si="90"/>
        <v>220445.07099999997</v>
      </c>
      <c r="AY39" s="121">
        <f t="shared" si="90"/>
        <v>213570.38700000002</v>
      </c>
      <c r="AZ39" s="150">
        <f t="shared" si="90"/>
        <v>254578.46399999992</v>
      </c>
      <c r="BA39" s="121">
        <f t="shared" si="90"/>
        <v>261307.73900000006</v>
      </c>
      <c r="BB39" s="150">
        <f>BB31+BB34+SUM(BB35:BB38)</f>
        <v>296638.57399999991</v>
      </c>
      <c r="BC39" s="121">
        <f>BC31+BC34+SUM(BC35:BC38)</f>
        <v>289167.07799999998</v>
      </c>
      <c r="BD39" s="150">
        <f>BD31+BD34+SUM(BD35:BD38)</f>
        <v>290541.95000000019</v>
      </c>
      <c r="BE39" s="121">
        <f>BE31+BE34+SUM(BE35:BE38)</f>
        <v>281200.38100000005</v>
      </c>
      <c r="BF39" s="150">
        <f>BF31+BF34+SUM(BF35:BF38)</f>
        <v>351517.08100000001</v>
      </c>
      <c r="BG39" s="142"/>
      <c r="BH39" s="150">
        <f>BH31+BH34+SUM(BH35:BH38)</f>
        <v>177538.878</v>
      </c>
      <c r="BI39" s="121">
        <f>BI31+BI34+SUM(BI35:BI38)</f>
        <v>176202.93600000005</v>
      </c>
      <c r="BJ39" s="150">
        <f>BJ31+BJ34+SUM(BJ35:BJ38)</f>
        <v>168181.66999999998</v>
      </c>
      <c r="BK39" s="121">
        <f>BK31+BK34+SUM(BK35:BK38)</f>
        <v>400260.93000000011</v>
      </c>
      <c r="BL39" s="150">
        <f>BL31+BL34+SUM(BL35:BL38)</f>
        <v>183134.68399999998</v>
      </c>
      <c r="BM39" s="121"/>
      <c r="BN39" s="150">
        <f t="shared" ref="BN39:BS39" si="91">BN31+BN34+SUM(BN35:BN38)</f>
        <v>177012.18400000001</v>
      </c>
      <c r="BO39" s="150">
        <f t="shared" si="91"/>
        <v>187208.06299999997</v>
      </c>
      <c r="BP39" s="150">
        <f t="shared" si="91"/>
        <v>206321.65299999996</v>
      </c>
      <c r="BQ39" s="150">
        <f t="shared" si="91"/>
        <v>383542.18199999997</v>
      </c>
      <c r="BR39" s="150">
        <f t="shared" si="91"/>
        <v>269628.158</v>
      </c>
      <c r="BS39" s="150">
        <f t="shared" si="91"/>
        <v>400963.88699999999</v>
      </c>
      <c r="BT39" s="150">
        <f>BT31+BT34+SUM(BT35:BT38)</f>
        <v>418840.87699999998</v>
      </c>
      <c r="BU39" s="150">
        <f>BU31+BU34+SUM(BU35:BU38)</f>
        <v>290173.1289999999</v>
      </c>
      <c r="BV39" s="150">
        <f>BV31+BV34+SUM(BV35:BV38)</f>
        <v>434015.45799999993</v>
      </c>
      <c r="BW39" s="150">
        <f>BW31+BW34+SUM(BW35:BW38)</f>
        <v>585805.652</v>
      </c>
      <c r="BX39" s="121"/>
      <c r="BY39" s="150">
        <f>BY31+BY34+SUM(BY35:BY38)</f>
        <v>353741.81400000001</v>
      </c>
      <c r="BZ39" s="150">
        <f>BZ31+BZ34+SUM(BZ35:BZ38)</f>
        <v>383542.18199999997</v>
      </c>
      <c r="CA39" s="121"/>
      <c r="CB39" s="121"/>
      <c r="CC39" s="148">
        <f>CC31+CC34+SUM(CC35:CC38)</f>
        <v>85368.823999999993</v>
      </c>
      <c r="CD39" s="148">
        <v>169942.19899999999</v>
      </c>
      <c r="CE39" s="148">
        <v>261031.29800000001</v>
      </c>
      <c r="CG39" s="260"/>
    </row>
    <row r="40" spans="2:85" s="49" customFormat="1" ht="13.5" customHeight="1">
      <c r="B40" s="1" t="s">
        <v>313</v>
      </c>
      <c r="C40" s="140">
        <v>-83551.771999999997</v>
      </c>
      <c r="D40" s="140">
        <v>-90919.63</v>
      </c>
      <c r="E40" s="140">
        <v>-96051.130999999994</v>
      </c>
      <c r="F40" s="140">
        <v>-100447.175</v>
      </c>
      <c r="G40" s="143">
        <v>-100447.175</v>
      </c>
      <c r="H40" s="143">
        <v>-110207.17600000001</v>
      </c>
      <c r="I40" s="143">
        <v>-142834.516</v>
      </c>
      <c r="J40" s="143">
        <v>-149509.71</v>
      </c>
      <c r="K40" s="143">
        <v>-139733.43400000001</v>
      </c>
      <c r="L40" s="143">
        <v>-132165.948</v>
      </c>
      <c r="M40" s="143">
        <v>-143950.622</v>
      </c>
      <c r="N40" s="143">
        <v>-152907.769</v>
      </c>
      <c r="O40" s="143">
        <v>-163384.10699999999</v>
      </c>
      <c r="P40" s="143">
        <v>-174065.139</v>
      </c>
      <c r="Q40" s="143"/>
      <c r="R40" s="140">
        <v>-23376.559000000001</v>
      </c>
      <c r="S40" s="151">
        <f>BN40-R40</f>
        <v>-23574.508000000002</v>
      </c>
      <c r="T40" s="140">
        <f>-71784.982-S40-R40</f>
        <v>-24833.915000000001</v>
      </c>
      <c r="U40" s="151">
        <f>E40-T40-S40-R40</f>
        <v>-24266.148999999983</v>
      </c>
      <c r="V40" s="124">
        <v>-25215.547999999999</v>
      </c>
      <c r="W40" s="63">
        <f>BO40-V40</f>
        <v>-24916.999</v>
      </c>
      <c r="X40" s="124">
        <f>-75547.709-W40-V40</f>
        <v>-25415.162000000008</v>
      </c>
      <c r="Y40" s="151">
        <f>F40-X40-W40-V40</f>
        <v>-24899.465999999997</v>
      </c>
      <c r="Z40" s="143">
        <v>-26171.478999999999</v>
      </c>
      <c r="AA40" s="63">
        <f>BP40-Z40</f>
        <v>-26387.088000000003</v>
      </c>
      <c r="AB40" s="124">
        <f>-80980.304-AA40-Z40</f>
        <v>-28421.737000000001</v>
      </c>
      <c r="AC40" s="25">
        <f>H40-AB40-AA40-Z40</f>
        <v>-29226.87200000001</v>
      </c>
      <c r="AD40" s="143">
        <v>-36352.669000000002</v>
      </c>
      <c r="AE40" s="63">
        <f>BQ40-AD40</f>
        <v>-35422.810999999994</v>
      </c>
      <c r="AF40" s="143">
        <f>-110110.72-AE40-AD40</f>
        <v>-38335.240000000013</v>
      </c>
      <c r="AG40" s="25">
        <f>J40-AF40-AE40-AD40</f>
        <v>-39398.989999999983</v>
      </c>
      <c r="AH40" s="143">
        <v>-40737.072</v>
      </c>
      <c r="AI40" s="63">
        <f>BR40-AH40</f>
        <v>-32596.630000000005</v>
      </c>
      <c r="AJ40" s="143">
        <f>-104478.31-AI40-AH40</f>
        <v>-31144.607999999993</v>
      </c>
      <c r="AK40" s="25">
        <f>K40-AJ40-AI40-AH40</f>
        <v>-35255.124000000011</v>
      </c>
      <c r="AL40" s="143">
        <v>-33791.593999999997</v>
      </c>
      <c r="AM40" s="63">
        <f>BS40-AL40</f>
        <v>-29930.595000000001</v>
      </c>
      <c r="AN40" s="143">
        <f>-96168.362-AM40-AL40</f>
        <v>-32446.172999999995</v>
      </c>
      <c r="AO40" s="25">
        <f>L40-AN40-AM40-AL40</f>
        <v>-35997.58600000001</v>
      </c>
      <c r="AP40" s="143">
        <v>-35602.400000000001</v>
      </c>
      <c r="AQ40" s="63">
        <f>BT40-AP40</f>
        <v>-36092.123</v>
      </c>
      <c r="AR40" s="143">
        <f>-110570.141-AQ40-AP40</f>
        <v>-38875.618000000009</v>
      </c>
      <c r="AS40" s="25">
        <f>M40-AR40-AQ40-AP40</f>
        <v>-33380.480999999992</v>
      </c>
      <c r="AT40" s="143">
        <v>-37203.207000000002</v>
      </c>
      <c r="AU40" s="25">
        <f>BU40-AT40</f>
        <v>-38398.942000000003</v>
      </c>
      <c r="AV40" s="143">
        <f>-113117.447-AU40-AT40</f>
        <v>-37515.298000000003</v>
      </c>
      <c r="AW40" s="25">
        <f>N40-AV40-AU40-AT40</f>
        <v>-39790.321999999978</v>
      </c>
      <c r="AX40" s="143">
        <v>-38782.184000000001</v>
      </c>
      <c r="AY40" s="25">
        <f>BV40-AX40</f>
        <v>-39071.200000000004</v>
      </c>
      <c r="AZ40" s="143">
        <f>-119878.256-AY40-AX40</f>
        <v>-42024.871999999981</v>
      </c>
      <c r="BA40" s="25">
        <f>O40-AZ40-AY40-AX40</f>
        <v>-43505.851000000002</v>
      </c>
      <c r="BB40" s="143">
        <v>-39946.26</v>
      </c>
      <c r="BC40" s="25">
        <f>BW40-BB40</f>
        <v>-41804.851000000002</v>
      </c>
      <c r="BD40" s="143">
        <f>-126701.57-BC40-BB40</f>
        <v>-44950.45900000001</v>
      </c>
      <c r="BE40" s="25">
        <f>P40-BD40-BC40-BB40</f>
        <v>-47363.568999999996</v>
      </c>
      <c r="BF40" s="143">
        <v>-44090.775999999998</v>
      </c>
      <c r="BG40" s="142"/>
      <c r="BH40" s="143">
        <v>-34889.957999999999</v>
      </c>
      <c r="BI40" s="63">
        <f>BY40-BH40</f>
        <v>-35340.346999999994</v>
      </c>
      <c r="BJ40" s="143">
        <f>-106844.561-BI40-BH40</f>
        <v>-36614.256000000008</v>
      </c>
      <c r="BK40" s="25">
        <f>I40-Z40-AB40-AA40</f>
        <v>-61854.212000000014</v>
      </c>
      <c r="BL40" s="143">
        <v>-36352.669000000002</v>
      </c>
      <c r="BM40" s="143"/>
      <c r="BN40" s="140">
        <v>-46951.067000000003</v>
      </c>
      <c r="BO40" s="140">
        <v>-50132.546999999999</v>
      </c>
      <c r="BP40" s="140">
        <v>-52558.567000000003</v>
      </c>
      <c r="BQ40" s="140">
        <v>-71775.48</v>
      </c>
      <c r="BR40" s="140">
        <v>-73333.702000000005</v>
      </c>
      <c r="BS40" s="140">
        <v>-63722.188999999998</v>
      </c>
      <c r="BT40" s="140">
        <v>-71694.523000000001</v>
      </c>
      <c r="BU40" s="140">
        <v>-75602.149000000005</v>
      </c>
      <c r="BV40" s="140">
        <v>-77853.384000000005</v>
      </c>
      <c r="BW40" s="140">
        <v>-81751.111000000004</v>
      </c>
      <c r="BX40" s="124"/>
      <c r="BY40" s="140">
        <v>-70230.304999999993</v>
      </c>
      <c r="BZ40" s="140">
        <v>-71775.48</v>
      </c>
      <c r="CA40" s="124"/>
      <c r="CB40" s="124"/>
      <c r="CC40" s="207">
        <v>-22479.385999999999</v>
      </c>
      <c r="CD40" s="207">
        <v>-43711.89</v>
      </c>
      <c r="CE40" s="207">
        <v>-67145.131999999998</v>
      </c>
      <c r="CG40" s="260"/>
    </row>
    <row r="41" spans="2:85" s="49" customFormat="1" ht="13.5" customHeight="1">
      <c r="B41" s="1" t="s">
        <v>289</v>
      </c>
      <c r="C41" s="140">
        <v>-101215.795</v>
      </c>
      <c r="D41" s="140">
        <v>-112366.201</v>
      </c>
      <c r="E41" s="140">
        <v>-125483.985</v>
      </c>
      <c r="F41" s="140">
        <v>-140106.674</v>
      </c>
      <c r="G41" s="143">
        <v>-138010.60500000001</v>
      </c>
      <c r="H41" s="143">
        <v>-154941.6</v>
      </c>
      <c r="I41" s="143">
        <v>-177860.67</v>
      </c>
      <c r="J41" s="143">
        <v>-197819.946</v>
      </c>
      <c r="K41" s="143">
        <v>-206582.60699999999</v>
      </c>
      <c r="L41" s="143">
        <v>-281848.44699999999</v>
      </c>
      <c r="M41" s="143">
        <v>-387437.7</v>
      </c>
      <c r="N41" s="143">
        <v>-405226.48599999998</v>
      </c>
      <c r="O41" s="143">
        <v>-441720.71799999999</v>
      </c>
      <c r="P41" s="143">
        <v>-492031.641</v>
      </c>
      <c r="Q41" s="143"/>
      <c r="R41" s="140">
        <v>-29980.277999999998</v>
      </c>
      <c r="S41" s="151">
        <f>BN41-R41</f>
        <v>-31361.378000000004</v>
      </c>
      <c r="T41" s="140">
        <f>-93771.526-S41-R41</f>
        <v>-32429.869999999995</v>
      </c>
      <c r="U41" s="151">
        <f>E41-T41-S41-R41</f>
        <v>-31712.459000000003</v>
      </c>
      <c r="V41" s="124">
        <v>-33447.033000000003</v>
      </c>
      <c r="W41" s="63">
        <f>BO41-V41</f>
        <v>-35036.406999999999</v>
      </c>
      <c r="X41" s="124">
        <f>-103642.155-W41-V41</f>
        <v>-35158.714999999989</v>
      </c>
      <c r="Y41" s="151">
        <f>F41-X41-W41-V41</f>
        <v>-36464.518999999993</v>
      </c>
      <c r="Z41" s="143">
        <v>-36888.667999999998</v>
      </c>
      <c r="AA41" s="63">
        <f>BP41-Z41</f>
        <v>-38781.349000000009</v>
      </c>
      <c r="AB41" s="124">
        <f>-114502.621-AA41-Z41</f>
        <v>-38832.603999999999</v>
      </c>
      <c r="AC41" s="25">
        <f>H41-AB41-AA41-Z41</f>
        <v>-40438.978999999999</v>
      </c>
      <c r="AD41" s="143">
        <v>-43428.451000000001</v>
      </c>
      <c r="AE41" s="63">
        <f>BQ41-AD41</f>
        <v>-51472.467000000004</v>
      </c>
      <c r="AF41" s="143">
        <f>-145550.287-AE41-AD41</f>
        <v>-50649.369000000006</v>
      </c>
      <c r="AG41" s="25">
        <f>J41-AF41-AE41-AD41</f>
        <v>-52269.658999999985</v>
      </c>
      <c r="AH41" s="143">
        <v>-51772.186000000002</v>
      </c>
      <c r="AI41" s="63">
        <f>BR41-AH41</f>
        <v>-44262.876000000004</v>
      </c>
      <c r="AJ41" s="143">
        <f>-145655.218-AI41-AH41</f>
        <v>-49620.155999999988</v>
      </c>
      <c r="AK41" s="25">
        <f>K41-AJ41-AI41-AH41</f>
        <v>-60927.388999999996</v>
      </c>
      <c r="AL41" s="143">
        <v>-56811.942000000003</v>
      </c>
      <c r="AM41" s="63">
        <f>BS41-AL41</f>
        <v>-64795.190999999999</v>
      </c>
      <c r="AN41" s="143">
        <f>-198251.678-AM41-AL41</f>
        <v>-76644.545000000013</v>
      </c>
      <c r="AO41" s="25">
        <f>L41-AN41-AM41-AL41</f>
        <v>-83596.768999999971</v>
      </c>
      <c r="AP41" s="143">
        <v>-83697.561000000002</v>
      </c>
      <c r="AQ41" s="63">
        <f>BT41-AP41</f>
        <v>-101499.39099999999</v>
      </c>
      <c r="AR41" s="143">
        <f>-282108.315-AQ41-AP41</f>
        <v>-96911.362999999998</v>
      </c>
      <c r="AS41" s="25">
        <f>M41-AR41-AQ41-AP41</f>
        <v>-105329.38499999999</v>
      </c>
      <c r="AT41" s="143">
        <v>-92429.861000000004</v>
      </c>
      <c r="AU41" s="25">
        <f>BU41-AT41</f>
        <v>-97635.176000000007</v>
      </c>
      <c r="AV41" s="143">
        <f>-298303.269-AU41-AT41</f>
        <v>-108238.23199999996</v>
      </c>
      <c r="AW41" s="25">
        <f>N41-AV41-AU41-AT41</f>
        <v>-106923.217</v>
      </c>
      <c r="AX41" s="143">
        <v>-100257.194</v>
      </c>
      <c r="AY41" s="25">
        <f>BV41-AX41</f>
        <v>-104224.572</v>
      </c>
      <c r="AZ41" s="143">
        <f>-313579.351-AY41-AX41</f>
        <v>-109097.58500000004</v>
      </c>
      <c r="BA41" s="25">
        <f>O41-AZ41-AY41-AX41</f>
        <v>-128141.36699999998</v>
      </c>
      <c r="BB41" s="143">
        <v>-108089.94100000001</v>
      </c>
      <c r="BC41" s="25">
        <f>BW41-BB41</f>
        <v>-109057.08</v>
      </c>
      <c r="BD41" s="143">
        <f>-341103.012-BC41-BB41</f>
        <v>-123955.99099999997</v>
      </c>
      <c r="BE41" s="25">
        <f>P41-BD41-BC41-BB41</f>
        <v>-150928.62900000002</v>
      </c>
      <c r="BF41" s="143">
        <v>-105139.74</v>
      </c>
      <c r="BG41" s="142"/>
      <c r="BH41" s="143">
        <v>-41755.593000000001</v>
      </c>
      <c r="BI41" s="63">
        <f>BY41-BH41</f>
        <v>-44478.646000000001</v>
      </c>
      <c r="BJ41" s="143">
        <f>-130874.488-BI41-BH41</f>
        <v>-44640.249000000003</v>
      </c>
      <c r="BK41" s="25">
        <f>I41-Z41-AB41-AA41</f>
        <v>-63358.049000000006</v>
      </c>
      <c r="BL41" s="143">
        <v>-43428.451000000001</v>
      </c>
      <c r="BM41" s="143"/>
      <c r="BN41" s="140">
        <v>-61341.656000000003</v>
      </c>
      <c r="BO41" s="140">
        <v>-68483.44</v>
      </c>
      <c r="BP41" s="140">
        <v>-75670.017000000007</v>
      </c>
      <c r="BQ41" s="140">
        <v>-94900.918000000005</v>
      </c>
      <c r="BR41" s="140">
        <v>-96035.062000000005</v>
      </c>
      <c r="BS41" s="140">
        <v>-121607.133</v>
      </c>
      <c r="BT41" s="140">
        <v>-185196.95199999999</v>
      </c>
      <c r="BU41" s="140">
        <v>-190065.03700000001</v>
      </c>
      <c r="BV41" s="140">
        <v>-204481.766</v>
      </c>
      <c r="BW41" s="140">
        <v>-217147.02100000001</v>
      </c>
      <c r="BX41" s="124"/>
      <c r="BY41" s="140">
        <v>-86234.239000000001</v>
      </c>
      <c r="BZ41" s="140">
        <v>-94900.918000000005</v>
      </c>
      <c r="CA41" s="124"/>
      <c r="CB41" s="124"/>
      <c r="CC41" s="207">
        <v>-26351.184000000001</v>
      </c>
      <c r="CD41" s="207">
        <v>-53544.057000000001</v>
      </c>
      <c r="CE41" s="207">
        <v>-83492.247000000003</v>
      </c>
      <c r="CG41" s="260"/>
    </row>
    <row r="42" spans="2:85" s="49" customFormat="1" ht="13.5" customHeight="1">
      <c r="B42" s="1" t="s">
        <v>314</v>
      </c>
      <c r="C42" s="140">
        <v>-15489.687</v>
      </c>
      <c r="D42" s="140">
        <v>-15638.352999999999</v>
      </c>
      <c r="E42" s="140">
        <v>-16810.784</v>
      </c>
      <c r="F42" s="140">
        <v>-19762.996999999999</v>
      </c>
      <c r="G42" s="143">
        <v>-19762.996999999999</v>
      </c>
      <c r="H42" s="143">
        <v>-21175.298999999999</v>
      </c>
      <c r="I42" s="143">
        <v>-21175.298999999999</v>
      </c>
      <c r="J42" s="143">
        <v>-34996.500999999997</v>
      </c>
      <c r="K42" s="143">
        <v>-37506.177000000003</v>
      </c>
      <c r="L42" s="143">
        <v>-39291.807000000001</v>
      </c>
      <c r="M42" s="143">
        <v>-42622.991999999998</v>
      </c>
      <c r="N42" s="143">
        <v>-40364.506000000001</v>
      </c>
      <c r="O42" s="143">
        <v>-39942.417000000001</v>
      </c>
      <c r="P42" s="143">
        <v>-38973.917999999998</v>
      </c>
      <c r="Q42" s="143"/>
      <c r="R42" s="140">
        <v>-4025.7640000000001</v>
      </c>
      <c r="S42" s="151">
        <f>BN42-R42</f>
        <v>-4104.2330000000002</v>
      </c>
      <c r="T42" s="140">
        <f>-12426.733-S42-R42</f>
        <v>-4296.7359999999999</v>
      </c>
      <c r="U42" s="151">
        <f>E42-T42-S42-R42</f>
        <v>-4384.0509999999986</v>
      </c>
      <c r="V42" s="124">
        <v>-4544.6559999999999</v>
      </c>
      <c r="W42" s="63">
        <f>BO42-V42</f>
        <v>-5082.4630000000006</v>
      </c>
      <c r="X42" s="124">
        <f>-14646.574-W42-V42</f>
        <v>-5019.4550000000008</v>
      </c>
      <c r="Y42" s="151">
        <f>F42-X42-W42-V42</f>
        <v>-5116.422999999998</v>
      </c>
      <c r="Z42" s="143">
        <v>-5420.4830000000002</v>
      </c>
      <c r="AA42" s="63">
        <f>BP42-Z42</f>
        <v>-3881.3209999999999</v>
      </c>
      <c r="AB42" s="124">
        <f>-15415.148-AA42-Z42</f>
        <v>-6113.3439999999991</v>
      </c>
      <c r="AC42" s="25">
        <f>H42-AB42-AA42-Z42</f>
        <v>-5760.1509999999998</v>
      </c>
      <c r="AD42" s="143">
        <v>-8842.6239999999998</v>
      </c>
      <c r="AE42" s="63">
        <f>BQ42-AD42</f>
        <v>-7115.8209999999999</v>
      </c>
      <c r="AF42" s="143">
        <f>-25046.097-AE42-AD42</f>
        <v>-9087.6520000000019</v>
      </c>
      <c r="AG42" s="25">
        <f>J42-AF42-AE42-AD42</f>
        <v>-9950.403999999995</v>
      </c>
      <c r="AH42" s="143">
        <v>-9963.7369999999992</v>
      </c>
      <c r="AI42" s="63">
        <f>BR42-AH42</f>
        <v>-9918.4580000000005</v>
      </c>
      <c r="AJ42" s="143">
        <f>-29325.724-AI42-AH42</f>
        <v>-9443.5289999999968</v>
      </c>
      <c r="AK42" s="25">
        <f>K42-AJ42-AI42-AH42</f>
        <v>-8180.4530000000104</v>
      </c>
      <c r="AL42" s="143">
        <v>-9394.2999999999993</v>
      </c>
      <c r="AM42" s="63">
        <f>BS42-AL42</f>
        <v>-9402.6650000000009</v>
      </c>
      <c r="AN42" s="143">
        <f>-28364.714-AM42-AL42</f>
        <v>-9567.7489999999998</v>
      </c>
      <c r="AO42" s="25">
        <f>L42-AN42-AM42-AL42</f>
        <v>-10927.093000000001</v>
      </c>
      <c r="AP42" s="143">
        <v>-10636.787</v>
      </c>
      <c r="AQ42" s="63">
        <f>BT42-AP42</f>
        <v>-10991.736000000001</v>
      </c>
      <c r="AR42" s="143">
        <f>-32887.432-AQ42-AP42</f>
        <v>-11258.909</v>
      </c>
      <c r="AS42" s="25">
        <f>M42-AR42-AQ42-AP42</f>
        <v>-9735.5599999999977</v>
      </c>
      <c r="AT42" s="143">
        <v>-9573.1190000000006</v>
      </c>
      <c r="AU42" s="25">
        <f>BU42-AT42</f>
        <v>-9855.3289999999997</v>
      </c>
      <c r="AV42" s="143">
        <f>-30167.327-AU42-AT42</f>
        <v>-10738.878999999999</v>
      </c>
      <c r="AW42" s="25">
        <f>N42-AV42-AU42-AT42</f>
        <v>-10197.179000000002</v>
      </c>
      <c r="AX42" s="143">
        <v>-10113.516</v>
      </c>
      <c r="AY42" s="25">
        <f>BV42-AX42</f>
        <v>-9504.0730000000003</v>
      </c>
      <c r="AZ42" s="143">
        <f>-28670.043-AY42-AX42</f>
        <v>-9052.4540000000015</v>
      </c>
      <c r="BA42" s="25">
        <f>O42-AZ42-AY42-AX42</f>
        <v>-11272.374</v>
      </c>
      <c r="BB42" s="143">
        <v>-8673.0059999999994</v>
      </c>
      <c r="BC42" s="25">
        <f>BW42-BB42</f>
        <v>-9110.6530000000002</v>
      </c>
      <c r="BD42" s="143">
        <f>-27436.996-BC42-BB42</f>
        <v>-9653.3370000000014</v>
      </c>
      <c r="BE42" s="25">
        <f>P42-BD42-BC42-BB42</f>
        <v>-11536.922</v>
      </c>
      <c r="BF42" s="143">
        <v>-10525.775</v>
      </c>
      <c r="BG42" s="142"/>
      <c r="BH42" s="143">
        <v>-5420.4830000000002</v>
      </c>
      <c r="BI42" s="63">
        <f>BY42-BH42</f>
        <v>-3881.3209999999999</v>
      </c>
      <c r="BJ42" s="143">
        <f>-15415.148-BI42-BH42</f>
        <v>-6113.3439999999991</v>
      </c>
      <c r="BK42" s="25">
        <f>I42-Z42-AB42-AA42</f>
        <v>-5760.1509999999998</v>
      </c>
      <c r="BL42" s="143">
        <v>-8842.6239999999998</v>
      </c>
      <c r="BM42" s="143"/>
      <c r="BN42" s="140">
        <v>-8129.9970000000003</v>
      </c>
      <c r="BO42" s="140">
        <v>-9627.1190000000006</v>
      </c>
      <c r="BP42" s="140">
        <v>-9301.8040000000001</v>
      </c>
      <c r="BQ42" s="140">
        <v>-15958.445</v>
      </c>
      <c r="BR42" s="140">
        <v>-19882.195</v>
      </c>
      <c r="BS42" s="140">
        <v>-18796.965</v>
      </c>
      <c r="BT42" s="140">
        <v>-21628.523000000001</v>
      </c>
      <c r="BU42" s="140">
        <v>-19428.448</v>
      </c>
      <c r="BV42" s="140">
        <v>-19617.589</v>
      </c>
      <c r="BW42" s="140">
        <v>-17783.659</v>
      </c>
      <c r="BX42" s="124"/>
      <c r="BY42" s="140">
        <v>-9301.8040000000001</v>
      </c>
      <c r="BZ42" s="140">
        <v>-15958.445</v>
      </c>
      <c r="CA42" s="124"/>
      <c r="CB42" s="124"/>
      <c r="CC42" s="207">
        <v>-3800.0390000000002</v>
      </c>
      <c r="CD42" s="207">
        <v>-7570.7849999999999</v>
      </c>
      <c r="CE42" s="207">
        <v>-11336.748</v>
      </c>
      <c r="CG42" s="260"/>
    </row>
    <row r="43" spans="2:85" s="49" customFormat="1" ht="13.5" customHeight="1">
      <c r="B43" s="1" t="s">
        <v>315</v>
      </c>
      <c r="C43" s="140">
        <v>-10502.339</v>
      </c>
      <c r="D43" s="140">
        <v>-10548.992</v>
      </c>
      <c r="E43" s="140">
        <v>-11740.050999999999</v>
      </c>
      <c r="F43" s="140">
        <v>-13043.717000000001</v>
      </c>
      <c r="G43" s="143">
        <v>-17374.48</v>
      </c>
      <c r="H43" s="143">
        <v>-20509.182000000001</v>
      </c>
      <c r="I43" s="143">
        <v>-46024.862000000001</v>
      </c>
      <c r="J43" s="143">
        <v>-44322.853999999999</v>
      </c>
      <c r="K43" s="143">
        <v>-49636.946000000004</v>
      </c>
      <c r="L43" s="143">
        <v>-50571.387000000002</v>
      </c>
      <c r="M43" s="143">
        <v>-37351.343999999997</v>
      </c>
      <c r="N43" s="143">
        <v>-46701.966999999997</v>
      </c>
      <c r="O43" s="143">
        <v>-43905.909</v>
      </c>
      <c r="P43" s="143">
        <v>-49427.624000000003</v>
      </c>
      <c r="Q43" s="143"/>
      <c r="R43" s="140">
        <v>-2371.3719999999998</v>
      </c>
      <c r="S43" s="151">
        <f>BN43-R43</f>
        <v>-2589.1470000000004</v>
      </c>
      <c r="T43" s="140">
        <f>-8475.944-S43-R43</f>
        <v>-3515.4249999999988</v>
      </c>
      <c r="U43" s="151">
        <f>E43-T43-S43-R43</f>
        <v>-3264.1069999999995</v>
      </c>
      <c r="V43" s="124">
        <v>-2843.0410000000002</v>
      </c>
      <c r="W43" s="63">
        <f>BO43-V43</f>
        <v>-3283.34</v>
      </c>
      <c r="X43" s="124">
        <f>-9178.291-W43-V43</f>
        <v>-3051.9099999999989</v>
      </c>
      <c r="Y43" s="151">
        <f>F43-X43-W43-V43</f>
        <v>-3865.4260000000004</v>
      </c>
      <c r="Z43" s="143">
        <v>-4681.9949999999999</v>
      </c>
      <c r="AA43" s="63">
        <f>BP43-Z43</f>
        <v>-4997.8059999999996</v>
      </c>
      <c r="AB43" s="124">
        <f>-14804.562-AA43-Z43</f>
        <v>-5124.7610000000013</v>
      </c>
      <c r="AC43" s="25">
        <f>H43-AB43-AA43-Z43</f>
        <v>-5704.6199999999981</v>
      </c>
      <c r="AD43" s="143">
        <v>-11127.227000000001</v>
      </c>
      <c r="AE43" s="63">
        <f>BQ43-AD43</f>
        <v>-10413.67</v>
      </c>
      <c r="AF43" s="143">
        <f>-33927.514-AE43-AD43</f>
        <v>-12386.617000000004</v>
      </c>
      <c r="AG43" s="25">
        <f>J43-AF43-AE43-AD43</f>
        <v>-10395.339999999995</v>
      </c>
      <c r="AH43" s="143">
        <v>-11809.669</v>
      </c>
      <c r="AI43" s="63">
        <f>BR43-AH43</f>
        <v>-7913.5589999999993</v>
      </c>
      <c r="AJ43" s="143">
        <f>-33200.258-AI43-AH43</f>
        <v>-13477.03</v>
      </c>
      <c r="AK43" s="25">
        <f>K43-AJ43-AI43-AH43</f>
        <v>-16436.688000000002</v>
      </c>
      <c r="AL43" s="143">
        <v>-12549.788</v>
      </c>
      <c r="AM43" s="63">
        <f>BS43-AL43</f>
        <v>-13029.874</v>
      </c>
      <c r="AN43" s="143">
        <f>-36964.557-AM43-AL43</f>
        <v>-11384.895</v>
      </c>
      <c r="AO43" s="25">
        <f>L43-AN43-AM43-AL43</f>
        <v>-13606.829999999998</v>
      </c>
      <c r="AP43" s="143">
        <v>-11793.877</v>
      </c>
      <c r="AQ43" s="63">
        <f>BT43-AP43</f>
        <v>-3094.9799999999996</v>
      </c>
      <c r="AR43" s="143">
        <f>-23370.477-AQ43-AP43</f>
        <v>-8481.619999999999</v>
      </c>
      <c r="AS43" s="25">
        <f>M43-AR43-AQ43-AP43</f>
        <v>-13980.866999999998</v>
      </c>
      <c r="AT43" s="143">
        <v>-7264.223</v>
      </c>
      <c r="AU43" s="25">
        <f>BU43-AT43</f>
        <v>-6821.0210000000006</v>
      </c>
      <c r="AV43" s="143">
        <f>-23043.531-AU43-AT43</f>
        <v>-8958.2869999999984</v>
      </c>
      <c r="AW43" s="25">
        <f>N43-AV43-AU43-AT43</f>
        <v>-23658.436000000002</v>
      </c>
      <c r="AX43" s="143">
        <v>-13675.971</v>
      </c>
      <c r="AY43" s="25">
        <f>BV43-AX43</f>
        <v>-3355.4230000000007</v>
      </c>
      <c r="AZ43" s="143">
        <f>-29932.642-AY43-AX43</f>
        <v>-12901.247999999998</v>
      </c>
      <c r="BA43" s="25">
        <f>O43-AZ43-AY43-AX43</f>
        <v>-13973.266999999998</v>
      </c>
      <c r="BB43" s="143">
        <v>-13933.773999999999</v>
      </c>
      <c r="BC43" s="25">
        <f>BW43-BB43</f>
        <v>-12680.1</v>
      </c>
      <c r="BD43" s="143">
        <f>-37478.296-BC43-BB43</f>
        <v>-10864.422000000004</v>
      </c>
      <c r="BE43" s="25">
        <f>P43-BD43-BC43-BB43</f>
        <v>-11949.328</v>
      </c>
      <c r="BF43" s="143">
        <v>-14697.494000000001</v>
      </c>
      <c r="BG43" s="142"/>
      <c r="BH43" s="143">
        <v>-10467.004000000001</v>
      </c>
      <c r="BI43" s="63">
        <f>BY43-BH43</f>
        <v>-11592.281999999999</v>
      </c>
      <c r="BJ43" s="143">
        <f>-33802.578-BI43-BH43</f>
        <v>-11743.292000000001</v>
      </c>
      <c r="BK43" s="25">
        <f>I43-Z43-AB43-AA43</f>
        <v>-31220.3</v>
      </c>
      <c r="BL43" s="143">
        <v>-11127.227000000001</v>
      </c>
      <c r="BM43" s="143"/>
      <c r="BN43" s="140">
        <v>-4960.5190000000002</v>
      </c>
      <c r="BO43" s="140">
        <v>-6126.3810000000003</v>
      </c>
      <c r="BP43" s="140">
        <v>-9679.8009999999995</v>
      </c>
      <c r="BQ43" s="140">
        <v>-21540.897000000001</v>
      </c>
      <c r="BR43" s="140">
        <v>-19723.227999999999</v>
      </c>
      <c r="BS43" s="140">
        <v>-25579.662</v>
      </c>
      <c r="BT43" s="140">
        <v>-14888.857</v>
      </c>
      <c r="BU43" s="140">
        <v>-14085.244000000001</v>
      </c>
      <c r="BV43" s="140">
        <v>-17031.394</v>
      </c>
      <c r="BW43" s="140">
        <v>-26613.874</v>
      </c>
      <c r="BX43" s="124"/>
      <c r="BY43" s="140">
        <v>-22059.286</v>
      </c>
      <c r="BZ43" s="140">
        <v>-21540.897000000001</v>
      </c>
      <c r="CA43" s="124"/>
      <c r="CB43" s="124"/>
      <c r="CC43" s="207">
        <v>-2582.2570000000001</v>
      </c>
      <c r="CD43" s="207">
        <v>-4968.0219999999999</v>
      </c>
      <c r="CE43" s="207">
        <v>-7408.9459999999999</v>
      </c>
      <c r="CG43" s="260"/>
    </row>
    <row r="44" spans="2:85" s="49" customFormat="1" ht="13.5" customHeight="1">
      <c r="B44" s="5" t="s">
        <v>316</v>
      </c>
      <c r="C44" s="150">
        <f t="shared" ref="C44:H44" si="92">SUM(C40:C43)</f>
        <v>-210759.59299999999</v>
      </c>
      <c r="D44" s="150">
        <f t="shared" si="92"/>
        <v>-229473.17600000001</v>
      </c>
      <c r="E44" s="150">
        <f t="shared" si="92"/>
        <v>-250085.95099999997</v>
      </c>
      <c r="F44" s="150">
        <f t="shared" si="92"/>
        <v>-273360.56299999997</v>
      </c>
      <c r="G44" s="150">
        <f t="shared" si="92"/>
        <v>-275595.25700000004</v>
      </c>
      <c r="H44" s="150">
        <f t="shared" si="92"/>
        <v>-306833.25699999998</v>
      </c>
      <c r="I44" s="150">
        <f t="shared" ref="I44:N44" si="93">SUM(I40:I43)</f>
        <v>-387895.34700000001</v>
      </c>
      <c r="J44" s="150">
        <f t="shared" si="93"/>
        <v>-426649.01099999994</v>
      </c>
      <c r="K44" s="150">
        <f t="shared" si="93"/>
        <v>-433459.16399999999</v>
      </c>
      <c r="L44" s="150">
        <f t="shared" si="93"/>
        <v>-503877.58900000004</v>
      </c>
      <c r="M44" s="150">
        <f>SUM(M40:M43)</f>
        <v>-611362.65800000005</v>
      </c>
      <c r="N44" s="150">
        <f t="shared" si="93"/>
        <v>-645200.728</v>
      </c>
      <c r="O44" s="150">
        <f>SUM(O40:O43)</f>
        <v>-688953.15099999995</v>
      </c>
      <c r="P44" s="150">
        <f>SUM(P40:P43)</f>
        <v>-754498.32199999993</v>
      </c>
      <c r="Q44" s="121"/>
      <c r="R44" s="150">
        <f t="shared" ref="R44:W44" si="94">SUM(R40:R43)</f>
        <v>-59753.973000000005</v>
      </c>
      <c r="S44" s="150">
        <f t="shared" si="94"/>
        <v>-61629.266000000003</v>
      </c>
      <c r="T44" s="150">
        <f t="shared" si="94"/>
        <v>-65075.945999999989</v>
      </c>
      <c r="U44" s="150">
        <f t="shared" si="94"/>
        <v>-63626.765999999981</v>
      </c>
      <c r="V44" s="121">
        <f t="shared" si="94"/>
        <v>-66050.278000000006</v>
      </c>
      <c r="W44" s="121">
        <f t="shared" si="94"/>
        <v>-68319.209000000003</v>
      </c>
      <c r="X44" s="121">
        <f t="shared" ref="X44:AC44" si="95">SUM(X40:X43)</f>
        <v>-68645.241999999998</v>
      </c>
      <c r="Y44" s="150">
        <f t="shared" si="95"/>
        <v>-70345.833999999988</v>
      </c>
      <c r="Z44" s="150">
        <f t="shared" si="95"/>
        <v>-73162.625</v>
      </c>
      <c r="AA44" s="121">
        <f t="shared" si="95"/>
        <v>-74047.564000000013</v>
      </c>
      <c r="AB44" s="121">
        <f t="shared" si="95"/>
        <v>-78492.445999999996</v>
      </c>
      <c r="AC44" s="121">
        <f t="shared" si="95"/>
        <v>-81130.622000000003</v>
      </c>
      <c r="AD44" s="150">
        <f t="shared" ref="AD44:AI44" si="96">SUM(AD40:AD43)</f>
        <v>-99750.97099999999</v>
      </c>
      <c r="AE44" s="121">
        <f t="shared" si="96"/>
        <v>-104424.76899999999</v>
      </c>
      <c r="AF44" s="150">
        <f t="shared" si="96"/>
        <v>-110458.87800000003</v>
      </c>
      <c r="AG44" s="121">
        <f t="shared" si="96"/>
        <v>-112014.39299999997</v>
      </c>
      <c r="AH44" s="150">
        <f t="shared" si="96"/>
        <v>-114282.66399999999</v>
      </c>
      <c r="AI44" s="121">
        <f t="shared" si="96"/>
        <v>-94691.523000000001</v>
      </c>
      <c r="AJ44" s="150">
        <f t="shared" ref="AJ44:AO44" si="97">SUM(AJ40:AJ43)</f>
        <v>-103685.32299999997</v>
      </c>
      <c r="AK44" s="121">
        <f t="shared" si="97"/>
        <v>-120799.65400000001</v>
      </c>
      <c r="AL44" s="150">
        <f t="shared" si="97"/>
        <v>-112547.624</v>
      </c>
      <c r="AM44" s="121">
        <f t="shared" si="97"/>
        <v>-117158.325</v>
      </c>
      <c r="AN44" s="150">
        <f t="shared" si="97"/>
        <v>-130043.36200000001</v>
      </c>
      <c r="AO44" s="121">
        <f t="shared" si="97"/>
        <v>-144128.27799999996</v>
      </c>
      <c r="AP44" s="150">
        <f t="shared" ref="AP44:AU44" si="98">SUM(AP40:AP43)</f>
        <v>-141730.625</v>
      </c>
      <c r="AQ44" s="121">
        <f t="shared" si="98"/>
        <v>-151678.23000000001</v>
      </c>
      <c r="AR44" s="150">
        <f t="shared" si="98"/>
        <v>-155527.51</v>
      </c>
      <c r="AS44" s="121">
        <f t="shared" si="98"/>
        <v>-162426.29299999998</v>
      </c>
      <c r="AT44" s="150">
        <f t="shared" si="98"/>
        <v>-146470.41</v>
      </c>
      <c r="AU44" s="121">
        <f t="shared" si="98"/>
        <v>-152710.46800000002</v>
      </c>
      <c r="AV44" s="150">
        <f t="shared" ref="AV44:BA44" si="99">SUM(AV40:AV43)</f>
        <v>-165450.69599999997</v>
      </c>
      <c r="AW44" s="121">
        <f t="shared" si="99"/>
        <v>-180569.15399999998</v>
      </c>
      <c r="AX44" s="150">
        <f t="shared" si="99"/>
        <v>-162828.86499999999</v>
      </c>
      <c r="AY44" s="121">
        <f t="shared" si="99"/>
        <v>-156155.26800000001</v>
      </c>
      <c r="AZ44" s="150">
        <f t="shared" si="99"/>
        <v>-173076.15900000001</v>
      </c>
      <c r="BA44" s="121">
        <f t="shared" si="99"/>
        <v>-196892.859</v>
      </c>
      <c r="BB44" s="150">
        <f>SUM(BB40:BB43)</f>
        <v>-170642.981</v>
      </c>
      <c r="BC44" s="121">
        <f>SUM(BC40:BC43)</f>
        <v>-172652.68400000001</v>
      </c>
      <c r="BD44" s="150">
        <f>SUM(BD40:BD43)</f>
        <v>-189424.20899999997</v>
      </c>
      <c r="BE44" s="121">
        <f>SUM(BE40:BE43)</f>
        <v>-221778.448</v>
      </c>
      <c r="BF44" s="150">
        <f>SUM(BF40:BF43)</f>
        <v>-174453.785</v>
      </c>
      <c r="BG44" s="142"/>
      <c r="BH44" s="150">
        <f>SUM(BH40:BH43)</f>
        <v>-92533.038000000015</v>
      </c>
      <c r="BI44" s="121">
        <f>SUM(BI40:BI43)</f>
        <v>-95292.59599999999</v>
      </c>
      <c r="BJ44" s="150">
        <f>SUM(BJ40:BJ43)</f>
        <v>-99111.141000000003</v>
      </c>
      <c r="BK44" s="121">
        <f>SUM(BK40:BK43)</f>
        <v>-162192.71200000003</v>
      </c>
      <c r="BL44" s="150">
        <f>SUM(BL40:BL43)</f>
        <v>-99750.97099999999</v>
      </c>
      <c r="BM44" s="121"/>
      <c r="BN44" s="150">
        <f t="shared" ref="BN44:BS44" si="100">SUM(BN40:BN43)</f>
        <v>-121383.239</v>
      </c>
      <c r="BO44" s="150">
        <f t="shared" si="100"/>
        <v>-134369.48699999999</v>
      </c>
      <c r="BP44" s="150">
        <f t="shared" si="100"/>
        <v>-147210.18900000001</v>
      </c>
      <c r="BQ44" s="150">
        <f t="shared" si="100"/>
        <v>-204175.74</v>
      </c>
      <c r="BR44" s="150">
        <f t="shared" si="100"/>
        <v>-208974.18700000003</v>
      </c>
      <c r="BS44" s="150">
        <f t="shared" si="100"/>
        <v>-229705.94899999999</v>
      </c>
      <c r="BT44" s="150">
        <f>SUM(BT40:BT43)</f>
        <v>-293408.85499999998</v>
      </c>
      <c r="BU44" s="150">
        <f>SUM(BU40:BU43)</f>
        <v>-299180.87799999997</v>
      </c>
      <c r="BV44" s="150">
        <f>SUM(BV40:BV43)</f>
        <v>-318984.13300000003</v>
      </c>
      <c r="BW44" s="150">
        <f>SUM(BW40:BW43)</f>
        <v>-343295.66499999998</v>
      </c>
      <c r="BX44" s="121"/>
      <c r="BY44" s="150">
        <f>SUM(BY40:BY43)</f>
        <v>-187825.63399999999</v>
      </c>
      <c r="BZ44" s="150">
        <f>SUM(BZ40:BZ43)</f>
        <v>-204175.74</v>
      </c>
      <c r="CA44" s="121"/>
      <c r="CB44" s="121"/>
      <c r="CC44" s="148">
        <f>SUM(CC40:CC43)</f>
        <v>-55212.865999999995</v>
      </c>
      <c r="CD44" s="148">
        <v>-109794.754</v>
      </c>
      <c r="CE44" s="148">
        <v>-169383.073</v>
      </c>
      <c r="CG44" s="260"/>
    </row>
    <row r="45" spans="2:85" s="49" customFormat="1" ht="13.5" customHeight="1">
      <c r="B45" s="5" t="s">
        <v>317</v>
      </c>
      <c r="C45" s="150">
        <f t="shared" ref="C45:H45" si="101">C39+C44</f>
        <v>103611.19200000004</v>
      </c>
      <c r="D45" s="150">
        <f t="shared" si="101"/>
        <v>123430.08999999994</v>
      </c>
      <c r="E45" s="150">
        <f t="shared" si="101"/>
        <v>113265.19000000003</v>
      </c>
      <c r="F45" s="150">
        <f t="shared" si="101"/>
        <v>109839.10800000001</v>
      </c>
      <c r="G45" s="150">
        <f t="shared" si="101"/>
        <v>109839.10800000001</v>
      </c>
      <c r="H45" s="150">
        <f t="shared" si="101"/>
        <v>109148.32399999996</v>
      </c>
      <c r="I45" s="150">
        <f t="shared" ref="I45:N45" si="102">I39+I44</f>
        <v>316689.75599999988</v>
      </c>
      <c r="J45" s="150">
        <f t="shared" si="102"/>
        <v>315106.75399999996</v>
      </c>
      <c r="K45" s="150">
        <f t="shared" si="102"/>
        <v>168396.44400000002</v>
      </c>
      <c r="L45" s="150">
        <f t="shared" si="102"/>
        <v>311580.29099999985</v>
      </c>
      <c r="M45" s="150">
        <f>M39+M44</f>
        <v>141436.61499999976</v>
      </c>
      <c r="N45" s="150">
        <f t="shared" si="102"/>
        <v>22208.073999999906</v>
      </c>
      <c r="O45" s="150">
        <f>O39+O44</f>
        <v>260948.51000000013</v>
      </c>
      <c r="P45" s="150">
        <f>P39+P44</f>
        <v>403049.66100000008</v>
      </c>
      <c r="Q45" s="121"/>
      <c r="R45" s="150">
        <f t="shared" ref="R45:W45" si="103">R39+R44</f>
        <v>30300.863999999994</v>
      </c>
      <c r="S45" s="150">
        <f t="shared" si="103"/>
        <v>25328.08100000002</v>
      </c>
      <c r="T45" s="150">
        <f t="shared" si="103"/>
        <v>30398.614999999998</v>
      </c>
      <c r="U45" s="150">
        <f t="shared" si="103"/>
        <v>27237.63000000007</v>
      </c>
      <c r="V45" s="121">
        <f t="shared" si="103"/>
        <v>26876.247000000018</v>
      </c>
      <c r="W45" s="121">
        <f t="shared" si="103"/>
        <v>25962.328999999969</v>
      </c>
      <c r="X45" s="121">
        <f t="shared" ref="X45:AC45" si="104">X39+X44</f>
        <v>29240.784999999974</v>
      </c>
      <c r="Y45" s="150">
        <f t="shared" si="104"/>
        <v>27759.747000000018</v>
      </c>
      <c r="Z45" s="150">
        <f t="shared" si="104"/>
        <v>28493.409999999974</v>
      </c>
      <c r="AA45" s="121">
        <f t="shared" si="104"/>
        <v>30618.053999999946</v>
      </c>
      <c r="AB45" s="121">
        <f t="shared" si="104"/>
        <v>19510.074000000022</v>
      </c>
      <c r="AC45" s="121">
        <f t="shared" si="104"/>
        <v>30526.786000000022</v>
      </c>
      <c r="AD45" s="150">
        <f t="shared" ref="AD45:AI45" si="105">AD39+AD44</f>
        <v>83383.712999999989</v>
      </c>
      <c r="AE45" s="121">
        <f t="shared" si="105"/>
        <v>95982.729000000094</v>
      </c>
      <c r="AF45" s="150">
        <f t="shared" si="105"/>
        <v>80893.746000000014</v>
      </c>
      <c r="AG45" s="121">
        <f t="shared" si="105"/>
        <v>54846.565999999948</v>
      </c>
      <c r="AH45" s="150">
        <f t="shared" si="105"/>
        <v>60714.269000000029</v>
      </c>
      <c r="AI45" s="121">
        <f t="shared" si="105"/>
        <v>-60.298000000024331</v>
      </c>
      <c r="AJ45" s="150">
        <f t="shared" ref="AJ45:AO45" si="106">AJ39+AJ44</f>
        <v>35724.278000000078</v>
      </c>
      <c r="AK45" s="121">
        <f t="shared" si="106"/>
        <v>72018.19499999992</v>
      </c>
      <c r="AL45" s="150">
        <f t="shared" si="106"/>
        <v>98213.768000000025</v>
      </c>
      <c r="AM45" s="121">
        <f t="shared" si="106"/>
        <v>73044.169999999969</v>
      </c>
      <c r="AN45" s="150">
        <f t="shared" si="106"/>
        <v>69327.586000000054</v>
      </c>
      <c r="AO45" s="121">
        <f t="shared" si="106"/>
        <v>70994.766999999963</v>
      </c>
      <c r="AP45" s="150">
        <f t="shared" ref="AP45:AU45" si="107">AP39+AP44</f>
        <v>76994.890999999974</v>
      </c>
      <c r="AQ45" s="121">
        <f t="shared" si="107"/>
        <v>48437.131000000081</v>
      </c>
      <c r="AR45" s="150">
        <f t="shared" si="107"/>
        <v>34519.733999999851</v>
      </c>
      <c r="AS45" s="121">
        <f t="shared" si="107"/>
        <v>-18515.1409999998</v>
      </c>
      <c r="AT45" s="150">
        <f t="shared" si="107"/>
        <v>-836.94099999999162</v>
      </c>
      <c r="AU45" s="121">
        <f t="shared" si="107"/>
        <v>-8170.8080000001064</v>
      </c>
      <c r="AV45" s="150">
        <f t="shared" ref="AV45:BA45" si="108">AV39+AV44</f>
        <v>40972.486000000004</v>
      </c>
      <c r="AW45" s="121">
        <f t="shared" si="108"/>
        <v>-9756.6629999999714</v>
      </c>
      <c r="AX45" s="150">
        <f t="shared" si="108"/>
        <v>57616.205999999976</v>
      </c>
      <c r="AY45" s="121">
        <f t="shared" si="108"/>
        <v>57415.119000000006</v>
      </c>
      <c r="AZ45" s="150">
        <f t="shared" si="108"/>
        <v>81502.304999999906</v>
      </c>
      <c r="BA45" s="121">
        <f t="shared" si="108"/>
        <v>64414.880000000063</v>
      </c>
      <c r="BB45" s="150">
        <f>BB39+BB44</f>
        <v>125995.59299999991</v>
      </c>
      <c r="BC45" s="121">
        <f>BC39+BC44</f>
        <v>116514.39399999997</v>
      </c>
      <c r="BD45" s="150">
        <f>BD39+BD44</f>
        <v>101117.74100000021</v>
      </c>
      <c r="BE45" s="121">
        <f>BE39+BE44</f>
        <v>59421.933000000048</v>
      </c>
      <c r="BF45" s="150">
        <f>BF39+BF44</f>
        <v>177063.296</v>
      </c>
      <c r="BG45" s="142"/>
      <c r="BH45" s="150">
        <f>BH39+BH44</f>
        <v>85005.839999999982</v>
      </c>
      <c r="BI45" s="121">
        <f>BI39+BI44</f>
        <v>80910.340000000055</v>
      </c>
      <c r="BJ45" s="150">
        <f>BJ39+BJ44</f>
        <v>69070.52899999998</v>
      </c>
      <c r="BK45" s="121">
        <f>BK39+BK44</f>
        <v>238068.21800000008</v>
      </c>
      <c r="BL45" s="150">
        <f>BL39+BL44</f>
        <v>83383.712999999989</v>
      </c>
      <c r="BM45" s="121"/>
      <c r="BN45" s="150">
        <f t="shared" ref="BN45:BS45" si="109">BN39+BN44</f>
        <v>55628.945000000007</v>
      </c>
      <c r="BO45" s="150">
        <f t="shared" si="109"/>
        <v>52838.575999999972</v>
      </c>
      <c r="BP45" s="150">
        <f t="shared" si="109"/>
        <v>59111.463999999949</v>
      </c>
      <c r="BQ45" s="150">
        <f t="shared" si="109"/>
        <v>179366.44199999998</v>
      </c>
      <c r="BR45" s="150">
        <f t="shared" si="109"/>
        <v>60653.970999999961</v>
      </c>
      <c r="BS45" s="148">
        <f t="shared" si="109"/>
        <v>171257.93799999999</v>
      </c>
      <c r="BT45" s="148">
        <f>BT39+BT44</f>
        <v>125432.022</v>
      </c>
      <c r="BU45" s="148">
        <f>BU39+BU44</f>
        <v>-9007.7490000000689</v>
      </c>
      <c r="BV45" s="148">
        <f>BV39+BV44</f>
        <v>115031.3249999999</v>
      </c>
      <c r="BW45" s="148">
        <f>BW39+BW44</f>
        <v>242509.98700000002</v>
      </c>
      <c r="BX45" s="121"/>
      <c r="BY45" s="150">
        <f>BY39+BY44</f>
        <v>165916.18000000002</v>
      </c>
      <c r="BZ45" s="150">
        <f>BZ39+BZ44</f>
        <v>179366.44199999998</v>
      </c>
      <c r="CA45" s="121"/>
      <c r="CB45" s="121"/>
      <c r="CC45" s="148">
        <f>CC39+CC44</f>
        <v>30155.957999999999</v>
      </c>
      <c r="CD45" s="148">
        <v>60147.445</v>
      </c>
      <c r="CE45" s="148">
        <v>91648.225000000006</v>
      </c>
      <c r="CG45" s="260"/>
    </row>
    <row r="46" spans="2:85" s="49" customFormat="1" ht="13.5" customHeight="1">
      <c r="B46" s="1" t="s">
        <v>318</v>
      </c>
      <c r="C46" s="140">
        <v>358.358</v>
      </c>
      <c r="D46" s="140">
        <v>531.21400000000006</v>
      </c>
      <c r="E46" s="140">
        <v>508.39499999999998</v>
      </c>
      <c r="F46" s="140">
        <v>469.65499999999997</v>
      </c>
      <c r="G46" s="143">
        <v>469.65499999999997</v>
      </c>
      <c r="H46" s="143">
        <v>551.21400000000006</v>
      </c>
      <c r="I46" s="143">
        <v>551.21400000000006</v>
      </c>
      <c r="J46" s="143">
        <v>834.97699999999998</v>
      </c>
      <c r="K46" s="143">
        <v>708.89</v>
      </c>
      <c r="L46" s="143">
        <v>531.673</v>
      </c>
      <c r="M46" s="143">
        <v>1085.2539999999999</v>
      </c>
      <c r="N46" s="422">
        <f>886.961</f>
        <v>886.96100000000001</v>
      </c>
      <c r="O46" s="422">
        <v>890.322</v>
      </c>
      <c r="P46" s="422">
        <v>1056.9269999999999</v>
      </c>
      <c r="Q46" s="143"/>
      <c r="R46" s="140">
        <v>115.348</v>
      </c>
      <c r="S46" s="151">
        <f>BN46-R46</f>
        <v>264.52299999999997</v>
      </c>
      <c r="T46" s="140">
        <f>444.807-S46-R46</f>
        <v>64.93600000000005</v>
      </c>
      <c r="U46" s="151">
        <f>E46-T46-S46-R46</f>
        <v>63.58799999999998</v>
      </c>
      <c r="V46" s="124">
        <v>63.506</v>
      </c>
      <c r="W46" s="63">
        <f>BO46-V46</f>
        <v>293.46199999999999</v>
      </c>
      <c r="X46" s="124">
        <f>426.119-W46-V46</f>
        <v>69.151000000000039</v>
      </c>
      <c r="Y46" s="151">
        <f>F46-X46-W46-V46</f>
        <v>43.535999999999916</v>
      </c>
      <c r="Z46" s="143">
        <v>80.885999999999996</v>
      </c>
      <c r="AA46" s="63">
        <f>BP46-Z46</f>
        <v>257.36300000000006</v>
      </c>
      <c r="AB46" s="124">
        <f>453.266-AA46-Z46</f>
        <v>115.01699999999997</v>
      </c>
      <c r="AC46" s="25">
        <f>H46-AB46-AA46-Z46</f>
        <v>97.948000000000064</v>
      </c>
      <c r="AD46" s="143">
        <v>108.358</v>
      </c>
      <c r="AE46" s="63">
        <f>BQ46-AD46</f>
        <v>322.27600000000001</v>
      </c>
      <c r="AF46" s="143">
        <f>696.269-AE46-AD46</f>
        <v>265.63499999999999</v>
      </c>
      <c r="AG46" s="25">
        <f>J46-AF46-AE46-AD46</f>
        <v>138.70799999999997</v>
      </c>
      <c r="AH46" s="143">
        <v>162.631</v>
      </c>
      <c r="AI46" s="63">
        <f>BR46-AH46</f>
        <v>69.931000000000012</v>
      </c>
      <c r="AJ46" s="143">
        <f>615.337-AI46-AH46</f>
        <v>382.77499999999998</v>
      </c>
      <c r="AK46" s="25">
        <f>K46-AJ46-AI46-AH46</f>
        <v>93.552999999999969</v>
      </c>
      <c r="AL46" s="143">
        <v>100.282</v>
      </c>
      <c r="AM46" s="63">
        <f>BS46-AL46</f>
        <v>116.133</v>
      </c>
      <c r="AN46" s="143">
        <f>352.384-AM46-AL46</f>
        <v>135.96900000000005</v>
      </c>
      <c r="AO46" s="25">
        <f>L46-AN46-AM46-AL46</f>
        <v>179.28899999999999</v>
      </c>
      <c r="AP46" s="143">
        <v>149.268</v>
      </c>
      <c r="AQ46" s="63">
        <f>BT46-AP46</f>
        <v>406.43899999999996</v>
      </c>
      <c r="AR46" s="143">
        <f>806.292-AQ46-AP46</f>
        <v>250.58500000000006</v>
      </c>
      <c r="AS46" s="25">
        <f>M46-AR46-AQ46-AP46</f>
        <v>278.96199999999988</v>
      </c>
      <c r="AT46" s="143">
        <v>217.751</v>
      </c>
      <c r="AU46" s="25">
        <f>BU46-AT46</f>
        <v>203.96299999999999</v>
      </c>
      <c r="AV46" s="143">
        <f>641.643-AU46-AT46</f>
        <v>219.92900000000006</v>
      </c>
      <c r="AW46" s="25">
        <f>N46-AV46-AU46-AT46</f>
        <v>245.31799999999996</v>
      </c>
      <c r="AX46" s="143">
        <v>171.756</v>
      </c>
      <c r="AY46" s="25">
        <f>BV46-AX46</f>
        <v>235.72099999999998</v>
      </c>
      <c r="AZ46" s="143">
        <f>644.744-AY46-AX46</f>
        <v>237.26700000000002</v>
      </c>
      <c r="BA46" s="25">
        <f>O46-AZ46-AY46-AX46</f>
        <v>245.57799999999995</v>
      </c>
      <c r="BB46" s="143">
        <v>240.191</v>
      </c>
      <c r="BC46" s="25">
        <f>BW46-BB46</f>
        <v>292.47799999999995</v>
      </c>
      <c r="BD46" s="143">
        <f>836.148 -BC46-BB46</f>
        <v>303.47900000000004</v>
      </c>
      <c r="BE46" s="25">
        <f>P46-BD46-BC46-BB46</f>
        <v>220.77899999999991</v>
      </c>
      <c r="BF46" s="143">
        <v>243.441</v>
      </c>
      <c r="BG46" s="142"/>
      <c r="BH46" s="143">
        <v>80.885999999999996</v>
      </c>
      <c r="BI46" s="63">
        <f>BY46-BH46</f>
        <v>257.36300000000006</v>
      </c>
      <c r="BJ46" s="143">
        <f>453.266-BI46-BH46</f>
        <v>115.01699999999997</v>
      </c>
      <c r="BK46" s="25">
        <f>I46-Z46-AB46-AA46</f>
        <v>97.948000000000093</v>
      </c>
      <c r="BL46" s="143">
        <v>108.358</v>
      </c>
      <c r="BM46" s="143"/>
      <c r="BN46" s="140">
        <v>379.87099999999998</v>
      </c>
      <c r="BO46" s="140">
        <v>356.96800000000002</v>
      </c>
      <c r="BP46" s="140">
        <v>338.24900000000002</v>
      </c>
      <c r="BQ46" s="140">
        <v>430.63400000000001</v>
      </c>
      <c r="BR46" s="140">
        <v>232.56200000000001</v>
      </c>
      <c r="BS46" s="140">
        <v>216.41499999999999</v>
      </c>
      <c r="BT46" s="140">
        <v>555.70699999999999</v>
      </c>
      <c r="BU46" s="140">
        <v>421.714</v>
      </c>
      <c r="BV46" s="140">
        <v>407.47699999999998</v>
      </c>
      <c r="BW46" s="140">
        <v>532.66899999999998</v>
      </c>
      <c r="BX46" s="124"/>
      <c r="BY46" s="140">
        <v>338.24900000000002</v>
      </c>
      <c r="BZ46" s="140">
        <v>430.63400000000001</v>
      </c>
      <c r="CA46" s="124"/>
      <c r="CB46" s="124"/>
      <c r="CC46" s="207">
        <v>102.899</v>
      </c>
      <c r="CD46" s="207">
        <v>339.97500000000002</v>
      </c>
      <c r="CE46" s="207">
        <v>444.21600000000001</v>
      </c>
      <c r="CG46" s="260"/>
    </row>
    <row r="47" spans="2:85" s="49" customFormat="1" ht="13.5" customHeight="1">
      <c r="B47" s="5" t="s">
        <v>319</v>
      </c>
      <c r="C47" s="150">
        <f t="shared" ref="C47:H47" si="110">C45+C46</f>
        <v>103969.55000000003</v>
      </c>
      <c r="D47" s="150">
        <f t="shared" si="110"/>
        <v>123961.30399999995</v>
      </c>
      <c r="E47" s="150">
        <f t="shared" si="110"/>
        <v>113773.58500000004</v>
      </c>
      <c r="F47" s="150">
        <f t="shared" si="110"/>
        <v>110308.76300000001</v>
      </c>
      <c r="G47" s="150">
        <f t="shared" si="110"/>
        <v>110308.76300000001</v>
      </c>
      <c r="H47" s="150">
        <f t="shared" si="110"/>
        <v>109699.53799999997</v>
      </c>
      <c r="I47" s="150">
        <f t="shared" ref="I47:N47" si="111">I45+I46</f>
        <v>317240.96999999986</v>
      </c>
      <c r="J47" s="150">
        <f t="shared" si="111"/>
        <v>315941.73099999997</v>
      </c>
      <c r="K47" s="150">
        <f t="shared" si="111"/>
        <v>169105.33400000003</v>
      </c>
      <c r="L47" s="150">
        <f t="shared" si="111"/>
        <v>312111.96399999986</v>
      </c>
      <c r="M47" s="150">
        <f>M45+M46</f>
        <v>142521.86899999974</v>
      </c>
      <c r="N47" s="148">
        <f t="shared" si="111"/>
        <v>23095.034999999905</v>
      </c>
      <c r="O47" s="148">
        <f>O45+O46</f>
        <v>261838.83200000011</v>
      </c>
      <c r="P47" s="148">
        <f>P45+P46</f>
        <v>404106.58800000011</v>
      </c>
      <c r="Q47" s="121"/>
      <c r="R47" s="150">
        <f t="shared" ref="R47:W47" si="112">R45+R46</f>
        <v>30416.211999999996</v>
      </c>
      <c r="S47" s="150">
        <f t="shared" si="112"/>
        <v>25592.604000000021</v>
      </c>
      <c r="T47" s="150">
        <f t="shared" si="112"/>
        <v>30463.550999999999</v>
      </c>
      <c r="U47" s="150">
        <f t="shared" si="112"/>
        <v>27301.21800000007</v>
      </c>
      <c r="V47" s="121">
        <f t="shared" si="112"/>
        <v>26939.753000000019</v>
      </c>
      <c r="W47" s="121">
        <f t="shared" si="112"/>
        <v>26255.790999999968</v>
      </c>
      <c r="X47" s="121">
        <f t="shared" ref="X47:AC47" si="113">X45+X46</f>
        <v>29309.935999999976</v>
      </c>
      <c r="Y47" s="150">
        <f t="shared" si="113"/>
        <v>27803.283000000018</v>
      </c>
      <c r="Z47" s="150">
        <f t="shared" si="113"/>
        <v>28574.295999999973</v>
      </c>
      <c r="AA47" s="121">
        <f t="shared" si="113"/>
        <v>30875.416999999947</v>
      </c>
      <c r="AB47" s="121">
        <f t="shared" si="113"/>
        <v>19625.091000000022</v>
      </c>
      <c r="AC47" s="121">
        <f t="shared" si="113"/>
        <v>30624.734000000022</v>
      </c>
      <c r="AD47" s="150">
        <f t="shared" ref="AD47:AI47" si="114">AD45+AD46</f>
        <v>83492.070999999982</v>
      </c>
      <c r="AE47" s="121">
        <f t="shared" si="114"/>
        <v>96305.005000000092</v>
      </c>
      <c r="AF47" s="150">
        <f t="shared" si="114"/>
        <v>81159.381000000008</v>
      </c>
      <c r="AG47" s="121">
        <f t="shared" si="114"/>
        <v>54985.273999999947</v>
      </c>
      <c r="AH47" s="150">
        <f t="shared" si="114"/>
        <v>60876.900000000031</v>
      </c>
      <c r="AI47" s="121">
        <f t="shared" si="114"/>
        <v>9.6329999999756808</v>
      </c>
      <c r="AJ47" s="150">
        <f t="shared" ref="AJ47:AO47" si="115">AJ45+AJ46</f>
        <v>36107.05300000008</v>
      </c>
      <c r="AK47" s="121">
        <f t="shared" si="115"/>
        <v>72111.74799999992</v>
      </c>
      <c r="AL47" s="150">
        <f t="shared" si="115"/>
        <v>98314.050000000032</v>
      </c>
      <c r="AM47" s="121">
        <f t="shared" si="115"/>
        <v>73160.302999999971</v>
      </c>
      <c r="AN47" s="150">
        <f t="shared" si="115"/>
        <v>69463.555000000051</v>
      </c>
      <c r="AO47" s="121">
        <f t="shared" si="115"/>
        <v>71174.055999999968</v>
      </c>
      <c r="AP47" s="150">
        <f t="shared" ref="AP47:AU47" si="116">AP45+AP46</f>
        <v>77144.158999999971</v>
      </c>
      <c r="AQ47" s="121">
        <f t="shared" si="116"/>
        <v>48843.57000000008</v>
      </c>
      <c r="AR47" s="150">
        <f t="shared" si="116"/>
        <v>34770.31899999985</v>
      </c>
      <c r="AS47" s="121">
        <f t="shared" si="116"/>
        <v>-18236.1789999998</v>
      </c>
      <c r="AT47" s="150">
        <f t="shared" si="116"/>
        <v>-619.18999999999164</v>
      </c>
      <c r="AU47" s="121">
        <f t="shared" si="116"/>
        <v>-7966.8450000001067</v>
      </c>
      <c r="AV47" s="150">
        <f t="shared" ref="AV47:BA47" si="117">AV45+AV46</f>
        <v>41192.415000000001</v>
      </c>
      <c r="AW47" s="121">
        <f t="shared" si="117"/>
        <v>-9511.3449999999721</v>
      </c>
      <c r="AX47" s="150">
        <f t="shared" si="117"/>
        <v>57787.961999999978</v>
      </c>
      <c r="AY47" s="121">
        <f t="shared" si="117"/>
        <v>57650.840000000004</v>
      </c>
      <c r="AZ47" s="150">
        <f t="shared" si="117"/>
        <v>81739.571999999913</v>
      </c>
      <c r="BA47" s="121">
        <f t="shared" si="117"/>
        <v>64660.458000000064</v>
      </c>
      <c r="BB47" s="150">
        <f>BB45+BB46</f>
        <v>126235.78399999991</v>
      </c>
      <c r="BC47" s="121">
        <f>BC45+BC46</f>
        <v>116806.87199999997</v>
      </c>
      <c r="BD47" s="150">
        <f>BD45+BD46</f>
        <v>101421.22000000022</v>
      </c>
      <c r="BE47" s="121">
        <f>BE45+BE46</f>
        <v>59642.71200000005</v>
      </c>
      <c r="BF47" s="150">
        <f>BF45+BF46</f>
        <v>177306.73699999999</v>
      </c>
      <c r="BG47" s="142"/>
      <c r="BH47" s="150">
        <f>BH45+BH46</f>
        <v>85086.725999999981</v>
      </c>
      <c r="BI47" s="121">
        <f>BI45+BI46</f>
        <v>81167.703000000052</v>
      </c>
      <c r="BJ47" s="150">
        <f>BJ45+BJ46</f>
        <v>69185.545999999988</v>
      </c>
      <c r="BK47" s="121">
        <f>BK45+BK46</f>
        <v>238166.16600000008</v>
      </c>
      <c r="BL47" s="150">
        <f>BL45+BL46</f>
        <v>83492.070999999982</v>
      </c>
      <c r="BM47" s="121"/>
      <c r="BN47" s="150">
        <f t="shared" ref="BN47:BS47" si="118">BN45+BN46</f>
        <v>56008.816000000006</v>
      </c>
      <c r="BO47" s="150">
        <f t="shared" si="118"/>
        <v>53195.543999999973</v>
      </c>
      <c r="BP47" s="150">
        <f t="shared" si="118"/>
        <v>59449.712999999952</v>
      </c>
      <c r="BQ47" s="150">
        <f t="shared" si="118"/>
        <v>179797.07599999997</v>
      </c>
      <c r="BR47" s="150">
        <f t="shared" si="118"/>
        <v>60886.532999999959</v>
      </c>
      <c r="BS47" s="150">
        <f t="shared" si="118"/>
        <v>171474.353</v>
      </c>
      <c r="BT47" s="150">
        <f>BT45+BT46</f>
        <v>125987.72899999999</v>
      </c>
      <c r="BU47" s="150">
        <f>BU45+BU46</f>
        <v>-8586.035000000069</v>
      </c>
      <c r="BV47" s="150">
        <f>BV45+BV46</f>
        <v>115438.80199999989</v>
      </c>
      <c r="BW47" s="150">
        <f>BW45+BW46</f>
        <v>243042.65600000002</v>
      </c>
      <c r="BX47" s="121"/>
      <c r="BY47" s="150">
        <f>BY45+BY46</f>
        <v>166254.42900000003</v>
      </c>
      <c r="BZ47" s="150">
        <f>BZ45+BZ46</f>
        <v>179797.07599999997</v>
      </c>
      <c r="CA47" s="121"/>
      <c r="CB47" s="121"/>
      <c r="CC47" s="207">
        <f>CC45+CC46</f>
        <v>30258.857</v>
      </c>
      <c r="CD47" s="207">
        <v>60487.42</v>
      </c>
      <c r="CE47" s="207">
        <v>92092.441000000006</v>
      </c>
      <c r="CG47" s="260"/>
    </row>
    <row r="48" spans="2:85" s="49" customFormat="1" ht="13.5" customHeight="1">
      <c r="B48" s="1" t="s">
        <v>320</v>
      </c>
      <c r="C48" s="140">
        <v>-25843.026000000002</v>
      </c>
      <c r="D48" s="140">
        <v>-33179.362000000001</v>
      </c>
      <c r="E48" s="140">
        <v>-30410.733</v>
      </c>
      <c r="F48" s="140">
        <v>-31814.667000000001</v>
      </c>
      <c r="G48" s="143">
        <v>-31814.667000000001</v>
      </c>
      <c r="H48" s="143">
        <v>-31844.071</v>
      </c>
      <c r="I48" s="143">
        <v>-83330.805999999997</v>
      </c>
      <c r="J48" s="143">
        <v>-82649.229000000007</v>
      </c>
      <c r="K48" s="143">
        <v>-39403.118999999999</v>
      </c>
      <c r="L48" s="143">
        <v>-71485.123999999996</v>
      </c>
      <c r="M48" s="143">
        <v>-1479.6510000000001</v>
      </c>
      <c r="N48" s="422">
        <v>17533.669000000002</v>
      </c>
      <c r="O48" s="422">
        <v>-56942.851999999999</v>
      </c>
      <c r="P48" s="422">
        <v>-101498.27499999999</v>
      </c>
      <c r="Q48" s="143"/>
      <c r="R48" s="140">
        <v>-8105.3019999999997</v>
      </c>
      <c r="S48" s="151">
        <f>BN48-R48</f>
        <v>-6620.6859999999997</v>
      </c>
      <c r="T48" s="140">
        <f>-23091.697-S48-R48</f>
        <v>-8365.7089999999989</v>
      </c>
      <c r="U48" s="151">
        <f>E48-T48-S48-R48</f>
        <v>-7319.0360000000019</v>
      </c>
      <c r="V48" s="124">
        <v>-7830.9350000000004</v>
      </c>
      <c r="W48" s="63">
        <f>BO48-V48</f>
        <v>-7036.12</v>
      </c>
      <c r="X48" s="124">
        <f>-23707.965-W48-V48</f>
        <v>-8840.91</v>
      </c>
      <c r="Y48" s="151">
        <f>F48-X48-W48-V48</f>
        <v>-8106.702000000002</v>
      </c>
      <c r="Z48" s="143">
        <v>-8068.1210000000001</v>
      </c>
      <c r="AA48" s="63">
        <f>BP48-Z48</f>
        <v>-8958.1219999999994</v>
      </c>
      <c r="AB48" s="124">
        <f>-22953.108-AA48-Z48</f>
        <v>-5926.8650000000007</v>
      </c>
      <c r="AC48" s="25">
        <f>H48-AB48-AA48-Z48</f>
        <v>-8890.9629999999997</v>
      </c>
      <c r="AD48" s="143">
        <v>-23733.503000000001</v>
      </c>
      <c r="AE48" s="63">
        <f>BQ48-AD48</f>
        <v>-25784.687999999998</v>
      </c>
      <c r="AF48" s="143">
        <f>-72156.783-AE48-AD48</f>
        <v>-22638.592000000001</v>
      </c>
      <c r="AG48" s="25">
        <f>J48-AF48-AE48-AD48</f>
        <v>-10492.446000000007</v>
      </c>
      <c r="AH48" s="143">
        <v>-15287.081</v>
      </c>
      <c r="AI48" s="63">
        <f>BR48-AH48</f>
        <v>2630.8539999999994</v>
      </c>
      <c r="AJ48" s="143">
        <f>-22247.571-AI48-AH48</f>
        <v>-9591.3439999999991</v>
      </c>
      <c r="AK48" s="25">
        <f>K48-AJ48-AI48-AH48</f>
        <v>-17155.548000000003</v>
      </c>
      <c r="AL48" s="143">
        <v>-23191.687999999998</v>
      </c>
      <c r="AM48" s="63">
        <f>BS48-AL48</f>
        <v>-18810.197000000004</v>
      </c>
      <c r="AN48" s="143">
        <f>-57527.287-AM48-AL48</f>
        <v>-15525.401999999998</v>
      </c>
      <c r="AO48" s="25">
        <f>L48-AN48-AM48-AL48</f>
        <v>-13957.836999999996</v>
      </c>
      <c r="AP48" s="143">
        <v>-13632.186</v>
      </c>
      <c r="AQ48" s="63">
        <f>BT48-AP48</f>
        <v>-775.34799999999996</v>
      </c>
      <c r="AR48" s="143">
        <f>-14979.545-AQ48-AP48</f>
        <v>-572.01100000000042</v>
      </c>
      <c r="AS48" s="25">
        <f>M48-AR48-AQ48-AP48</f>
        <v>13499.894</v>
      </c>
      <c r="AT48" s="143">
        <v>5840.8509999999997</v>
      </c>
      <c r="AU48" s="25">
        <f>BU48-AT48</f>
        <v>10076.494999999999</v>
      </c>
      <c r="AV48" s="143">
        <f>7265.783-AU48-AT48</f>
        <v>-8651.5629999999983</v>
      </c>
      <c r="AW48" s="25">
        <f>N48-AV48-AU48-AT48</f>
        <v>10267.886000000002</v>
      </c>
      <c r="AX48" s="143">
        <v>-13664.267</v>
      </c>
      <c r="AY48" s="25">
        <f>BV48-AX48</f>
        <v>-9996.2060000000019</v>
      </c>
      <c r="AZ48" s="143">
        <f>-43077.548-AY48-AX48</f>
        <v>-19417.075000000004</v>
      </c>
      <c r="BA48" s="25">
        <f>O48-AZ48-AY48-AX48</f>
        <v>-13865.303999999993</v>
      </c>
      <c r="BB48" s="143">
        <v>-29421.835999999999</v>
      </c>
      <c r="BC48" s="25">
        <f>BW48-BB48</f>
        <v>-30683.776000000002</v>
      </c>
      <c r="BD48" s="143">
        <f>-87101.085-BC48-BB48</f>
        <v>-26995.473000000009</v>
      </c>
      <c r="BE48" s="25">
        <f>P48-BD48-BC48-BB48</f>
        <v>-14397.189999999984</v>
      </c>
      <c r="BF48" s="143">
        <v>-50550.192000000003</v>
      </c>
      <c r="BG48" s="142"/>
      <c r="BH48" s="143">
        <v>-22079.902999999998</v>
      </c>
      <c r="BI48" s="63">
        <f>BY48-BH48</f>
        <v>-21286.370999999999</v>
      </c>
      <c r="BJ48" s="143">
        <f>-61709.168-BI48-BH48</f>
        <v>-18342.894</v>
      </c>
      <c r="BK48" s="25">
        <f>I48-Z48-AB48-AA48</f>
        <v>-60377.697999999989</v>
      </c>
      <c r="BL48" s="143">
        <v>-23733.503000000001</v>
      </c>
      <c r="BM48" s="143"/>
      <c r="BN48" s="140">
        <v>-14725.987999999999</v>
      </c>
      <c r="BO48" s="140">
        <v>-14867.055</v>
      </c>
      <c r="BP48" s="140">
        <v>-17026.242999999999</v>
      </c>
      <c r="BQ48" s="140">
        <v>-49518.190999999999</v>
      </c>
      <c r="BR48" s="140">
        <v>-12656.227000000001</v>
      </c>
      <c r="BS48" s="140">
        <v>-42001.885000000002</v>
      </c>
      <c r="BT48" s="140">
        <v>-14407.534</v>
      </c>
      <c r="BU48" s="140">
        <v>15917.346</v>
      </c>
      <c r="BV48" s="140">
        <v>-23660.473000000002</v>
      </c>
      <c r="BW48" s="140">
        <v>-60105.612000000001</v>
      </c>
      <c r="BX48" s="124"/>
      <c r="BY48" s="140">
        <v>-43366.273999999998</v>
      </c>
      <c r="BZ48" s="140">
        <v>-49518.190999999999</v>
      </c>
      <c r="CA48" s="124"/>
      <c r="CB48" s="124"/>
      <c r="CC48" s="207">
        <v>-9268.6029999999992</v>
      </c>
      <c r="CD48" s="207">
        <v>-16345.888000000001</v>
      </c>
      <c r="CE48" s="207">
        <v>-24821.243999999999</v>
      </c>
      <c r="CG48" s="260"/>
    </row>
    <row r="49" spans="2:85" s="49" customFormat="1" ht="13.5" customHeight="1">
      <c r="B49" s="5" t="s">
        <v>321</v>
      </c>
      <c r="C49" s="150">
        <f t="shared" ref="C49:H49" si="119">C47+C48</f>
        <v>78126.524000000034</v>
      </c>
      <c r="D49" s="150">
        <f t="shared" si="119"/>
        <v>90781.941999999952</v>
      </c>
      <c r="E49" s="150">
        <f t="shared" si="119"/>
        <v>83362.852000000043</v>
      </c>
      <c r="F49" s="150">
        <f t="shared" si="119"/>
        <v>78494.096000000005</v>
      </c>
      <c r="G49" s="148">
        <f t="shared" si="119"/>
        <v>78494.096000000005</v>
      </c>
      <c r="H49" s="148">
        <f t="shared" si="119"/>
        <v>77855.466999999975</v>
      </c>
      <c r="I49" s="148">
        <f t="shared" ref="I49:N49" si="120">I47+I48</f>
        <v>233910.16399999987</v>
      </c>
      <c r="J49" s="148">
        <f t="shared" si="120"/>
        <v>233292.50199999998</v>
      </c>
      <c r="K49" s="148">
        <f t="shared" si="120"/>
        <v>129702.21500000003</v>
      </c>
      <c r="L49" s="148">
        <f t="shared" si="120"/>
        <v>240626.83999999985</v>
      </c>
      <c r="M49" s="148">
        <f>M47+M48</f>
        <v>141042.21799999973</v>
      </c>
      <c r="N49" s="148">
        <f t="shared" si="120"/>
        <v>40628.703999999911</v>
      </c>
      <c r="O49" s="148">
        <f>O47+O48</f>
        <v>204895.9800000001</v>
      </c>
      <c r="P49" s="148">
        <f>P47+P48</f>
        <v>302608.31300000008</v>
      </c>
      <c r="Q49" s="146"/>
      <c r="R49" s="150">
        <f t="shared" ref="R49:W49" si="121">R47+R48</f>
        <v>22310.909999999996</v>
      </c>
      <c r="S49" s="150">
        <f t="shared" si="121"/>
        <v>18971.91800000002</v>
      </c>
      <c r="T49" s="150">
        <f t="shared" si="121"/>
        <v>22097.842000000001</v>
      </c>
      <c r="U49" s="150">
        <f t="shared" si="121"/>
        <v>19982.182000000066</v>
      </c>
      <c r="V49" s="121">
        <f t="shared" si="121"/>
        <v>19108.818000000017</v>
      </c>
      <c r="W49" s="121">
        <f t="shared" si="121"/>
        <v>19219.670999999969</v>
      </c>
      <c r="X49" s="121">
        <f t="shared" ref="X49:AC49" si="122">X47+X48</f>
        <v>20469.025999999976</v>
      </c>
      <c r="Y49" s="150">
        <f t="shared" si="122"/>
        <v>19696.581000000017</v>
      </c>
      <c r="Z49" s="150">
        <f t="shared" si="122"/>
        <v>20506.174999999974</v>
      </c>
      <c r="AA49" s="121">
        <f t="shared" si="122"/>
        <v>21917.294999999947</v>
      </c>
      <c r="AB49" s="121">
        <f t="shared" si="122"/>
        <v>13698.226000000021</v>
      </c>
      <c r="AC49" s="121">
        <f t="shared" si="122"/>
        <v>21733.771000000022</v>
      </c>
      <c r="AD49" s="150">
        <f t="shared" ref="AD49:AI49" si="123">AD47+AD48</f>
        <v>59758.567999999985</v>
      </c>
      <c r="AE49" s="121">
        <f t="shared" si="123"/>
        <v>70520.317000000097</v>
      </c>
      <c r="AF49" s="150">
        <f t="shared" si="123"/>
        <v>58520.789000000004</v>
      </c>
      <c r="AG49" s="121">
        <f t="shared" si="123"/>
        <v>44492.827999999936</v>
      </c>
      <c r="AH49" s="150">
        <f t="shared" si="123"/>
        <v>45589.819000000032</v>
      </c>
      <c r="AI49" s="121">
        <f t="shared" si="123"/>
        <v>2640.4869999999751</v>
      </c>
      <c r="AJ49" s="150">
        <f t="shared" ref="AJ49:AO49" si="124">AJ47+AJ48</f>
        <v>26515.709000000083</v>
      </c>
      <c r="AK49" s="121">
        <f t="shared" si="124"/>
        <v>54956.199999999917</v>
      </c>
      <c r="AL49" s="150">
        <f t="shared" si="124"/>
        <v>75122.362000000037</v>
      </c>
      <c r="AM49" s="121">
        <f t="shared" si="124"/>
        <v>54350.105999999971</v>
      </c>
      <c r="AN49" s="150">
        <f t="shared" si="124"/>
        <v>53938.153000000049</v>
      </c>
      <c r="AO49" s="121">
        <f t="shared" si="124"/>
        <v>57216.218999999968</v>
      </c>
      <c r="AP49" s="150">
        <f t="shared" ref="AP49:AU49" si="125">AP47+AP48</f>
        <v>63511.972999999969</v>
      </c>
      <c r="AQ49" s="121">
        <f t="shared" si="125"/>
        <v>48068.222000000082</v>
      </c>
      <c r="AR49" s="150">
        <f t="shared" si="125"/>
        <v>34198.307999999852</v>
      </c>
      <c r="AS49" s="121">
        <f t="shared" si="125"/>
        <v>-4736.2849999997998</v>
      </c>
      <c r="AT49" s="150">
        <f t="shared" si="125"/>
        <v>5221.6610000000082</v>
      </c>
      <c r="AU49" s="121">
        <f t="shared" si="125"/>
        <v>2109.6499999998923</v>
      </c>
      <c r="AV49" s="150">
        <f t="shared" ref="AV49:BA49" si="126">AV47+AV48</f>
        <v>32540.852000000003</v>
      </c>
      <c r="AW49" s="121">
        <f t="shared" si="126"/>
        <v>756.54100000003018</v>
      </c>
      <c r="AX49" s="150">
        <f t="shared" si="126"/>
        <v>44123.694999999978</v>
      </c>
      <c r="AY49" s="121">
        <f t="shared" si="126"/>
        <v>47654.634000000005</v>
      </c>
      <c r="AZ49" s="150">
        <f t="shared" si="126"/>
        <v>62322.496999999908</v>
      </c>
      <c r="BA49" s="121">
        <f t="shared" si="126"/>
        <v>50795.154000000068</v>
      </c>
      <c r="BB49" s="150">
        <f>BB47+BB48</f>
        <v>96813.947999999917</v>
      </c>
      <c r="BC49" s="121">
        <f>BC47+BC48</f>
        <v>86123.095999999976</v>
      </c>
      <c r="BD49" s="150">
        <f>BD47+BD48</f>
        <v>74425.747000000207</v>
      </c>
      <c r="BE49" s="121">
        <f>BE47+BE48</f>
        <v>45245.52200000007</v>
      </c>
      <c r="BF49" s="150">
        <f>BF47+BF48</f>
        <v>126756.54499999998</v>
      </c>
      <c r="BG49" s="142"/>
      <c r="BH49" s="150">
        <f>BH47+BH48</f>
        <v>63006.822999999982</v>
      </c>
      <c r="BI49" s="121">
        <f>BI47+BI48</f>
        <v>59881.332000000053</v>
      </c>
      <c r="BJ49" s="150">
        <f>BJ47+BJ48</f>
        <v>50842.651999999987</v>
      </c>
      <c r="BK49" s="121">
        <f>BK47+BK48</f>
        <v>177788.46800000011</v>
      </c>
      <c r="BL49" s="150">
        <f>BL47+BL48</f>
        <v>59758.567999999985</v>
      </c>
      <c r="BM49" s="121"/>
      <c r="BN49" s="150">
        <f t="shared" ref="BN49:BS49" si="127">BN47+BN48</f>
        <v>41282.828000000009</v>
      </c>
      <c r="BO49" s="150">
        <f t="shared" si="127"/>
        <v>38328.488999999972</v>
      </c>
      <c r="BP49" s="150">
        <f t="shared" si="127"/>
        <v>42423.469999999958</v>
      </c>
      <c r="BQ49" s="150">
        <f t="shared" si="127"/>
        <v>130278.88499999998</v>
      </c>
      <c r="BR49" s="148">
        <f t="shared" si="127"/>
        <v>48230.30599999996</v>
      </c>
      <c r="BS49" s="150">
        <f t="shared" si="127"/>
        <v>129472.46799999999</v>
      </c>
      <c r="BT49" s="150">
        <f>BT47+BT48</f>
        <v>111580.19499999999</v>
      </c>
      <c r="BU49" s="150">
        <f>BU47+BU48</f>
        <v>7331.3109999999306</v>
      </c>
      <c r="BV49" s="150">
        <f>BV47+BV48</f>
        <v>91778.328999999896</v>
      </c>
      <c r="BW49" s="150">
        <f>BW47+BW48</f>
        <v>182937.04400000002</v>
      </c>
      <c r="BX49" s="121"/>
      <c r="BY49" s="150">
        <f>BY47+BY48</f>
        <v>122888.15500000003</v>
      </c>
      <c r="BZ49" s="150">
        <f>BZ47+BZ48</f>
        <v>130278.88499999998</v>
      </c>
      <c r="CA49" s="121"/>
      <c r="CB49" s="121"/>
      <c r="CC49" s="148">
        <f>CC47+CC48</f>
        <v>20990.254000000001</v>
      </c>
      <c r="CD49" s="148">
        <v>44141.531999999999</v>
      </c>
      <c r="CE49" s="148">
        <v>67271.197</v>
      </c>
      <c r="CG49" s="260"/>
    </row>
    <row r="50" spans="2:85" s="49" customFormat="1" ht="13.5" customHeight="1">
      <c r="B50" s="5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BG50" s="142"/>
      <c r="BH50" s="54"/>
      <c r="BI50" s="54"/>
      <c r="BJ50" s="54"/>
      <c r="BK50" s="152"/>
      <c r="BL50" s="54"/>
      <c r="BM50" s="54"/>
      <c r="BN50" s="152"/>
      <c r="BO50" s="152"/>
      <c r="BP50" s="152"/>
      <c r="BQ50" s="152"/>
      <c r="BR50" s="152"/>
      <c r="BS50" s="152"/>
      <c r="BT50" s="152"/>
      <c r="BU50" s="152"/>
      <c r="BV50" s="152"/>
      <c r="BW50" s="152"/>
      <c r="BX50" s="215"/>
      <c r="BY50" s="152"/>
      <c r="BZ50" s="152"/>
      <c r="CA50" s="215"/>
      <c r="CG50" s="260"/>
    </row>
    <row r="51" spans="2:85" ht="13.5" customHeight="1">
      <c r="B51" s="436" t="s">
        <v>322</v>
      </c>
      <c r="C51" s="46">
        <v>41975</v>
      </c>
      <c r="D51" s="46">
        <v>42341</v>
      </c>
      <c r="E51" s="46">
        <v>42708</v>
      </c>
      <c r="F51" s="253">
        <v>43073</v>
      </c>
      <c r="G51" s="253">
        <f t="shared" ref="G51:L51" si="128">G3</f>
        <v>43073</v>
      </c>
      <c r="H51" s="253">
        <f t="shared" si="128"/>
        <v>43438</v>
      </c>
      <c r="I51" s="253">
        <f t="shared" si="128"/>
        <v>43438</v>
      </c>
      <c r="J51" s="253">
        <f t="shared" si="128"/>
        <v>43803</v>
      </c>
      <c r="K51" s="253">
        <f t="shared" si="128"/>
        <v>44169</v>
      </c>
      <c r="L51" s="253">
        <f t="shared" si="128"/>
        <v>44534</v>
      </c>
      <c r="M51" s="253">
        <f>M3</f>
        <v>44899</v>
      </c>
      <c r="N51" s="253">
        <f>N3</f>
        <v>45264</v>
      </c>
      <c r="O51" s="253">
        <f>O3</f>
        <v>45630</v>
      </c>
      <c r="P51" s="253">
        <f>P3</f>
        <v>45995</v>
      </c>
      <c r="Q51" s="329"/>
      <c r="R51" s="46">
        <v>42437</v>
      </c>
      <c r="S51" s="46">
        <v>42527</v>
      </c>
      <c r="T51" s="46">
        <v>42622</v>
      </c>
      <c r="U51" s="46">
        <v>42714</v>
      </c>
      <c r="V51" s="46">
        <v>42801</v>
      </c>
      <c r="W51" s="46">
        <v>42892</v>
      </c>
      <c r="X51" s="46">
        <v>42987</v>
      </c>
      <c r="Y51" s="253">
        <v>43079</v>
      </c>
      <c r="Z51" s="46">
        <f t="shared" ref="Z51:AF51" si="129">Z3</f>
        <v>43166</v>
      </c>
      <c r="AA51" s="46">
        <f t="shared" si="129"/>
        <v>43257</v>
      </c>
      <c r="AB51" s="46">
        <f t="shared" si="129"/>
        <v>43352</v>
      </c>
      <c r="AC51" s="253">
        <f t="shared" si="129"/>
        <v>43444</v>
      </c>
      <c r="AD51" s="253">
        <f t="shared" si="129"/>
        <v>43531</v>
      </c>
      <c r="AE51" s="253">
        <f t="shared" si="129"/>
        <v>43622</v>
      </c>
      <c r="AF51" s="253">
        <f t="shared" si="129"/>
        <v>43738</v>
      </c>
      <c r="AG51" s="253">
        <f t="shared" ref="AG51:AM51" si="130">AG3</f>
        <v>43809</v>
      </c>
      <c r="AH51" s="253">
        <f t="shared" si="130"/>
        <v>43897</v>
      </c>
      <c r="AI51" s="253">
        <f t="shared" si="130"/>
        <v>43988</v>
      </c>
      <c r="AJ51" s="253">
        <f t="shared" si="130"/>
        <v>44104</v>
      </c>
      <c r="AK51" s="253">
        <f t="shared" si="130"/>
        <v>44175</v>
      </c>
      <c r="AL51" s="253">
        <f t="shared" si="130"/>
        <v>44262</v>
      </c>
      <c r="AM51" s="253">
        <f t="shared" si="130"/>
        <v>44348</v>
      </c>
      <c r="AN51" s="253">
        <f t="shared" ref="AN51:AS51" si="131">AN3</f>
        <v>44469</v>
      </c>
      <c r="AO51" s="253">
        <f t="shared" si="131"/>
        <v>44540</v>
      </c>
      <c r="AP51" s="253">
        <f t="shared" si="131"/>
        <v>44651</v>
      </c>
      <c r="AQ51" s="253">
        <f t="shared" si="131"/>
        <v>44713</v>
      </c>
      <c r="AR51" s="253">
        <f t="shared" si="131"/>
        <v>44834</v>
      </c>
      <c r="AS51" s="253">
        <f t="shared" si="131"/>
        <v>44905</v>
      </c>
      <c r="AT51" s="253">
        <f t="shared" ref="AT51:AY51" si="132">AT3</f>
        <v>45016</v>
      </c>
      <c r="AU51" s="253">
        <f t="shared" si="132"/>
        <v>45078</v>
      </c>
      <c r="AV51" s="253">
        <f t="shared" si="132"/>
        <v>45199</v>
      </c>
      <c r="AW51" s="253">
        <f t="shared" si="132"/>
        <v>45270</v>
      </c>
      <c r="AX51" s="253">
        <f t="shared" si="132"/>
        <v>45382</v>
      </c>
      <c r="AY51" s="253">
        <f t="shared" si="132"/>
        <v>45444</v>
      </c>
      <c r="AZ51" s="253">
        <f t="shared" ref="AZ51:BE51" si="133">AZ3</f>
        <v>45565</v>
      </c>
      <c r="BA51" s="253">
        <f t="shared" si="133"/>
        <v>45636</v>
      </c>
      <c r="BB51" s="253">
        <f t="shared" si="133"/>
        <v>45747</v>
      </c>
      <c r="BC51" s="253">
        <f t="shared" si="133"/>
        <v>45809</v>
      </c>
      <c r="BD51" s="253">
        <f t="shared" si="133"/>
        <v>45930</v>
      </c>
      <c r="BE51" s="253">
        <f t="shared" si="133"/>
        <v>46001</v>
      </c>
      <c r="BF51" s="253">
        <f>BF3</f>
        <v>46112</v>
      </c>
      <c r="BG51" s="142"/>
      <c r="BH51" s="253">
        <f>BH3</f>
        <v>43166</v>
      </c>
      <c r="BI51" s="253">
        <f>BI3</f>
        <v>43281</v>
      </c>
      <c r="BJ51" s="253">
        <f>BJ3</f>
        <v>43373</v>
      </c>
      <c r="BK51" s="253">
        <f>BK3</f>
        <v>43444</v>
      </c>
      <c r="BL51" s="253">
        <f>BL3</f>
        <v>43531</v>
      </c>
      <c r="BM51" s="329"/>
      <c r="BN51" s="46">
        <v>42530</v>
      </c>
      <c r="BO51" s="46">
        <v>42896</v>
      </c>
      <c r="BP51" s="46">
        <f t="shared" ref="BP51:BU51" si="134">BP3</f>
        <v>43261</v>
      </c>
      <c r="BQ51" s="253">
        <f t="shared" si="134"/>
        <v>43646</v>
      </c>
      <c r="BR51" s="253">
        <f t="shared" si="134"/>
        <v>44012</v>
      </c>
      <c r="BS51" s="253">
        <f t="shared" si="134"/>
        <v>44377</v>
      </c>
      <c r="BT51" s="253">
        <f t="shared" si="134"/>
        <v>44742</v>
      </c>
      <c r="BU51" s="253">
        <f t="shared" si="134"/>
        <v>45107</v>
      </c>
      <c r="BV51" s="253">
        <f>BV3</f>
        <v>45473</v>
      </c>
      <c r="BW51" s="253">
        <f>BW3</f>
        <v>45838</v>
      </c>
      <c r="BX51" s="329"/>
      <c r="BY51" s="253">
        <f>BY3</f>
        <v>43281</v>
      </c>
      <c r="BZ51" s="253">
        <f>BZ3</f>
        <v>43646</v>
      </c>
      <c r="CA51" s="62"/>
      <c r="CC51" s="203"/>
      <c r="CG51" s="260"/>
    </row>
    <row r="52" spans="2:85" ht="13.5" customHeight="1">
      <c r="B52" s="1" t="s">
        <v>323</v>
      </c>
      <c r="C52" s="247">
        <f>C8</f>
        <v>7038379.7879999997</v>
      </c>
      <c r="D52" s="247">
        <f>D8</f>
        <v>7753209.5719999997</v>
      </c>
      <c r="E52" s="247">
        <f>E8</f>
        <v>7898301.784</v>
      </c>
      <c r="F52" s="256">
        <f t="shared" ref="F52:K52" si="135">F8</f>
        <v>8242645.2630000003</v>
      </c>
      <c r="G52" s="256">
        <f t="shared" si="135"/>
        <v>8209851.5099999998</v>
      </c>
      <c r="H52" s="256">
        <f t="shared" si="135"/>
        <v>8483577.3330000006</v>
      </c>
      <c r="I52" s="256">
        <f t="shared" si="135"/>
        <v>7976898.4050000003</v>
      </c>
      <c r="J52" s="256">
        <f t="shared" si="135"/>
        <v>8053582.835</v>
      </c>
      <c r="K52" s="256">
        <f t="shared" si="135"/>
        <v>8281049.949</v>
      </c>
      <c r="L52" s="256">
        <f>L8</f>
        <v>10335383.74</v>
      </c>
      <c r="M52" s="256">
        <f>M8</f>
        <v>10460666.398</v>
      </c>
      <c r="N52" s="256">
        <f>N8</f>
        <v>9355114.6569999997</v>
      </c>
      <c r="O52" s="256">
        <f>O8</f>
        <v>10322104.478</v>
      </c>
      <c r="P52" s="256">
        <f>P8</f>
        <v>11342385.896</v>
      </c>
      <c r="Q52" s="256"/>
      <c r="R52" s="247">
        <f>R8</f>
        <v>1889596.2250000001</v>
      </c>
      <c r="S52" s="247">
        <f>BN52-R52</f>
        <v>1948787.2620000001</v>
      </c>
      <c r="T52" s="247">
        <f>T8</f>
        <v>1869557.7239999999</v>
      </c>
      <c r="U52" s="247">
        <f>U8</f>
        <v>2190360.5730000003</v>
      </c>
      <c r="V52" s="247">
        <f>V8</f>
        <v>1952033.1129999999</v>
      </c>
      <c r="W52" s="247">
        <f>BO52-V52</f>
        <v>2015162.9050000003</v>
      </c>
      <c r="X52" s="63">
        <f>X8</f>
        <v>1941993.5970000001</v>
      </c>
      <c r="Y52" s="247">
        <f>Y8</f>
        <v>2333455.648</v>
      </c>
      <c r="Z52" s="247">
        <f>Z8</f>
        <v>2010257.6850000001</v>
      </c>
      <c r="AA52" s="256">
        <f>BP52-Z52</f>
        <v>2106536.787</v>
      </c>
      <c r="AB52" s="247">
        <f>AB8</f>
        <v>2004610.7690000003</v>
      </c>
      <c r="AC52" s="247">
        <f>AC8</f>
        <v>2362172.0920000006</v>
      </c>
      <c r="AD52" s="277">
        <f>AD8</f>
        <v>1926900.5120000001</v>
      </c>
      <c r="AE52" s="256">
        <f>BQ52-AD52</f>
        <v>1994081.0039999997</v>
      </c>
      <c r="AF52" s="277">
        <f>AF8</f>
        <v>1881456.25</v>
      </c>
      <c r="AG52" s="348">
        <f>AG8</f>
        <v>2251145.0690000001</v>
      </c>
      <c r="AH52" s="277">
        <f>AH8</f>
        <v>1887698.612</v>
      </c>
      <c r="AI52" s="256">
        <f>BR52-AH52</f>
        <v>1458364.095</v>
      </c>
      <c r="AJ52" s="277">
        <f>AJ8</f>
        <v>2217405.6530000009</v>
      </c>
      <c r="AK52" s="348">
        <f>AK8</f>
        <v>2717581.5889999997</v>
      </c>
      <c r="AL52" s="277">
        <f>AL8</f>
        <v>2218078.4550000001</v>
      </c>
      <c r="AM52" s="277">
        <f>BS52-AL52</f>
        <v>2390588.7439999999</v>
      </c>
      <c r="AN52" s="277">
        <f>AN8</f>
        <v>2620892.4419999998</v>
      </c>
      <c r="AO52" s="348">
        <f>AO8</f>
        <v>3105824.0990000004</v>
      </c>
      <c r="AP52" s="277">
        <f>AP8</f>
        <v>2546146.5869999998</v>
      </c>
      <c r="AQ52" s="277">
        <f>BT52-AP52</f>
        <v>2619187.9020000002</v>
      </c>
      <c r="AR52" s="277">
        <f>AR8</f>
        <v>2492158.7420000001</v>
      </c>
      <c r="AS52" s="348">
        <f>AS8</f>
        <v>2803173.166999999</v>
      </c>
      <c r="AT52" s="277">
        <f>AT8</f>
        <v>2274726.2650000001</v>
      </c>
      <c r="AU52" s="25">
        <f>BU52-AT52</f>
        <v>2219917.3819999998</v>
      </c>
      <c r="AV52" s="277">
        <f>AV8</f>
        <v>2206436.6160000009</v>
      </c>
      <c r="AW52" s="348">
        <f>AW8</f>
        <v>2654034.3939999999</v>
      </c>
      <c r="AX52" s="277">
        <f>AX8</f>
        <v>2392525.6490000002</v>
      </c>
      <c r="AY52" s="25">
        <f>BV52-AX52</f>
        <v>2445288.1609999994</v>
      </c>
      <c r="AZ52" s="277">
        <f>AZ8</f>
        <v>2402953.8710000003</v>
      </c>
      <c r="BA52" s="348">
        <f>BA8</f>
        <v>3081336.7970000003</v>
      </c>
      <c r="BB52" s="277">
        <f>BB8</f>
        <v>2653179.247</v>
      </c>
      <c r="BC52" s="25">
        <f>BW52-BB52</f>
        <v>2693468.6130000004</v>
      </c>
      <c r="BD52" s="277">
        <f>BD8</f>
        <v>2630300.0579999997</v>
      </c>
      <c r="BE52" s="348">
        <f>BE8</f>
        <v>3365437.9779999997</v>
      </c>
      <c r="BF52" s="277">
        <f>BF8</f>
        <v>2766025.946</v>
      </c>
      <c r="BG52" s="142"/>
      <c r="BH52" s="277">
        <f>BH8</f>
        <v>1887142.642</v>
      </c>
      <c r="BI52" s="277">
        <f>BI8</f>
        <v>1980615.463</v>
      </c>
      <c r="BJ52" s="277">
        <f>BJ8</f>
        <v>1878025.4549999996</v>
      </c>
      <c r="BK52" s="247">
        <f>BK8</f>
        <v>1855493.1639999999</v>
      </c>
      <c r="BL52" s="277">
        <f>BL8</f>
        <v>1926900.5120000001</v>
      </c>
      <c r="BM52" s="277"/>
      <c r="BN52" s="251">
        <f t="shared" ref="BN52:BS52" si="136">BN8</f>
        <v>3838383.4870000002</v>
      </c>
      <c r="BO52" s="251">
        <f t="shared" si="136"/>
        <v>3967196.0180000002</v>
      </c>
      <c r="BP52" s="251">
        <f t="shared" si="136"/>
        <v>4116794.4720000001</v>
      </c>
      <c r="BQ52" s="251">
        <f t="shared" si="136"/>
        <v>3920981.5159999998</v>
      </c>
      <c r="BR52" s="251">
        <f t="shared" si="136"/>
        <v>3346062.7069999999</v>
      </c>
      <c r="BS52" s="251">
        <f t="shared" si="136"/>
        <v>4608667.199</v>
      </c>
      <c r="BT52" s="251">
        <f>BT8</f>
        <v>5165334.4890000001</v>
      </c>
      <c r="BU52" s="251">
        <f>BU8</f>
        <v>4494643.6469999999</v>
      </c>
      <c r="BV52" s="251">
        <f>BV8</f>
        <v>4837813.8099999996</v>
      </c>
      <c r="BW52" s="251">
        <f>BW8</f>
        <v>5346647.8600000003</v>
      </c>
      <c r="BX52" s="251"/>
      <c r="BY52" s="251">
        <f>BY8</f>
        <v>3867758.105</v>
      </c>
      <c r="BZ52" s="251">
        <f>BZ8</f>
        <v>3920981.5159999998</v>
      </c>
      <c r="CA52" s="251"/>
      <c r="CC52" s="203"/>
      <c r="CG52" s="260"/>
    </row>
    <row r="53" spans="2:85" ht="13.5" customHeight="1">
      <c r="B53" s="1" t="s">
        <v>324</v>
      </c>
      <c r="C53" s="247">
        <f>C29+C32+C37</f>
        <v>553308.33600000001</v>
      </c>
      <c r="D53" s="247">
        <f>D29+D32+D37</f>
        <v>623382.96</v>
      </c>
      <c r="E53" s="247">
        <f>E29+E32+E37</f>
        <v>690078.73400000005</v>
      </c>
      <c r="F53" s="256">
        <f t="shared" ref="F53:K53" si="137">F29+F32+F37</f>
        <v>724093.43299999996</v>
      </c>
      <c r="G53" s="256">
        <f t="shared" si="137"/>
        <v>726566.603</v>
      </c>
      <c r="H53" s="256">
        <f t="shared" si="137"/>
        <v>752682.12100000004</v>
      </c>
      <c r="I53" s="256">
        <f t="shared" si="137"/>
        <v>1260444.1459999999</v>
      </c>
      <c r="J53" s="256">
        <f t="shared" si="137"/>
        <v>1357191.7899999998</v>
      </c>
      <c r="K53" s="256">
        <f t="shared" si="137"/>
        <v>1187750.486</v>
      </c>
      <c r="L53" s="256">
        <f>L29+L32+L37</f>
        <v>1136499.0239999997</v>
      </c>
      <c r="M53" s="256">
        <f>M29+M32+M37</f>
        <v>1821300.3609999998</v>
      </c>
      <c r="N53" s="256">
        <f>N29+N32+N37</f>
        <v>1890244.8739999998</v>
      </c>
      <c r="O53" s="256">
        <f>O29+O32+O37</f>
        <v>1831515.5059999998</v>
      </c>
      <c r="P53" s="256">
        <f>P29+P32+P37</f>
        <v>1973329.0200000003</v>
      </c>
      <c r="Q53" s="256"/>
      <c r="R53" s="247">
        <f>R29+R32+R37</f>
        <v>164147.17600000001</v>
      </c>
      <c r="S53" s="247">
        <f>BN53-R53</f>
        <v>171257.24600000001</v>
      </c>
      <c r="T53" s="247">
        <f>T29+T32+T37</f>
        <v>174610.08799999999</v>
      </c>
      <c r="U53" s="247">
        <f>U29+U32+U37</f>
        <v>180064.22400000007</v>
      </c>
      <c r="V53" s="247">
        <f>V29+V32+V37</f>
        <v>179767.992</v>
      </c>
      <c r="W53" s="247">
        <f>BO53-V53</f>
        <v>186834.361</v>
      </c>
      <c r="X53" s="63">
        <f>X29+X32+X37</f>
        <v>177886.353</v>
      </c>
      <c r="Y53" s="247">
        <f>Y29+Y32+Y37</f>
        <v>179604.72699999996</v>
      </c>
      <c r="Z53" s="247">
        <f>Z29+Z32+Z37</f>
        <v>178177.14600000001</v>
      </c>
      <c r="AA53" s="256">
        <f>BP53-Z53</f>
        <v>184151.16599999991</v>
      </c>
      <c r="AB53" s="256">
        <f>AB29+AB32+AB37</f>
        <v>192985.95400000003</v>
      </c>
      <c r="AC53" s="256">
        <f>AC29+AC32+AC37</f>
        <v>197367.85499999998</v>
      </c>
      <c r="AD53" s="277">
        <f>AD29+AD32+AD37</f>
        <v>325325.53499999997</v>
      </c>
      <c r="AE53" s="256">
        <f>BQ53-AD53</f>
        <v>340039.33100000006</v>
      </c>
      <c r="AF53" s="277">
        <f>AF29+AF32+AF37</f>
        <v>342464.71800000005</v>
      </c>
      <c r="AG53" s="256">
        <f>AG29+AG32+AG37</f>
        <v>349362.20599999989</v>
      </c>
      <c r="AH53" s="277">
        <f>AH29+AH32+AH37</f>
        <v>351009.81700000004</v>
      </c>
      <c r="AI53" s="256">
        <f>BR53-AH53</f>
        <v>299424.4169999999</v>
      </c>
      <c r="AJ53" s="277">
        <f>AJ29+AJ32+AJ37</f>
        <v>268573.56800000003</v>
      </c>
      <c r="AK53" s="256">
        <f>AK29+AK32+AK37</f>
        <v>268742.68399999995</v>
      </c>
      <c r="AL53" s="277">
        <f>AL29+AL32+AL37</f>
        <v>261130.51500000001</v>
      </c>
      <c r="AM53" s="277">
        <f>BS53-AL53</f>
        <v>257930.53299999994</v>
      </c>
      <c r="AN53" s="277">
        <f>AN29+AN32+AN37</f>
        <v>279433.0610000001</v>
      </c>
      <c r="AO53" s="256">
        <f>AO29+AO32+AO37</f>
        <v>338004.91499999992</v>
      </c>
      <c r="AP53" s="277">
        <f>AP29+AP32+AP37</f>
        <v>387396.39299999998</v>
      </c>
      <c r="AQ53" s="277">
        <f>BT53-AP53</f>
        <v>454339.16100000002</v>
      </c>
      <c r="AR53" s="277">
        <f>AR29+AR32+AR37</f>
        <v>481854.71499999985</v>
      </c>
      <c r="AS53" s="256">
        <f>AS29+AS32+AS37</f>
        <v>497710.09200000012</v>
      </c>
      <c r="AT53" s="277">
        <f>AT29+AT32+AT37</f>
        <v>472811.70999999996</v>
      </c>
      <c r="AU53" s="25">
        <f>BU53-AT53</f>
        <v>468504.66399999999</v>
      </c>
      <c r="AV53" s="277">
        <f>AV29+AV32+AV37</f>
        <v>481399.91000000003</v>
      </c>
      <c r="AW53" s="256">
        <f>AW29+AW32+AW37</f>
        <v>467528.58999999997</v>
      </c>
      <c r="AX53" s="277">
        <f>AX29+AX32+AX37</f>
        <v>470574.29399999994</v>
      </c>
      <c r="AY53" s="25">
        <f>BV53-AX53</f>
        <v>457632.82899999997</v>
      </c>
      <c r="AZ53" s="277">
        <f>AZ29+AZ32+AZ37</f>
        <v>442095.00899999996</v>
      </c>
      <c r="BA53" s="256">
        <f>BA29+BA32+BA37</f>
        <v>461213.37400000007</v>
      </c>
      <c r="BB53" s="277">
        <f>BB29+BB32+BB37</f>
        <v>470607.98999999993</v>
      </c>
      <c r="BC53" s="25">
        <f>BW53-BB53</f>
        <v>487270.47899999999</v>
      </c>
      <c r="BD53" s="277">
        <f>BD29+BD32+BD37</f>
        <v>495185.51600000018</v>
      </c>
      <c r="BE53" s="256">
        <f>BE29+BE32+BE37</f>
        <v>520265.03500000003</v>
      </c>
      <c r="BF53" s="277">
        <f>BF29+BF32+BF37</f>
        <v>574080.67800000007</v>
      </c>
      <c r="BG53" s="142"/>
      <c r="BH53" s="277">
        <f>BH29+BH32+BH37</f>
        <v>301688.97399999999</v>
      </c>
      <c r="BI53" s="277">
        <f>BI29+BI32+BI37</f>
        <v>310563.19900000002</v>
      </c>
      <c r="BJ53" s="277">
        <f>BJ29+BJ32+BJ37</f>
        <v>319594.59599999996</v>
      </c>
      <c r="BK53" s="256">
        <f>BK29+BK32+BK37</f>
        <v>705129.88</v>
      </c>
      <c r="BL53" s="277">
        <f>BL29+BL32+BL37</f>
        <v>325325.53499999997</v>
      </c>
      <c r="BM53" s="277"/>
      <c r="BN53" s="251">
        <f t="shared" ref="BN53:BS53" si="138">BN29+BN32+BN37</f>
        <v>335404.42200000002</v>
      </c>
      <c r="BO53" s="251">
        <f t="shared" si="138"/>
        <v>366602.353</v>
      </c>
      <c r="BP53" s="251">
        <f t="shared" si="138"/>
        <v>362328.31199999992</v>
      </c>
      <c r="BQ53" s="251">
        <f t="shared" si="138"/>
        <v>665364.86600000004</v>
      </c>
      <c r="BR53" s="251">
        <f t="shared" si="138"/>
        <v>650434.23399999994</v>
      </c>
      <c r="BS53" s="251">
        <f t="shared" si="138"/>
        <v>519061.04799999995</v>
      </c>
      <c r="BT53" s="251">
        <f>BT29+BT32+BT37</f>
        <v>841735.554</v>
      </c>
      <c r="BU53" s="251">
        <f>BU29+BU32+BU37</f>
        <v>941316.37399999995</v>
      </c>
      <c r="BV53" s="251">
        <f>BV29+BV32+BV37</f>
        <v>928207.12299999991</v>
      </c>
      <c r="BW53" s="251">
        <f>BW29+BW32+BW37</f>
        <v>957878.46899999992</v>
      </c>
      <c r="BX53" s="251"/>
      <c r="BY53" s="251">
        <f>BY29+BY32+BY37</f>
        <v>612252.17300000007</v>
      </c>
      <c r="BZ53" s="251">
        <f>BZ29+BZ32+BZ37</f>
        <v>665364.86600000004</v>
      </c>
      <c r="CA53" s="251"/>
      <c r="CC53" s="203"/>
      <c r="CG53" s="260"/>
    </row>
    <row r="54" spans="2:85" ht="13.5" customHeight="1">
      <c r="B54" s="5" t="s">
        <v>325</v>
      </c>
      <c r="C54" s="246">
        <f>SUM(C52:C53)</f>
        <v>7591688.1239999998</v>
      </c>
      <c r="D54" s="246">
        <f>SUM(D52:D53)</f>
        <v>8376592.5319999997</v>
      </c>
      <c r="E54" s="246">
        <f>SUM(E52:E53)</f>
        <v>8588380.5179999992</v>
      </c>
      <c r="F54" s="255">
        <f t="shared" ref="F54:K54" si="139">SUM(F52:F53)</f>
        <v>8966738.6960000005</v>
      </c>
      <c r="G54" s="255">
        <f t="shared" si="139"/>
        <v>8936418.1129999999</v>
      </c>
      <c r="H54" s="255">
        <f t="shared" si="139"/>
        <v>9236259.4539999999</v>
      </c>
      <c r="I54" s="255">
        <f t="shared" si="139"/>
        <v>9237342.5510000009</v>
      </c>
      <c r="J54" s="255">
        <f t="shared" si="139"/>
        <v>9410774.625</v>
      </c>
      <c r="K54" s="255">
        <f t="shared" si="139"/>
        <v>9468800.4350000005</v>
      </c>
      <c r="L54" s="255">
        <f>SUM(L52:L53)</f>
        <v>11471882.764</v>
      </c>
      <c r="M54" s="255">
        <f>SUM(M52:M53)</f>
        <v>12281966.759</v>
      </c>
      <c r="N54" s="255">
        <f>SUM(N52:N53)</f>
        <v>11245359.530999999</v>
      </c>
      <c r="O54" s="255">
        <f>SUM(O52:O53)</f>
        <v>12153619.983999999</v>
      </c>
      <c r="P54" s="255">
        <f>SUM(P52:P53)</f>
        <v>13315714.915999999</v>
      </c>
      <c r="Q54" s="255"/>
      <c r="R54" s="246">
        <f t="shared" ref="R54:W54" si="140">SUM(R52:R53)</f>
        <v>2053743.4010000001</v>
      </c>
      <c r="S54" s="246">
        <f t="shared" si="140"/>
        <v>2120044.5079999999</v>
      </c>
      <c r="T54" s="246">
        <f t="shared" si="140"/>
        <v>2044167.8119999999</v>
      </c>
      <c r="U54" s="246">
        <f t="shared" si="140"/>
        <v>2370424.7970000003</v>
      </c>
      <c r="V54" s="246">
        <f t="shared" si="140"/>
        <v>2131801.105</v>
      </c>
      <c r="W54" s="246">
        <f t="shared" si="140"/>
        <v>2201997.2660000003</v>
      </c>
      <c r="X54" s="121">
        <f t="shared" ref="X54:AC54" si="141">SUM(X52:X53)</f>
        <v>2119879.9500000002</v>
      </c>
      <c r="Y54" s="246">
        <f t="shared" si="141"/>
        <v>2513060.375</v>
      </c>
      <c r="Z54" s="246">
        <f t="shared" si="141"/>
        <v>2188434.8310000002</v>
      </c>
      <c r="AA54" s="255">
        <f t="shared" si="141"/>
        <v>2290687.9529999997</v>
      </c>
      <c r="AB54" s="246">
        <f t="shared" si="141"/>
        <v>2197596.7230000002</v>
      </c>
      <c r="AC54" s="246">
        <f t="shared" si="141"/>
        <v>2559539.9470000006</v>
      </c>
      <c r="AD54" s="299">
        <f t="shared" ref="AD54:AI54" si="142">SUM(AD52:AD53)</f>
        <v>2252226.0470000003</v>
      </c>
      <c r="AE54" s="255">
        <f t="shared" si="142"/>
        <v>2334120.335</v>
      </c>
      <c r="AF54" s="299">
        <f t="shared" si="142"/>
        <v>2223920.9679999999</v>
      </c>
      <c r="AG54" s="349">
        <f t="shared" si="142"/>
        <v>2600507.2749999999</v>
      </c>
      <c r="AH54" s="299">
        <f t="shared" si="142"/>
        <v>2238708.429</v>
      </c>
      <c r="AI54" s="255">
        <f t="shared" si="142"/>
        <v>1757788.5119999999</v>
      </c>
      <c r="AJ54" s="299">
        <f t="shared" ref="AJ54:AO54" si="143">SUM(AJ52:AJ53)</f>
        <v>2485979.2210000008</v>
      </c>
      <c r="AK54" s="349">
        <f t="shared" si="143"/>
        <v>2986324.2729999996</v>
      </c>
      <c r="AL54" s="299">
        <f t="shared" si="143"/>
        <v>2479208.9700000002</v>
      </c>
      <c r="AM54" s="299">
        <f t="shared" si="143"/>
        <v>2648519.2769999998</v>
      </c>
      <c r="AN54" s="299">
        <f t="shared" si="143"/>
        <v>2900325.503</v>
      </c>
      <c r="AO54" s="349">
        <f t="shared" si="143"/>
        <v>3443829.0140000004</v>
      </c>
      <c r="AP54" s="299">
        <f t="shared" ref="AP54:AU54" si="144">SUM(AP52:AP53)</f>
        <v>2933542.98</v>
      </c>
      <c r="AQ54" s="299">
        <f t="shared" si="144"/>
        <v>3073527.0630000001</v>
      </c>
      <c r="AR54" s="299">
        <f t="shared" si="144"/>
        <v>2974013.4569999999</v>
      </c>
      <c r="AS54" s="349">
        <f t="shared" si="144"/>
        <v>3300883.2589999991</v>
      </c>
      <c r="AT54" s="299">
        <f t="shared" si="144"/>
        <v>2747537.9750000001</v>
      </c>
      <c r="AU54" s="299">
        <f t="shared" si="144"/>
        <v>2688422.0459999996</v>
      </c>
      <c r="AV54" s="299">
        <f t="shared" ref="AV54:BA54" si="145">SUM(AV52:AV53)</f>
        <v>2687836.526000001</v>
      </c>
      <c r="AW54" s="349">
        <f t="shared" si="145"/>
        <v>3121562.9839999997</v>
      </c>
      <c r="AX54" s="299">
        <f t="shared" si="145"/>
        <v>2863099.943</v>
      </c>
      <c r="AY54" s="299">
        <f t="shared" si="145"/>
        <v>2902920.9899999993</v>
      </c>
      <c r="AZ54" s="299">
        <f t="shared" si="145"/>
        <v>2845048.8800000004</v>
      </c>
      <c r="BA54" s="349">
        <f t="shared" si="145"/>
        <v>3542550.1710000001</v>
      </c>
      <c r="BB54" s="299">
        <f>SUM(BB52:BB53)</f>
        <v>3123787.2369999997</v>
      </c>
      <c r="BC54" s="299">
        <f>SUM(BC52:BC53)</f>
        <v>3180739.0920000002</v>
      </c>
      <c r="BD54" s="299">
        <f>SUM(BD52:BD53)</f>
        <v>3125485.574</v>
      </c>
      <c r="BE54" s="349">
        <f>SUM(BE52:BE53)</f>
        <v>3885703.0129999998</v>
      </c>
      <c r="BF54" s="299">
        <f>SUM(BF52:BF53)</f>
        <v>3340106.6239999998</v>
      </c>
      <c r="BG54" s="142"/>
      <c r="BH54" s="299">
        <f>SUM(BH52:BH53)</f>
        <v>2188831.6159999999</v>
      </c>
      <c r="BI54" s="299">
        <f>SUM(BI52:BI53)</f>
        <v>2291178.662</v>
      </c>
      <c r="BJ54" s="299">
        <f>SUM(BJ52:BJ53)</f>
        <v>2197620.0509999995</v>
      </c>
      <c r="BK54" s="246">
        <f>SUM(BK52:BK53)</f>
        <v>2560623.0439999998</v>
      </c>
      <c r="BL54" s="299">
        <f>SUM(BL52:BL53)</f>
        <v>2252226.0470000003</v>
      </c>
      <c r="BM54" s="299"/>
      <c r="BN54" s="249">
        <f t="shared" ref="BN54:BS54" si="146">SUM(BN52:BN53)</f>
        <v>4173787.909</v>
      </c>
      <c r="BO54" s="249">
        <f t="shared" si="146"/>
        <v>4333798.3710000003</v>
      </c>
      <c r="BP54" s="249">
        <f t="shared" si="146"/>
        <v>4479122.784</v>
      </c>
      <c r="BQ54" s="249">
        <f t="shared" si="146"/>
        <v>4586346.3820000002</v>
      </c>
      <c r="BR54" s="249">
        <f t="shared" si="146"/>
        <v>3996496.9409999996</v>
      </c>
      <c r="BS54" s="249">
        <f t="shared" si="146"/>
        <v>5127728.2469999995</v>
      </c>
      <c r="BT54" s="249">
        <f>SUM(BT52:BT53)</f>
        <v>6007070.0429999996</v>
      </c>
      <c r="BU54" s="249">
        <f>SUM(BU52:BU53)</f>
        <v>5435960.0209999997</v>
      </c>
      <c r="BV54" s="249">
        <f>SUM(BV52:BV53)</f>
        <v>5766020.9329999993</v>
      </c>
      <c r="BW54" s="249">
        <f>SUM(BW52:BW53)</f>
        <v>6304526.3289999999</v>
      </c>
      <c r="BX54" s="249"/>
      <c r="BY54" s="249">
        <f>SUM(BY52:BY53)</f>
        <v>4480010.2779999999</v>
      </c>
      <c r="BZ54" s="249">
        <f>SUM(BZ52:BZ53)</f>
        <v>4586346.3820000002</v>
      </c>
      <c r="CA54" s="249"/>
      <c r="CC54" s="203"/>
      <c r="CG54" s="260"/>
    </row>
    <row r="55" spans="2:85" ht="13.5" customHeight="1">
      <c r="B55" s="1" t="s">
        <v>326</v>
      </c>
      <c r="C55" s="247">
        <f>C11</f>
        <v>-4654988.9230000004</v>
      </c>
      <c r="D55" s="247">
        <f>D11</f>
        <v>-5098131.6310000001</v>
      </c>
      <c r="E55" s="247">
        <f>E11</f>
        <v>-5180719.9440000001</v>
      </c>
      <c r="F55" s="256">
        <f t="shared" ref="F55:K55" si="147">F11</f>
        <v>-5360352.05</v>
      </c>
      <c r="G55" s="256">
        <f t="shared" si="147"/>
        <v>-5296642.9649999999</v>
      </c>
      <c r="H55" s="256">
        <f t="shared" si="147"/>
        <v>-5508545.3739999998</v>
      </c>
      <c r="I55" s="256">
        <f t="shared" si="147"/>
        <v>-5255756.3530000001</v>
      </c>
      <c r="J55" s="256">
        <f t="shared" si="147"/>
        <v>-5433070.25</v>
      </c>
      <c r="K55" s="256">
        <f t="shared" si="147"/>
        <v>-5790733.6900000004</v>
      </c>
      <c r="L55" s="256">
        <f>L11</f>
        <v>-7047860.2450000001</v>
      </c>
      <c r="M55" s="256">
        <f>M11</f>
        <v>-7264723.2929999996</v>
      </c>
      <c r="N55" s="256">
        <f>N11</f>
        <v>-6423567.1440000003</v>
      </c>
      <c r="O55" s="256">
        <f>O11</f>
        <v>-6844745.108</v>
      </c>
      <c r="P55" s="256">
        <f>P11</f>
        <v>-7370628.6279999996</v>
      </c>
      <c r="Q55" s="256"/>
      <c r="R55" s="247">
        <f>R11</f>
        <v>-1266353.79</v>
      </c>
      <c r="S55" s="251">
        <f>BN55-R55</f>
        <v>-1279016.642</v>
      </c>
      <c r="T55" s="247">
        <f>T11</f>
        <v>-1234273.676</v>
      </c>
      <c r="U55" s="247">
        <f>U11</f>
        <v>-1401075.8360000001</v>
      </c>
      <c r="V55" s="247">
        <f>V11</f>
        <v>-1281071.743</v>
      </c>
      <c r="W55" s="247">
        <f>BO55-V55</f>
        <v>-1305217.1070000001</v>
      </c>
      <c r="X55" s="63">
        <f>X11</f>
        <v>-1281057.456</v>
      </c>
      <c r="Y55" s="247">
        <f>Y11</f>
        <v>-1493005.7439999997</v>
      </c>
      <c r="Z55" s="247">
        <f>Z11</f>
        <v>-1308674.7720000001</v>
      </c>
      <c r="AA55" s="256">
        <f>BP55-Z55</f>
        <v>-1360544.183</v>
      </c>
      <c r="AB55" s="247">
        <f>AB11</f>
        <v>-1317192.6699999997</v>
      </c>
      <c r="AC55" s="247">
        <f>AC11</f>
        <v>-1522133.7489999996</v>
      </c>
      <c r="AD55" s="277">
        <f>AD11</f>
        <v>-1323019.2620000001</v>
      </c>
      <c r="AE55" s="256">
        <f>BQ55-AD55</f>
        <v>-1330915.344</v>
      </c>
      <c r="AF55" s="277">
        <f>AF11</f>
        <v>-1277205.3470000001</v>
      </c>
      <c r="AG55" s="348">
        <f>AG11</f>
        <v>-1501930.2969999998</v>
      </c>
      <c r="AH55" s="277">
        <f>AH11</f>
        <v>-1301030.6499999999</v>
      </c>
      <c r="AI55" s="256">
        <f>BR55-AH55</f>
        <v>-1063909.0819999999</v>
      </c>
      <c r="AJ55" s="277">
        <f>AJ11</f>
        <v>-1613411.071</v>
      </c>
      <c r="AK55" s="348">
        <f>AK11</f>
        <v>-1812382.8870000006</v>
      </c>
      <c r="AL55" s="277">
        <f>AL11</f>
        <v>-1534201.314</v>
      </c>
      <c r="AM55" s="256">
        <f>BS55-AL55</f>
        <v>-1653372.7709999999</v>
      </c>
      <c r="AN55" s="277">
        <f>AN11</f>
        <v>-1792610.8920000002</v>
      </c>
      <c r="AO55" s="348">
        <f>AO11</f>
        <v>-2067675.2680000004</v>
      </c>
      <c r="AP55" s="277">
        <f>AP11</f>
        <v>-1796600.821</v>
      </c>
      <c r="AQ55" s="256">
        <f>BT55-AP55</f>
        <v>-1799463.2179999999</v>
      </c>
      <c r="AR55" s="277">
        <f>AR11</f>
        <v>-1736802.3550000004</v>
      </c>
      <c r="AS55" s="348">
        <f>AS11</f>
        <v>-1931856.8989999993</v>
      </c>
      <c r="AT55" s="277">
        <f>AT11</f>
        <v>-1614201.747</v>
      </c>
      <c r="AU55" s="25">
        <f>BU55-AT55</f>
        <v>-1519467.2239999999</v>
      </c>
      <c r="AV55" s="277">
        <f>AV11</f>
        <v>-1522962.5650000004</v>
      </c>
      <c r="AW55" s="348">
        <f>AW11</f>
        <v>-1766935.608</v>
      </c>
      <c r="AX55" s="277">
        <f>AX11</f>
        <v>-1617669.169</v>
      </c>
      <c r="AY55" s="25">
        <f>BV55-AX55</f>
        <v>-1625083.1020000002</v>
      </c>
      <c r="AZ55" s="277">
        <f>AZ11</f>
        <v>-1593006.1469999996</v>
      </c>
      <c r="BA55" s="348">
        <f>BA11</f>
        <v>-2008986.6900000002</v>
      </c>
      <c r="BB55" s="277">
        <f>BB11</f>
        <v>-1737013.0390000001</v>
      </c>
      <c r="BC55" s="25">
        <f>BW55-BB55</f>
        <v>-1749365.5879999998</v>
      </c>
      <c r="BD55" s="277">
        <f>BD11</f>
        <v>-1722329.3770000001</v>
      </c>
      <c r="BE55" s="348">
        <f>BE11</f>
        <v>-2161920.6239999998</v>
      </c>
      <c r="BF55" s="277">
        <f>BF11</f>
        <v>-1802151.4580000001</v>
      </c>
      <c r="BG55" s="142"/>
      <c r="BH55" s="277">
        <f>BH11</f>
        <v>-1253403.3529999999</v>
      </c>
      <c r="BI55" s="277">
        <f>BI11</f>
        <v>-1297192.149</v>
      </c>
      <c r="BJ55" s="277">
        <f>BJ11</f>
        <v>-1252290.2490000001</v>
      </c>
      <c r="BK55" s="247">
        <f>BK11</f>
        <v>-1269344.7280000004</v>
      </c>
      <c r="BL55" s="277">
        <f>BL11</f>
        <v>-1323019.2620000001</v>
      </c>
      <c r="BM55" s="277"/>
      <c r="BN55" s="251">
        <f t="shared" ref="BN55:BS55" si="148">BN11</f>
        <v>-2545370.432</v>
      </c>
      <c r="BO55" s="251">
        <f t="shared" si="148"/>
        <v>-2586288.85</v>
      </c>
      <c r="BP55" s="251">
        <f t="shared" si="148"/>
        <v>-2669218.9550000001</v>
      </c>
      <c r="BQ55" s="251">
        <f t="shared" si="148"/>
        <v>-2653934.6060000001</v>
      </c>
      <c r="BR55" s="251">
        <f t="shared" si="148"/>
        <v>-2364939.7319999998</v>
      </c>
      <c r="BS55" s="251">
        <f t="shared" si="148"/>
        <v>-3187574.085</v>
      </c>
      <c r="BT55" s="251">
        <f>BT11</f>
        <v>-3596064.0389999999</v>
      </c>
      <c r="BU55" s="251">
        <f>BU11</f>
        <v>-3133668.9709999999</v>
      </c>
      <c r="BV55" s="251">
        <f>BV11</f>
        <v>-3242752.2710000002</v>
      </c>
      <c r="BW55" s="251">
        <f>BW11</f>
        <v>-3486378.6269999999</v>
      </c>
      <c r="BX55" s="251"/>
      <c r="BY55" s="251">
        <f>BY11</f>
        <v>-2550595.5019999999</v>
      </c>
      <c r="BZ55" s="251">
        <f>BZ11</f>
        <v>-2653934.6060000001</v>
      </c>
      <c r="CA55" s="251"/>
      <c r="CC55" s="203"/>
      <c r="CG55" s="260"/>
    </row>
    <row r="56" spans="2:85" ht="13.5" customHeight="1">
      <c r="B56" s="1" t="s">
        <v>327</v>
      </c>
      <c r="C56" s="247">
        <f>C30+C33+C35+C38+C36</f>
        <v>-238937.55099999998</v>
      </c>
      <c r="D56" s="247">
        <f>D30+D33+D35+D38+D36</f>
        <v>-270479.69399999996</v>
      </c>
      <c r="E56" s="247">
        <f>E30+E33+E35+E38+E36</f>
        <v>-326727.59299999994</v>
      </c>
      <c r="F56" s="256">
        <f t="shared" ref="F56:K56" si="149">F30+F33+F35+F38+F36</f>
        <v>-340893.76199999999</v>
      </c>
      <c r="G56" s="256">
        <f t="shared" si="149"/>
        <v>-341132.23799999995</v>
      </c>
      <c r="H56" s="256">
        <f t="shared" si="149"/>
        <v>-336700.54</v>
      </c>
      <c r="I56" s="256">
        <f t="shared" si="149"/>
        <v>-555859.04299999995</v>
      </c>
      <c r="J56" s="256">
        <f t="shared" si="149"/>
        <v>-615436.02499999991</v>
      </c>
      <c r="K56" s="256">
        <f t="shared" si="149"/>
        <v>-585894.87800000014</v>
      </c>
      <c r="L56" s="256">
        <f>L30+L33+L35+L38+L36</f>
        <v>-321041.14399999997</v>
      </c>
      <c r="M56" s="256">
        <f>M30+M33+M35+M38+M36</f>
        <v>-1068501.088</v>
      </c>
      <c r="N56" s="256">
        <f>N30+N33+N35+N38+N36</f>
        <v>-1222836.0720000002</v>
      </c>
      <c r="O56" s="256">
        <f>O30+O33+O35+O38+O36</f>
        <v>-881613.84499999997</v>
      </c>
      <c r="P56" s="256">
        <f>P30+P33+P35+P38+P36</f>
        <v>-815781.03700000001</v>
      </c>
      <c r="Q56" s="256"/>
      <c r="R56" s="247">
        <f>R30+R33+R35+R38+R36</f>
        <v>-74092.338999999993</v>
      </c>
      <c r="S56" s="251">
        <f>BN56-R56</f>
        <v>-84299.899000000019</v>
      </c>
      <c r="T56" s="247">
        <f>T30+T33+T35+T38+T36</f>
        <v>-79135.527000000002</v>
      </c>
      <c r="U56" s="247">
        <f>U30+U33+U35+U38+U36</f>
        <v>-89199.828000000023</v>
      </c>
      <c r="V56" s="247">
        <f>V30+V33+V35+V38+V36</f>
        <v>-86841.467000000004</v>
      </c>
      <c r="W56" s="247">
        <f>BO56-V56</f>
        <v>-92552.823000000004</v>
      </c>
      <c r="X56" s="63">
        <f>X30+X33+X35+X38+X36</f>
        <v>-80000.326000000001</v>
      </c>
      <c r="Y56" s="247">
        <f>Y30+Y33+Y35+Y38+Y36</f>
        <v>-81499.14599999995</v>
      </c>
      <c r="Z56" s="280">
        <f>Z30+Z33+Z35+Z38+Z36</f>
        <v>-76521.11099999999</v>
      </c>
      <c r="AA56" s="256">
        <f>BP56-Z56</f>
        <v>-79485.548000000024</v>
      </c>
      <c r="AB56" s="280">
        <f>AB30+AB33+AB35+AB38+AB36</f>
        <v>-94983.434000000008</v>
      </c>
      <c r="AC56" s="280">
        <f>AC30+AC33+AC35+AC38+AC36</f>
        <v>-85710.446999999971</v>
      </c>
      <c r="AD56" s="300">
        <f>AD30+AD33+AD35+AD38+AD36</f>
        <v>-142190.85100000002</v>
      </c>
      <c r="AE56" s="256">
        <f>BQ56-AD56</f>
        <v>-139631.83299999998</v>
      </c>
      <c r="AF56" s="300">
        <f>AF30+AF33+AF35+AF38+AF36</f>
        <v>-151112.09400000001</v>
      </c>
      <c r="AG56" s="350">
        <f>AG30+AG33+AG35+AG38+AG36</f>
        <v>-182501.24699999997</v>
      </c>
      <c r="AH56" s="300">
        <f>AH30+AH33+AH35+AH38+AH36</f>
        <v>-176012.88399999999</v>
      </c>
      <c r="AI56" s="256">
        <f>BR56-AH56</f>
        <v>-204793.19200000001</v>
      </c>
      <c r="AJ56" s="300">
        <f>AJ30+AJ33+AJ35+AJ38+AJ36</f>
        <v>-129163.96699999996</v>
      </c>
      <c r="AK56" s="350">
        <f>AK30+AK33+AK35+AK38+AK36</f>
        <v>-75924.83500000005</v>
      </c>
      <c r="AL56" s="277">
        <f>AL30+AL33+AL35+AL38+AL36</f>
        <v>-50369.123000000007</v>
      </c>
      <c r="AM56" s="256">
        <f>BS56-AL56</f>
        <v>-67728.038000000015</v>
      </c>
      <c r="AN56" s="277">
        <f>AN30+AN33+AN35+AN38+AN36</f>
        <v>-80062.112999999998</v>
      </c>
      <c r="AO56" s="348">
        <f>AO30+AO33+AO35+AO38+AO36</f>
        <v>-122881.87000000001</v>
      </c>
      <c r="AP56" s="277">
        <f>AP30+AP33+AP35+AP38+AP36</f>
        <v>-168670.87700000001</v>
      </c>
      <c r="AQ56" s="256">
        <f>BT56-AP56</f>
        <v>-254223.80000000002</v>
      </c>
      <c r="AR56" s="277">
        <f>AR30+AR33+AR35+AR38+AR36</f>
        <v>-291807.47099999996</v>
      </c>
      <c r="AS56" s="348">
        <f>AS30+AS33+AS35+AS38+AS36</f>
        <v>-353798.93999999994</v>
      </c>
      <c r="AT56" s="277">
        <f>AT30+AT33+AT35+AT38+AT36</f>
        <v>-327178.24099999998</v>
      </c>
      <c r="AU56" s="25">
        <f>BU56-AT56</f>
        <v>-323965.00400000013</v>
      </c>
      <c r="AV56" s="277">
        <f>AV30+AV33+AV35+AV38+AV36</f>
        <v>-274976.72800000006</v>
      </c>
      <c r="AW56" s="348">
        <f>AW30+AW33+AW35+AW38+AW36</f>
        <v>-296716.09899999987</v>
      </c>
      <c r="AX56" s="277">
        <f>AX30+AX33+AX35+AX38+AX36</f>
        <v>-250129.223</v>
      </c>
      <c r="AY56" s="25">
        <f>BV56-AX56</f>
        <v>-244062.44199999998</v>
      </c>
      <c r="AZ56" s="277">
        <f>AZ30+AZ33+AZ35+AZ38+AZ36</f>
        <v>-187516.54500000007</v>
      </c>
      <c r="BA56" s="348">
        <f>BA30+BA33+BA35+BA38+BA36</f>
        <v>-199905.63499999992</v>
      </c>
      <c r="BB56" s="277">
        <f>BB30+BB33+BB35+BB38+BB36</f>
        <v>-173969.41599999997</v>
      </c>
      <c r="BC56" s="25">
        <f>BW56-BB56</f>
        <v>-198103.40100000001</v>
      </c>
      <c r="BD56" s="277">
        <f>BD30+BD33+BD35+BD38+BD36</f>
        <v>-204643.56599999999</v>
      </c>
      <c r="BE56" s="348">
        <f>BE30+BE33+BE35+BE38+BE36</f>
        <v>-239064.6540000001</v>
      </c>
      <c r="BF56" s="277">
        <f>BF30+BF33+BF35+BF38+BF36</f>
        <v>-222563.59700000001</v>
      </c>
      <c r="BG56" s="142"/>
      <c r="BH56" s="277">
        <f>BH30+BH33+BH35+BH38+BH36</f>
        <v>-124150.09600000001</v>
      </c>
      <c r="BI56" s="277">
        <f>BI30+BI33+BI35+BI38+BI36</f>
        <v>-134360.26300000001</v>
      </c>
      <c r="BJ56" s="277">
        <f>BJ30+BJ33+BJ35+BJ38+BJ36</f>
        <v>-151412.92600000001</v>
      </c>
      <c r="BK56" s="280">
        <f>BK30+BK33+BK35+BK38+BK36</f>
        <v>-304868.94999999995</v>
      </c>
      <c r="BL56" s="300">
        <f>BL30+BL33+BL35+BL38+BL36</f>
        <v>-142190.85100000002</v>
      </c>
      <c r="BM56" s="300"/>
      <c r="BN56" s="251">
        <f t="shared" ref="BN56:BS56" si="150">BN30+BN33+BN35+BN38+BN36</f>
        <v>-158392.23800000001</v>
      </c>
      <c r="BO56" s="251">
        <f t="shared" si="150"/>
        <v>-179394.29</v>
      </c>
      <c r="BP56" s="251">
        <f t="shared" si="150"/>
        <v>-156006.65900000001</v>
      </c>
      <c r="BQ56" s="251">
        <f t="shared" si="150"/>
        <v>-281822.68400000001</v>
      </c>
      <c r="BR56" s="251">
        <f t="shared" si="150"/>
        <v>-380806.076</v>
      </c>
      <c r="BS56" s="251">
        <f t="shared" si="150"/>
        <v>-118097.16100000002</v>
      </c>
      <c r="BT56" s="251">
        <f>BT30+BT33+BT35+BT38+BT36</f>
        <v>-422894.67700000003</v>
      </c>
      <c r="BU56" s="251">
        <f>BU30+BU33+BU35+BU38+BU36</f>
        <v>-651143.24500000011</v>
      </c>
      <c r="BV56" s="251">
        <f>BV30+BV33+BV35+BV38+BV36</f>
        <v>-494191.66499999998</v>
      </c>
      <c r="BW56" s="251">
        <f>BW30+BW33+BW35+BW38+BW36</f>
        <v>-372072.81699999998</v>
      </c>
      <c r="BX56" s="251"/>
      <c r="BY56" s="251">
        <f>BY30+BY33+BY35+BY38+BY36</f>
        <v>-258510.359</v>
      </c>
      <c r="BZ56" s="251">
        <f>BZ30+BZ33+BZ35+BZ38+BZ36</f>
        <v>-281822.68400000001</v>
      </c>
      <c r="CA56" s="251"/>
      <c r="CC56" s="203"/>
      <c r="CG56" s="260"/>
    </row>
    <row r="57" spans="2:85" ht="13.5" customHeight="1">
      <c r="B57" s="5" t="s">
        <v>286</v>
      </c>
      <c r="C57" s="246">
        <f>C54+C55+C56</f>
        <v>2697761.6499999994</v>
      </c>
      <c r="D57" s="246">
        <f>D54+D55+D56</f>
        <v>3007981.2069999995</v>
      </c>
      <c r="E57" s="246">
        <f>E54+E55+E56</f>
        <v>3080932.9809999992</v>
      </c>
      <c r="F57" s="255">
        <f t="shared" ref="F57:K57" si="151">F54+F55+F56</f>
        <v>3265492.8840000005</v>
      </c>
      <c r="G57" s="255">
        <f t="shared" si="151"/>
        <v>3298642.91</v>
      </c>
      <c r="H57" s="255">
        <f t="shared" si="151"/>
        <v>3391013.54</v>
      </c>
      <c r="I57" s="255">
        <f t="shared" si="151"/>
        <v>3425727.1550000007</v>
      </c>
      <c r="J57" s="255">
        <f t="shared" si="151"/>
        <v>3362268.35</v>
      </c>
      <c r="K57" s="255">
        <f t="shared" si="151"/>
        <v>3092171.8670000001</v>
      </c>
      <c r="L57" s="255">
        <f>L54+L55+L56</f>
        <v>4102981.3750000005</v>
      </c>
      <c r="M57" s="255">
        <f>M54+M55+M56</f>
        <v>3948742.378</v>
      </c>
      <c r="N57" s="255">
        <f>N54+N55+N56</f>
        <v>3598956.314999999</v>
      </c>
      <c r="O57" s="255">
        <f>O54+O55+O56</f>
        <v>4427261.0309999995</v>
      </c>
      <c r="P57" s="255">
        <f>P54+P55+P56</f>
        <v>5129305.2510000002</v>
      </c>
      <c r="Q57" s="255"/>
      <c r="R57" s="246">
        <f t="shared" ref="R57:W57" si="152">R54+R55+R56</f>
        <v>713297.272</v>
      </c>
      <c r="S57" s="249">
        <f t="shared" si="152"/>
        <v>756727.96699999995</v>
      </c>
      <c r="T57" s="246">
        <f t="shared" si="152"/>
        <v>730758.60899999994</v>
      </c>
      <c r="U57" s="246">
        <f t="shared" si="152"/>
        <v>880149.13300000015</v>
      </c>
      <c r="V57" s="246">
        <f t="shared" si="152"/>
        <v>763887.89500000002</v>
      </c>
      <c r="W57" s="246">
        <f t="shared" si="152"/>
        <v>804227.33600000024</v>
      </c>
      <c r="X57" s="121">
        <f t="shared" ref="X57:AC57" si="153">X54+X55+X56</f>
        <v>758822.16800000018</v>
      </c>
      <c r="Y57" s="246">
        <f t="shared" si="153"/>
        <v>938555.48500000034</v>
      </c>
      <c r="Z57" s="246">
        <f t="shared" si="153"/>
        <v>803238.94800000009</v>
      </c>
      <c r="AA57" s="255">
        <f t="shared" si="153"/>
        <v>850658.22199999972</v>
      </c>
      <c r="AB57" s="246">
        <f t="shared" si="153"/>
        <v>785420.61900000053</v>
      </c>
      <c r="AC57" s="246">
        <f t="shared" si="153"/>
        <v>951695.7510000011</v>
      </c>
      <c r="AD57" s="299">
        <f t="shared" ref="AD57:AI57" si="154">AD54+AD55+AD56</f>
        <v>787015.93400000012</v>
      </c>
      <c r="AE57" s="255">
        <f t="shared" si="154"/>
        <v>863573.15799999994</v>
      </c>
      <c r="AF57" s="299">
        <f t="shared" si="154"/>
        <v>795603.52699999977</v>
      </c>
      <c r="AG57" s="349">
        <f t="shared" si="154"/>
        <v>916075.73100000015</v>
      </c>
      <c r="AH57" s="299">
        <f t="shared" si="154"/>
        <v>761664.89500000014</v>
      </c>
      <c r="AI57" s="255">
        <f t="shared" si="154"/>
        <v>489086.2379999999</v>
      </c>
      <c r="AJ57" s="299">
        <f t="shared" ref="AJ57:AO57" si="155">AJ54+AJ55+AJ56</f>
        <v>743404.18300000089</v>
      </c>
      <c r="AK57" s="349">
        <f t="shared" si="155"/>
        <v>1098016.550999999</v>
      </c>
      <c r="AL57" s="299">
        <f t="shared" si="155"/>
        <v>894638.53300000017</v>
      </c>
      <c r="AM57" s="255">
        <f t="shared" si="155"/>
        <v>927418.46799999976</v>
      </c>
      <c r="AN57" s="299">
        <f t="shared" si="155"/>
        <v>1027652.4979999998</v>
      </c>
      <c r="AO57" s="349">
        <f t="shared" si="155"/>
        <v>1253271.8759999999</v>
      </c>
      <c r="AP57" s="299">
        <f t="shared" ref="AP57:AU57" si="156">AP54+AP55+AP56</f>
        <v>968271.28200000001</v>
      </c>
      <c r="AQ57" s="255">
        <f t="shared" si="156"/>
        <v>1019840.0450000002</v>
      </c>
      <c r="AR57" s="299">
        <f t="shared" si="156"/>
        <v>945403.63099999959</v>
      </c>
      <c r="AS57" s="349">
        <f t="shared" si="156"/>
        <v>1015227.4199999999</v>
      </c>
      <c r="AT57" s="299">
        <f t="shared" si="156"/>
        <v>806157.9870000002</v>
      </c>
      <c r="AU57" s="255">
        <f t="shared" si="156"/>
        <v>844989.8179999995</v>
      </c>
      <c r="AV57" s="299">
        <f t="shared" ref="AV57:BA57" si="157">AV54+AV55+AV56</f>
        <v>889897.23300000047</v>
      </c>
      <c r="AW57" s="349">
        <f t="shared" si="157"/>
        <v>1057911.2769999998</v>
      </c>
      <c r="AX57" s="299">
        <f t="shared" si="157"/>
        <v>995301.55099999998</v>
      </c>
      <c r="AY57" s="255">
        <f t="shared" si="157"/>
        <v>1033775.4459999991</v>
      </c>
      <c r="AZ57" s="299">
        <f t="shared" si="157"/>
        <v>1064526.1880000005</v>
      </c>
      <c r="BA57" s="349">
        <f t="shared" si="157"/>
        <v>1333657.8459999999</v>
      </c>
      <c r="BB57" s="299">
        <f>BB54+BB55+BB56</f>
        <v>1212804.7819999997</v>
      </c>
      <c r="BC57" s="255">
        <f>BC54+BC55+BC56</f>
        <v>1233270.1030000004</v>
      </c>
      <c r="BD57" s="299">
        <f>BD54+BD55+BD56</f>
        <v>1198512.6310000001</v>
      </c>
      <c r="BE57" s="349">
        <f>BE54+BE55+BE56</f>
        <v>1484717.7349999999</v>
      </c>
      <c r="BF57" s="299">
        <f>BF54+BF55+BF56</f>
        <v>1315391.5689999997</v>
      </c>
      <c r="BG57" s="142"/>
      <c r="BH57" s="299">
        <f>BH54+BH55+BH56</f>
        <v>811278.16700000002</v>
      </c>
      <c r="BI57" s="299">
        <f>BI54+BI55+BI56</f>
        <v>859626.25</v>
      </c>
      <c r="BJ57" s="299">
        <f>BJ54+BJ55+BJ56</f>
        <v>793916.87599999947</v>
      </c>
      <c r="BK57" s="246">
        <f>BK54+BK55+BK56</f>
        <v>986409.36599999946</v>
      </c>
      <c r="BL57" s="299">
        <f>BL54+BL55+BL56</f>
        <v>787015.93400000012</v>
      </c>
      <c r="BM57" s="299"/>
      <c r="BN57" s="249">
        <f t="shared" ref="BN57:BS57" si="158">BN54+BN55+BN56</f>
        <v>1470025.2390000001</v>
      </c>
      <c r="BO57" s="249">
        <f t="shared" si="158"/>
        <v>1568115.2310000001</v>
      </c>
      <c r="BP57" s="249">
        <f t="shared" si="158"/>
        <v>1653897.17</v>
      </c>
      <c r="BQ57" s="249">
        <f t="shared" si="158"/>
        <v>1650589.0920000002</v>
      </c>
      <c r="BR57" s="249">
        <f t="shared" si="158"/>
        <v>1250751.1329999999</v>
      </c>
      <c r="BS57" s="249">
        <f t="shared" si="158"/>
        <v>1822057.0009999995</v>
      </c>
      <c r="BT57" s="249">
        <f>BT54+BT55+BT56</f>
        <v>1988111.3269999996</v>
      </c>
      <c r="BU57" s="249">
        <f>BU54+BU55+BU56</f>
        <v>1651147.8049999997</v>
      </c>
      <c r="BV57" s="249">
        <f>BV54+BV55+BV56</f>
        <v>2029076.996999999</v>
      </c>
      <c r="BW57" s="249">
        <f>BW54+BW55+BW56</f>
        <v>2446074.8850000002</v>
      </c>
      <c r="BX57" s="249"/>
      <c r="BY57" s="249">
        <f>BY54+BY55+BY56</f>
        <v>1670904.4170000001</v>
      </c>
      <c r="BZ57" s="249">
        <f>BZ54+BZ55+BZ56</f>
        <v>1650589.0920000002</v>
      </c>
      <c r="CA57" s="249"/>
      <c r="CC57" s="203"/>
      <c r="CG57" s="260"/>
    </row>
    <row r="58" spans="2:85" ht="13.5" customHeight="1">
      <c r="B58" s="1" t="s">
        <v>328</v>
      </c>
      <c r="C58" s="247">
        <f>C14+C15+C17+C40+C41+C42+C43</f>
        <v>-1887396.7609999997</v>
      </c>
      <c r="D58" s="247">
        <f>D14+D15+D17+D40+D41+D42+D43</f>
        <v>-2137894.5580000002</v>
      </c>
      <c r="E58" s="247">
        <f>E14+E15+E17+E40+E41+E42+E43</f>
        <v>-2191641.8909999998</v>
      </c>
      <c r="F58" s="256">
        <f t="shared" ref="F58:K58" si="159">F14+F15+F17+F40+F41+F42+F43</f>
        <v>-2338303.2830000003</v>
      </c>
      <c r="G58" s="256">
        <f t="shared" si="159"/>
        <v>-2369053.64</v>
      </c>
      <c r="H58" s="256">
        <f t="shared" si="159"/>
        <v>-2511998.7240000004</v>
      </c>
      <c r="I58" s="256">
        <f t="shared" si="159"/>
        <v>-2546809.1610000003</v>
      </c>
      <c r="J58" s="256">
        <f t="shared" si="159"/>
        <v>-2656793.912</v>
      </c>
      <c r="K58" s="256">
        <f t="shared" si="159"/>
        <v>-2725717.426</v>
      </c>
      <c r="L58" s="256">
        <f>L14+L15+L17+L40+L41+L42+L43</f>
        <v>-2986229.1690000002</v>
      </c>
      <c r="M58" s="256">
        <f>M14+M15+M17+M40+M41+M42+M43</f>
        <v>-3513430.642</v>
      </c>
      <c r="N58" s="256">
        <f>N14+N15+N17+N40+N41-N42+N43</f>
        <v>-3235038.7079999996</v>
      </c>
      <c r="O58" s="256">
        <f>O14+O15+O17+O40+O41-O42+O43</f>
        <v>-3362015.9529999997</v>
      </c>
      <c r="P58" s="256">
        <f>P14+P15+P17+P40+P41-P42+P43</f>
        <v>-3564842.6879999992</v>
      </c>
      <c r="Q58" s="256"/>
      <c r="R58" s="247">
        <f>R14+R15+R17+R40+R41+R42+R43</f>
        <v>-521634.73300000001</v>
      </c>
      <c r="S58" s="251">
        <f>BN58-R58</f>
        <v>-542132.60400000028</v>
      </c>
      <c r="T58" s="247">
        <f>T14+T15+T17+T40+T41+T42+T43</f>
        <v>-544387.95099999988</v>
      </c>
      <c r="U58" s="247">
        <f>U14+U15+U17+U40+U41+U42+U43</f>
        <v>-583486.60299999989</v>
      </c>
      <c r="V58" s="247">
        <f>V14+V15+V17+V40+V41+V42+V43</f>
        <v>-547864.51599999995</v>
      </c>
      <c r="W58" s="247">
        <f>BO58-V58</f>
        <v>-580351.09700000018</v>
      </c>
      <c r="X58" s="63">
        <f>X14+X15+X17+X40+X41+X42+X43</f>
        <v>-582659.44099999988</v>
      </c>
      <c r="Y58" s="280">
        <f>Y14+Y15+Y17+Y40+Y41+Y42+Y43</f>
        <v>-627428.2289999997</v>
      </c>
      <c r="Z58" s="247">
        <f>Z14+Z15+Z17+Z40+Z41+Z42+Z43</f>
        <v>-584245.67899999989</v>
      </c>
      <c r="AA58" s="256">
        <f>BP58-Z58</f>
        <v>-621577.52400000009</v>
      </c>
      <c r="AB58" s="247">
        <f>AB14+AB15+AB17+AB40+AB41+AB42+AB43</f>
        <v>-617707.75100000028</v>
      </c>
      <c r="AC58" s="247">
        <f>AC14+AC15+AC17+AC40+AC41+AC42+AC43</f>
        <v>-688467.7699999999</v>
      </c>
      <c r="AD58" s="277">
        <f>AD14+AD15+AD17+AD40+AD41+AD42+AD43</f>
        <v>-616399.00699999998</v>
      </c>
      <c r="AE58" s="256">
        <f>BQ58-AD58</f>
        <v>-654084.59100000025</v>
      </c>
      <c r="AF58" s="277">
        <f>AF14+AF15+AF17+AF40+AF41+AF42+AF43</f>
        <v>-647311.77899999998</v>
      </c>
      <c r="AG58" s="348">
        <f>AG14+AG15+AG17+AG40+AG41+AG42+AG43</f>
        <v>-738998.53500000003</v>
      </c>
      <c r="AH58" s="277">
        <f>AH14+AH15+AH17+AH40+AH41+AH42+AH43</f>
        <v>-666303.00399999996</v>
      </c>
      <c r="AI58" s="256">
        <f>BR58-AH58</f>
        <v>-630994.75699999998</v>
      </c>
      <c r="AJ58" s="277">
        <f>AJ14+AJ15+AJ17+AJ40+AJ41+AJ42+AJ43</f>
        <v>-678490.87400000007</v>
      </c>
      <c r="AK58" s="348">
        <f>AK14+AK15+AK17+AK40+AK41+AK42+AK43</f>
        <v>-749928.79099999985</v>
      </c>
      <c r="AL58" s="277">
        <f>AL14+AL15+AL17+AL40+AL41+AL42+AL43</f>
        <v>-652513.20400000014</v>
      </c>
      <c r="AM58" s="256">
        <f>BS58-AL58</f>
        <v>-681177.74499999988</v>
      </c>
      <c r="AN58" s="277">
        <f>AN14+AN15+AN17+AN40+AN41+AN42+AN43</f>
        <v>-755951.03300000005</v>
      </c>
      <c r="AO58" s="348">
        <f>AO14+AO15+AO17+AO40+AO41+AO42+AO43</f>
        <v>-896587.18699999992</v>
      </c>
      <c r="AP58" s="277">
        <f>AP14+AP15+AP17+AP40+AP41+AP42+AP43</f>
        <v>-796630.723</v>
      </c>
      <c r="AQ58" s="256">
        <f>BT58-AP58</f>
        <v>-870652.79200000013</v>
      </c>
      <c r="AR58" s="277">
        <f>AR14+AR15+AR17+AR40+AR41+AR42+AR43</f>
        <v>-878446.30700000003</v>
      </c>
      <c r="AS58" s="348">
        <f>AS14+AS15+AS17+AS40+AS41+AS42+AS43</f>
        <v>-967700.81999999972</v>
      </c>
      <c r="AT58" s="277">
        <f>AT14+AT15+AT17+AT40+AT41+AT42+AT43</f>
        <v>-803572.46600000013</v>
      </c>
      <c r="AU58" s="25">
        <f>BU58-AT58</f>
        <v>-801965.5780000001</v>
      </c>
      <c r="AV58" s="277">
        <f>AV14+AV15+AV17+AV40+AV41+AV42+AV43</f>
        <v>-825020.35699999973</v>
      </c>
      <c r="AW58" s="348">
        <f>AW14+AW15+AW17+AW40+AW41+AW42+AW43</f>
        <v>-885209.31899999967</v>
      </c>
      <c r="AX58" s="256">
        <f t="shared" ref="AX58:BC58" si="160">AX14+AX15+AX17+AX40+AX41-AX42+AX43</f>
        <v>-794970.85700000019</v>
      </c>
      <c r="AY58" s="256">
        <f t="shared" si="160"/>
        <v>-804736.95199999982</v>
      </c>
      <c r="AZ58" s="256">
        <f t="shared" si="160"/>
        <v>-829611.63800000027</v>
      </c>
      <c r="BA58" s="256">
        <f t="shared" si="160"/>
        <v>-932696.5059999997</v>
      </c>
      <c r="BB58" s="256">
        <f t="shared" si="160"/>
        <v>-834787.33599999989</v>
      </c>
      <c r="BC58" s="256">
        <f t="shared" si="160"/>
        <v>-853714.80500000005</v>
      </c>
      <c r="BD58" s="256">
        <f>BD14+BD15+BD17+BD40+BD41-BD42+BD43</f>
        <v>-878988.38099999994</v>
      </c>
      <c r="BE58" s="256">
        <f>BE14+BE15+BE17+BE40+BE41-BE42+BE43</f>
        <v>-997352.1660000002</v>
      </c>
      <c r="BF58" s="256">
        <f>BF14+BF15+BF17+BF40+BF41-BF42+BF43</f>
        <v>-867644.24799999991</v>
      </c>
      <c r="BG58" s="142"/>
      <c r="BH58" s="277">
        <f>BH14+BH15+BH17+BH40+BH41+BH42+BH43</f>
        <v>-592322.87699999998</v>
      </c>
      <c r="BI58" s="277">
        <f>BI14+BI15+BI17+BI40+BI41+BI42+BI43</f>
        <v>-630677.74599999993</v>
      </c>
      <c r="BJ58" s="277">
        <f>BJ14+BJ15+BJ17+BJ40+BJ41+BJ42+BJ43</f>
        <v>-626539.42599999998</v>
      </c>
      <c r="BK58" s="247">
        <f>BK14+BK15+BK17+BK40+BK41+BK42+BK43</f>
        <v>-723278.20700000005</v>
      </c>
      <c r="BL58" s="277">
        <f>BL14+BL15+BL17+BL40+BL41+BL42+BL43</f>
        <v>-616399.00699999987</v>
      </c>
      <c r="BM58" s="277"/>
      <c r="BN58" s="251">
        <f t="shared" ref="BN58:BS58" si="161">BN14+BN15+BN17+BN40+BN41+BN42+BN43</f>
        <v>-1063767.3370000003</v>
      </c>
      <c r="BO58" s="251">
        <f t="shared" si="161"/>
        <v>-1128215.6130000001</v>
      </c>
      <c r="BP58" s="251">
        <f t="shared" si="161"/>
        <v>-1205823.203</v>
      </c>
      <c r="BQ58" s="251">
        <f t="shared" si="161"/>
        <v>-1270483.5980000002</v>
      </c>
      <c r="BR58" s="251">
        <f t="shared" si="161"/>
        <v>-1297297.7609999999</v>
      </c>
      <c r="BS58" s="251">
        <f t="shared" si="161"/>
        <v>-1333690.949</v>
      </c>
      <c r="BT58" s="251">
        <f>BT14+BT15+BT17+BT40+BT41+BT42+BT43</f>
        <v>-1667283.5150000001</v>
      </c>
      <c r="BU58" s="251">
        <f>BU14+BU15+BU17+BU40+BU41+BU42+BU43</f>
        <v>-1605538.0440000002</v>
      </c>
      <c r="BV58" s="251">
        <f>BV14+BV15+BV17+BV40+BV41+BV42+BV43</f>
        <v>-1638942.987</v>
      </c>
      <c r="BW58" s="251">
        <f>BW14+BW15+BW17+BW40+BW41+BW42+BW43</f>
        <v>-1724069.4590000003</v>
      </c>
      <c r="BX58" s="282"/>
      <c r="BY58" s="251">
        <f>BY14+BY15+BY17+BY40+BY41+BY42+BY43</f>
        <v>-1223000.6230000001</v>
      </c>
      <c r="BZ58" s="251">
        <f>BZ14+BZ15+BZ17+BZ40+BZ41+BZ42+BZ43</f>
        <v>-1270483.5980000002</v>
      </c>
      <c r="CA58" s="282"/>
      <c r="CC58" s="203"/>
      <c r="CG58" s="260"/>
    </row>
    <row r="59" spans="2:85" ht="13.5" customHeight="1">
      <c r="B59" s="5" t="s">
        <v>329</v>
      </c>
      <c r="C59" s="246">
        <f>C57+C58</f>
        <v>810364.88899999973</v>
      </c>
      <c r="D59" s="246">
        <f>D57+D58</f>
        <v>870086.64899999928</v>
      </c>
      <c r="E59" s="246">
        <f>E57+E58</f>
        <v>889291.08999999939</v>
      </c>
      <c r="F59" s="255">
        <f t="shared" ref="F59:K59" si="162">F57+F58</f>
        <v>927189.60100000026</v>
      </c>
      <c r="G59" s="255">
        <f t="shared" si="162"/>
        <v>929589.27</v>
      </c>
      <c r="H59" s="255">
        <f t="shared" si="162"/>
        <v>879014.81599999964</v>
      </c>
      <c r="I59" s="255">
        <f t="shared" si="162"/>
        <v>878917.99400000041</v>
      </c>
      <c r="J59" s="255">
        <f t="shared" si="162"/>
        <v>705474.43800000008</v>
      </c>
      <c r="K59" s="255">
        <f t="shared" si="162"/>
        <v>366454.44100000011</v>
      </c>
      <c r="L59" s="255">
        <f>L57+L58</f>
        <v>1116752.2060000002</v>
      </c>
      <c r="M59" s="255">
        <f>M57+M58</f>
        <v>435311.73600000003</v>
      </c>
      <c r="N59" s="255">
        <f>N57+N58</f>
        <v>363917.60699999938</v>
      </c>
      <c r="O59" s="255">
        <f>O57+O58</f>
        <v>1065245.0779999997</v>
      </c>
      <c r="P59" s="255">
        <f>P57+P58</f>
        <v>1564462.563000001</v>
      </c>
      <c r="Q59" s="255"/>
      <c r="R59" s="246">
        <f t="shared" ref="R59:W59" si="163">R57+R58</f>
        <v>191662.53899999999</v>
      </c>
      <c r="S59" s="249">
        <f t="shared" si="163"/>
        <v>214595.36299999966</v>
      </c>
      <c r="T59" s="246">
        <f t="shared" si="163"/>
        <v>186370.65800000005</v>
      </c>
      <c r="U59" s="246">
        <f t="shared" si="163"/>
        <v>296662.53000000026</v>
      </c>
      <c r="V59" s="246">
        <f t="shared" si="163"/>
        <v>216023.37900000007</v>
      </c>
      <c r="W59" s="246">
        <f t="shared" si="163"/>
        <v>223876.23900000006</v>
      </c>
      <c r="X59" s="121">
        <f t="shared" ref="X59:AC59" si="164">X57+X58</f>
        <v>176162.7270000003</v>
      </c>
      <c r="Y59" s="246">
        <f t="shared" si="164"/>
        <v>311127.25600000063</v>
      </c>
      <c r="Z59" s="246">
        <f t="shared" si="164"/>
        <v>218993.2690000002</v>
      </c>
      <c r="AA59" s="255">
        <f t="shared" si="164"/>
        <v>229080.69799999963</v>
      </c>
      <c r="AB59" s="246">
        <f t="shared" si="164"/>
        <v>167712.86800000025</v>
      </c>
      <c r="AC59" s="246">
        <f t="shared" si="164"/>
        <v>263227.98100000119</v>
      </c>
      <c r="AD59" s="299">
        <f t="shared" ref="AD59:AI59" si="165">AD57+AD58</f>
        <v>170616.92700000014</v>
      </c>
      <c r="AE59" s="255">
        <f t="shared" si="165"/>
        <v>209488.56699999969</v>
      </c>
      <c r="AF59" s="299">
        <f t="shared" si="165"/>
        <v>148291.74799999979</v>
      </c>
      <c r="AG59" s="349">
        <f t="shared" si="165"/>
        <v>177077.19600000011</v>
      </c>
      <c r="AH59" s="299">
        <f t="shared" si="165"/>
        <v>95361.891000000178</v>
      </c>
      <c r="AI59" s="255">
        <f t="shared" si="165"/>
        <v>-141908.51900000009</v>
      </c>
      <c r="AJ59" s="299">
        <f t="shared" ref="AJ59:AO59" si="166">AJ57+AJ58</f>
        <v>64913.309000000823</v>
      </c>
      <c r="AK59" s="349">
        <f t="shared" si="166"/>
        <v>348087.75999999919</v>
      </c>
      <c r="AL59" s="299">
        <f t="shared" si="166"/>
        <v>242125.32900000003</v>
      </c>
      <c r="AM59" s="255">
        <f t="shared" si="166"/>
        <v>246240.72299999988</v>
      </c>
      <c r="AN59" s="299">
        <f t="shared" si="166"/>
        <v>271701.46499999973</v>
      </c>
      <c r="AO59" s="349">
        <f t="shared" si="166"/>
        <v>356684.68900000001</v>
      </c>
      <c r="AP59" s="299">
        <f t="shared" ref="AP59:AU59" si="167">AP57+AP58</f>
        <v>171640.55900000001</v>
      </c>
      <c r="AQ59" s="255">
        <f t="shared" si="167"/>
        <v>149187.25300000003</v>
      </c>
      <c r="AR59" s="299">
        <f t="shared" si="167"/>
        <v>66957.323999999557</v>
      </c>
      <c r="AS59" s="349">
        <f t="shared" si="167"/>
        <v>47526.60000000021</v>
      </c>
      <c r="AT59" s="299">
        <f t="shared" si="167"/>
        <v>2585.5210000000661</v>
      </c>
      <c r="AU59" s="255">
        <f t="shared" si="167"/>
        <v>43024.239999999409</v>
      </c>
      <c r="AV59" s="299">
        <f t="shared" ref="AV59:BA59" si="168">AV57+AV58</f>
        <v>64876.876000000746</v>
      </c>
      <c r="AW59" s="349">
        <f t="shared" si="168"/>
        <v>172701.9580000001</v>
      </c>
      <c r="AX59" s="299">
        <f t="shared" si="168"/>
        <v>200330.69399999978</v>
      </c>
      <c r="AY59" s="255">
        <f t="shared" si="168"/>
        <v>229038.49399999925</v>
      </c>
      <c r="AZ59" s="299">
        <f t="shared" si="168"/>
        <v>234914.55000000028</v>
      </c>
      <c r="BA59" s="349">
        <f t="shared" si="168"/>
        <v>400961.3400000002</v>
      </c>
      <c r="BB59" s="299">
        <f>BB57+BB58</f>
        <v>378017.44599999976</v>
      </c>
      <c r="BC59" s="255">
        <f>BC57+BC58</f>
        <v>379555.2980000003</v>
      </c>
      <c r="BD59" s="299">
        <f>BD57+BD58</f>
        <v>319524.25000000012</v>
      </c>
      <c r="BE59" s="349">
        <f>BE57+BE58</f>
        <v>487365.56899999967</v>
      </c>
      <c r="BF59" s="299">
        <f>BF57+BF58</f>
        <v>447747.32099999976</v>
      </c>
      <c r="BG59" s="142"/>
      <c r="BH59" s="299">
        <f>BH57+BH58</f>
        <v>218955.29000000004</v>
      </c>
      <c r="BI59" s="299">
        <f>BI57+BI58</f>
        <v>228948.50400000007</v>
      </c>
      <c r="BJ59" s="299">
        <f>BJ57+BJ58</f>
        <v>167377.44999999949</v>
      </c>
      <c r="BK59" s="246">
        <f>BK57+BK58</f>
        <v>263131.1589999994</v>
      </c>
      <c r="BL59" s="299">
        <f>BL57+BL58</f>
        <v>170616.92700000026</v>
      </c>
      <c r="BM59" s="299"/>
      <c r="BN59" s="249">
        <f t="shared" ref="BN59:BS59" si="169">BN57+BN58</f>
        <v>406257.90199999977</v>
      </c>
      <c r="BO59" s="249">
        <f t="shared" si="169"/>
        <v>439899.61800000002</v>
      </c>
      <c r="BP59" s="249">
        <f t="shared" si="169"/>
        <v>448073.96699999995</v>
      </c>
      <c r="BQ59" s="249">
        <f t="shared" si="169"/>
        <v>380105.49399999995</v>
      </c>
      <c r="BR59" s="249">
        <f t="shared" si="169"/>
        <v>-46546.628000000026</v>
      </c>
      <c r="BS59" s="249">
        <f t="shared" si="169"/>
        <v>488366.05199999944</v>
      </c>
      <c r="BT59" s="249">
        <f>BT57+BT58</f>
        <v>320827.81199999945</v>
      </c>
      <c r="BU59" s="249">
        <f>BU57+BU58</f>
        <v>45609.760999999475</v>
      </c>
      <c r="BV59" s="249">
        <f>BV57+BV58</f>
        <v>390134.00999999908</v>
      </c>
      <c r="BW59" s="249">
        <f>BW57+BW58</f>
        <v>722005.42599999998</v>
      </c>
      <c r="BX59" s="249"/>
      <c r="BY59" s="249">
        <f>BY57+BY58</f>
        <v>447903.79399999999</v>
      </c>
      <c r="BZ59" s="249">
        <f>BZ57+BZ58</f>
        <v>380105.49399999995</v>
      </c>
      <c r="CA59" s="249"/>
      <c r="CC59" s="203"/>
      <c r="CG59" s="260"/>
    </row>
    <row r="60" spans="2:85" ht="13.5" customHeight="1">
      <c r="B60" s="1" t="s">
        <v>330</v>
      </c>
      <c r="C60" s="247">
        <f>-C42+C104</f>
        <v>204442.68700000001</v>
      </c>
      <c r="D60" s="247">
        <f>-D42+D104</f>
        <v>243797.353</v>
      </c>
      <c r="E60" s="247">
        <f>-E42+E104</f>
        <v>262189.78399999999</v>
      </c>
      <c r="F60" s="256">
        <f t="shared" ref="F60:K60" si="170">-F42+F104</f>
        <v>286771</v>
      </c>
      <c r="G60" s="256">
        <f t="shared" si="170"/>
        <v>286771</v>
      </c>
      <c r="H60" s="256">
        <f t="shared" si="170"/>
        <v>325331</v>
      </c>
      <c r="I60" s="256">
        <f t="shared" si="170"/>
        <v>325331</v>
      </c>
      <c r="J60" s="256">
        <f t="shared" si="170"/>
        <v>435861</v>
      </c>
      <c r="K60" s="256">
        <f t="shared" si="170"/>
        <v>462001</v>
      </c>
      <c r="L60" s="256">
        <f>-L42+L104</f>
        <v>467483</v>
      </c>
      <c r="M60" s="256">
        <f>-M42+M104</f>
        <v>505107</v>
      </c>
      <c r="N60" s="256">
        <f>-N42+N104</f>
        <v>497959.50599999999</v>
      </c>
      <c r="O60" s="256">
        <f>-O42+O104</f>
        <v>506142.41700000002</v>
      </c>
      <c r="P60" s="256">
        <f>-P42+P104</f>
        <v>497412.91800000001</v>
      </c>
      <c r="Q60" s="256"/>
      <c r="R60" s="247">
        <f>-R42+R104</f>
        <v>62543.8</v>
      </c>
      <c r="S60" s="251">
        <f>BN60-R60</f>
        <v>65219.078999999998</v>
      </c>
      <c r="T60" s="247">
        <f>-T42+T104</f>
        <v>66030.92</v>
      </c>
      <c r="U60" s="247">
        <f>-U42+U104</f>
        <v>68395.985000000001</v>
      </c>
      <c r="V60" s="247">
        <f>-V42+V104</f>
        <v>68770.031999999992</v>
      </c>
      <c r="W60" s="247">
        <f>BO60-V60</f>
        <v>70716.638000000021</v>
      </c>
      <c r="X60" s="63">
        <f>-X42+X104</f>
        <v>72071.98</v>
      </c>
      <c r="Y60" s="63">
        <f>-Y42+Y104</f>
        <v>75212.35000000002</v>
      </c>
      <c r="Z60" s="247">
        <f>-Z42+Z104</f>
        <v>76709.130999999994</v>
      </c>
      <c r="AA60" s="256">
        <f>BP60-Z60</f>
        <v>77138.85500000001</v>
      </c>
      <c r="AB60" s="247">
        <f>-AB42+AB104</f>
        <v>82668.989000000001</v>
      </c>
      <c r="AC60" s="247">
        <f>-AC42+AC104</f>
        <v>88814.024999999994</v>
      </c>
      <c r="AD60" s="277">
        <f>-AD42+AD104</f>
        <v>108622</v>
      </c>
      <c r="AE60" s="256">
        <f>BQ60-AD60</f>
        <v>106409</v>
      </c>
      <c r="AF60" s="277">
        <f>-AF42+AF104</f>
        <v>109994</v>
      </c>
      <c r="AG60" s="348">
        <f>-AG42+AG104</f>
        <v>110836</v>
      </c>
      <c r="AH60" s="277">
        <f>-AH42+AH104</f>
        <v>116136</v>
      </c>
      <c r="AI60" s="256">
        <f>BR60-AH60</f>
        <v>116315</v>
      </c>
      <c r="AJ60" s="277">
        <f>-AJ42+AJ104</f>
        <v>114369</v>
      </c>
      <c r="AK60" s="348">
        <f>-AK42+AK104</f>
        <v>115180.99999999997</v>
      </c>
      <c r="AL60" s="277">
        <f>-AL42+AL104</f>
        <v>110117</v>
      </c>
      <c r="AM60" s="256">
        <f>BS60-AL60</f>
        <v>112753</v>
      </c>
      <c r="AN60" s="277">
        <f>-AN42+AN104</f>
        <v>118242</v>
      </c>
      <c r="AO60" s="348">
        <f>-AO42+AO104</f>
        <v>126370.99999999997</v>
      </c>
      <c r="AP60" s="277">
        <f>-AP42+AP104</f>
        <v>120513</v>
      </c>
      <c r="AQ60" s="256">
        <f>BT60-AP60</f>
        <v>95398</v>
      </c>
      <c r="AR60" s="277">
        <f>-AR42+AR104</f>
        <v>123114.909</v>
      </c>
      <c r="AS60" s="348">
        <f>-AS42+AS104</f>
        <v>166081.09100000001</v>
      </c>
      <c r="AT60" s="277">
        <f>-AT42+AT104</f>
        <v>124391</v>
      </c>
      <c r="AU60" s="25">
        <f>BU60-AT60</f>
        <v>97691</v>
      </c>
      <c r="AV60" s="277">
        <f>-AV42+AV104</f>
        <v>126891.879</v>
      </c>
      <c r="AW60" s="348">
        <f>-AW42+AW104</f>
        <v>148985.62700000001</v>
      </c>
      <c r="AX60" s="277">
        <f>-AX42+AX104</f>
        <v>126960.516</v>
      </c>
      <c r="AY60" s="25">
        <f>BV60-AX60</f>
        <v>104712.484</v>
      </c>
      <c r="AZ60" s="277">
        <f>-AZ42+AZ104</f>
        <v>122271.454</v>
      </c>
      <c r="BA60" s="348">
        <f>-BA42+BA104</f>
        <v>152197.96300000002</v>
      </c>
      <c r="BB60" s="277">
        <f>-BB42+BB104</f>
        <v>119114.00599999999</v>
      </c>
      <c r="BC60" s="25">
        <f>BW60-BB60</f>
        <v>102740.99400000001</v>
      </c>
      <c r="BD60" s="277">
        <f>-BD42+BD104</f>
        <v>123319.337</v>
      </c>
      <c r="BE60" s="348">
        <f>-BE42+BE104</f>
        <v>152238.58099999998</v>
      </c>
      <c r="BF60" s="277">
        <f>-BF42+BF104</f>
        <v>-104034.22500000001</v>
      </c>
      <c r="BG60" s="142"/>
      <c r="BH60" s="277">
        <f>-BH42+BH104</f>
        <v>77075</v>
      </c>
      <c r="BI60" s="277">
        <f>-BI42+BI104</f>
        <v>76711</v>
      </c>
      <c r="BJ60" s="277">
        <f>-BJ42+BJ104</f>
        <v>82731</v>
      </c>
      <c r="BK60" s="247">
        <f>-BK42+BK104</f>
        <v>88814.024999999994</v>
      </c>
      <c r="BL60" s="277">
        <f>-BL42+BL104</f>
        <v>108622</v>
      </c>
      <c r="BM60" s="277"/>
      <c r="BN60" s="251">
        <f t="shared" ref="BN60:BS60" si="171">-BN42+BN104</f>
        <v>127762.879</v>
      </c>
      <c r="BO60" s="251">
        <f t="shared" si="171"/>
        <v>139486.67000000001</v>
      </c>
      <c r="BP60" s="251">
        <f t="shared" si="171"/>
        <v>153847.986</v>
      </c>
      <c r="BQ60" s="251">
        <f t="shared" si="171"/>
        <v>215031</v>
      </c>
      <c r="BR60" s="251">
        <f t="shared" si="171"/>
        <v>232451</v>
      </c>
      <c r="BS60" s="251">
        <f t="shared" si="171"/>
        <v>222870</v>
      </c>
      <c r="BT60" s="251">
        <f>-BT42+BT104</f>
        <v>215911</v>
      </c>
      <c r="BU60" s="251">
        <f>-BU42+BU104</f>
        <v>222082</v>
      </c>
      <c r="BV60" s="251">
        <f>-BV42+BV104</f>
        <v>231673</v>
      </c>
      <c r="BW60" s="251">
        <f>-BW42+BW104</f>
        <v>221855</v>
      </c>
      <c r="BX60" s="251"/>
      <c r="BY60" s="251">
        <f>-BY42+BY104</f>
        <v>153786</v>
      </c>
      <c r="BZ60" s="251">
        <f>-BZ42+BZ104</f>
        <v>215031</v>
      </c>
      <c r="CA60" s="251"/>
      <c r="CC60" s="203"/>
      <c r="CG60" s="260"/>
    </row>
    <row r="61" spans="2:85" ht="13.5" customHeight="1">
      <c r="B61" s="5" t="s">
        <v>331</v>
      </c>
      <c r="C61" s="246">
        <f>C59+C60</f>
        <v>1014807.5759999998</v>
      </c>
      <c r="D61" s="246">
        <f>D59+D60</f>
        <v>1113884.0019999994</v>
      </c>
      <c r="E61" s="246">
        <f>E59+E60</f>
        <v>1151480.8739999994</v>
      </c>
      <c r="F61" s="255">
        <f t="shared" ref="F61:K61" si="172">F59+F60</f>
        <v>1213960.6010000003</v>
      </c>
      <c r="G61" s="255">
        <f t="shared" si="172"/>
        <v>1216360.27</v>
      </c>
      <c r="H61" s="255">
        <f t="shared" si="172"/>
        <v>1204345.8159999996</v>
      </c>
      <c r="I61" s="255">
        <f t="shared" si="172"/>
        <v>1204248.9940000004</v>
      </c>
      <c r="J61" s="255">
        <f t="shared" si="172"/>
        <v>1141335.4380000001</v>
      </c>
      <c r="K61" s="255">
        <f t="shared" si="172"/>
        <v>828455.44100000011</v>
      </c>
      <c r="L61" s="255">
        <f>L59+L60</f>
        <v>1584235.2060000002</v>
      </c>
      <c r="M61" s="255">
        <f>M59+M60</f>
        <v>940418.73600000003</v>
      </c>
      <c r="N61" s="255">
        <f>N59+N60</f>
        <v>861877.11299999943</v>
      </c>
      <c r="O61" s="255">
        <f>O59+O60</f>
        <v>1571387.4949999996</v>
      </c>
      <c r="P61" s="255">
        <f>P59+P60</f>
        <v>2061875.4810000011</v>
      </c>
      <c r="Q61" s="255"/>
      <c r="R61" s="246">
        <f t="shared" ref="R61:W61" si="173">R59+R60</f>
        <v>254206.33899999998</v>
      </c>
      <c r="S61" s="249">
        <f t="shared" si="173"/>
        <v>279814.44199999969</v>
      </c>
      <c r="T61" s="246">
        <f t="shared" si="173"/>
        <v>252401.57800000004</v>
      </c>
      <c r="U61" s="246">
        <f t="shared" si="173"/>
        <v>365058.51500000025</v>
      </c>
      <c r="V61" s="246">
        <f t="shared" si="173"/>
        <v>284793.41100000008</v>
      </c>
      <c r="W61" s="246">
        <f t="shared" si="173"/>
        <v>294592.87700000009</v>
      </c>
      <c r="X61" s="121">
        <f t="shared" ref="X61:AC61" si="174">X59+X60</f>
        <v>248234.70700000029</v>
      </c>
      <c r="Y61" s="246">
        <f t="shared" si="174"/>
        <v>386339.60600000067</v>
      </c>
      <c r="Z61" s="246">
        <f t="shared" si="174"/>
        <v>295702.4000000002</v>
      </c>
      <c r="AA61" s="255">
        <f t="shared" si="174"/>
        <v>306219.55299999961</v>
      </c>
      <c r="AB61" s="246">
        <f t="shared" si="174"/>
        <v>250381.85700000025</v>
      </c>
      <c r="AC61" s="246">
        <f t="shared" si="174"/>
        <v>352042.00600000122</v>
      </c>
      <c r="AD61" s="299">
        <f t="shared" ref="AD61:AI61" si="175">AD59+AD60</f>
        <v>279238.92700000014</v>
      </c>
      <c r="AE61" s="255">
        <f t="shared" si="175"/>
        <v>315897.56699999969</v>
      </c>
      <c r="AF61" s="299">
        <f t="shared" si="175"/>
        <v>258285.74799999979</v>
      </c>
      <c r="AG61" s="349">
        <f t="shared" si="175"/>
        <v>287913.19600000011</v>
      </c>
      <c r="AH61" s="299">
        <f t="shared" si="175"/>
        <v>211497.89100000018</v>
      </c>
      <c r="AI61" s="255">
        <f t="shared" si="175"/>
        <v>-25593.519000000088</v>
      </c>
      <c r="AJ61" s="299">
        <f t="shared" ref="AJ61:AO61" si="176">AJ59+AJ60</f>
        <v>179282.30900000082</v>
      </c>
      <c r="AK61" s="349">
        <f t="shared" si="176"/>
        <v>463268.75999999919</v>
      </c>
      <c r="AL61" s="299">
        <f t="shared" si="176"/>
        <v>352242.32900000003</v>
      </c>
      <c r="AM61" s="255">
        <f t="shared" si="176"/>
        <v>358993.72299999988</v>
      </c>
      <c r="AN61" s="299">
        <f t="shared" si="176"/>
        <v>389943.46499999973</v>
      </c>
      <c r="AO61" s="349">
        <f t="shared" si="176"/>
        <v>483055.68900000001</v>
      </c>
      <c r="AP61" s="299">
        <f t="shared" ref="AP61:AU61" si="177">AP59+AP60</f>
        <v>292153.55900000001</v>
      </c>
      <c r="AQ61" s="255">
        <f t="shared" si="177"/>
        <v>244585.25300000003</v>
      </c>
      <c r="AR61" s="299">
        <f t="shared" si="177"/>
        <v>190072.23299999954</v>
      </c>
      <c r="AS61" s="349">
        <f t="shared" si="177"/>
        <v>213607.69100000022</v>
      </c>
      <c r="AT61" s="299">
        <f t="shared" si="177"/>
        <v>126976.52100000007</v>
      </c>
      <c r="AU61" s="255">
        <f t="shared" si="177"/>
        <v>140715.23999999941</v>
      </c>
      <c r="AV61" s="299">
        <f t="shared" ref="AV61:BA61" si="178">AV59+AV60</f>
        <v>191768.75500000076</v>
      </c>
      <c r="AW61" s="349">
        <f t="shared" si="178"/>
        <v>321687.58500000008</v>
      </c>
      <c r="AX61" s="299">
        <f t="shared" si="178"/>
        <v>327291.20999999979</v>
      </c>
      <c r="AY61" s="255">
        <f t="shared" si="178"/>
        <v>333750.97799999925</v>
      </c>
      <c r="AZ61" s="299">
        <f t="shared" si="178"/>
        <v>357186.00400000031</v>
      </c>
      <c r="BA61" s="349">
        <f t="shared" si="178"/>
        <v>553159.30300000019</v>
      </c>
      <c r="BB61" s="299">
        <f>BB59+BB60</f>
        <v>497131.45199999976</v>
      </c>
      <c r="BC61" s="255">
        <f>BC59+BC60</f>
        <v>482296.29200000031</v>
      </c>
      <c r="BD61" s="299">
        <f>BD59+BD60</f>
        <v>442843.58700000012</v>
      </c>
      <c r="BE61" s="349">
        <f>BE59+BE60</f>
        <v>639604.14999999967</v>
      </c>
      <c r="BF61" s="299">
        <f>BF59+BF60</f>
        <v>343713.09599999979</v>
      </c>
      <c r="BG61" s="142"/>
      <c r="BH61" s="299">
        <f>BH59+BH60</f>
        <v>296030.29000000004</v>
      </c>
      <c r="BI61" s="299">
        <f>BI59+BI60</f>
        <v>305659.50400000007</v>
      </c>
      <c r="BJ61" s="299">
        <f>BJ59+BJ60</f>
        <v>250108.44999999949</v>
      </c>
      <c r="BK61" s="246">
        <f>BK59+BK60</f>
        <v>351945.18399999943</v>
      </c>
      <c r="BL61" s="299">
        <f>BL59+BL60</f>
        <v>279238.92700000026</v>
      </c>
      <c r="BM61" s="299"/>
      <c r="BN61" s="249">
        <f t="shared" ref="BN61:BS61" si="179">BN59+BN60</f>
        <v>534020.78099999973</v>
      </c>
      <c r="BO61" s="249">
        <f t="shared" si="179"/>
        <v>579386.28800000006</v>
      </c>
      <c r="BP61" s="249">
        <f t="shared" si="179"/>
        <v>601921.95299999998</v>
      </c>
      <c r="BQ61" s="249">
        <f t="shared" si="179"/>
        <v>595136.49399999995</v>
      </c>
      <c r="BR61" s="249">
        <f t="shared" si="179"/>
        <v>185904.37199999997</v>
      </c>
      <c r="BS61" s="249">
        <f t="shared" si="179"/>
        <v>711236.05199999944</v>
      </c>
      <c r="BT61" s="249">
        <f>BT59+BT60</f>
        <v>536738.81199999945</v>
      </c>
      <c r="BU61" s="249">
        <f>BU59+BU60</f>
        <v>267691.76099999947</v>
      </c>
      <c r="BV61" s="249">
        <f>BV59+BV60</f>
        <v>621807.00999999908</v>
      </c>
      <c r="BW61" s="249">
        <f>BW59+BW60</f>
        <v>943860.42599999998</v>
      </c>
      <c r="BX61" s="249"/>
      <c r="BY61" s="249">
        <f>BY59+BY60</f>
        <v>601689.79399999999</v>
      </c>
      <c r="BZ61" s="249">
        <f>BZ59+BZ60</f>
        <v>595136.49399999995</v>
      </c>
      <c r="CA61" s="249"/>
      <c r="CC61" s="203"/>
      <c r="CG61" s="260"/>
    </row>
    <row r="62" spans="2:85" ht="13.5" customHeight="1">
      <c r="B62" s="1" t="s">
        <v>332</v>
      </c>
      <c r="C62" s="247">
        <f>C16</f>
        <v>8506.2620000000006</v>
      </c>
      <c r="D62" s="247">
        <f>D16</f>
        <v>33749.211000000003</v>
      </c>
      <c r="E62" s="247">
        <f>E16</f>
        <v>160726.37700000001</v>
      </c>
      <c r="F62" s="256">
        <f t="shared" ref="F62:K62" si="180">F16</f>
        <v>5689.3950000000004</v>
      </c>
      <c r="G62" s="256">
        <f t="shared" si="180"/>
        <v>3289.7260000000001</v>
      </c>
      <c r="H62" s="256">
        <f t="shared" si="180"/>
        <v>24079.804</v>
      </c>
      <c r="I62" s="256">
        <f t="shared" si="180"/>
        <v>24657.249</v>
      </c>
      <c r="J62" s="256">
        <f t="shared" si="180"/>
        <v>20796.536</v>
      </c>
      <c r="K62" s="256">
        <f t="shared" si="180"/>
        <v>-45064.091999999997</v>
      </c>
      <c r="L62" s="256">
        <f>L16</f>
        <v>-29055.028999999999</v>
      </c>
      <c r="M62" s="256">
        <f>M16</f>
        <v>9378.9159999999993</v>
      </c>
      <c r="N62" s="256">
        <f>N16</f>
        <v>226571.06700000001</v>
      </c>
      <c r="O62" s="256">
        <f>O16</f>
        <v>195716.954</v>
      </c>
      <c r="P62" s="256">
        <f>P16</f>
        <v>1367762.03</v>
      </c>
      <c r="Q62" s="256"/>
      <c r="R62" s="247">
        <f>R16</f>
        <v>1161.9010000000001</v>
      </c>
      <c r="S62" s="251">
        <f>BN62-R62</f>
        <v>-648.15300000000002</v>
      </c>
      <c r="T62" s="247">
        <f>T16</f>
        <v>137097.21</v>
      </c>
      <c r="U62" s="247">
        <f>U16</f>
        <v>23115.419000000013</v>
      </c>
      <c r="V62" s="247">
        <f>V16</f>
        <v>-5889.723</v>
      </c>
      <c r="W62" s="247">
        <f>BO62-V62</f>
        <v>8506.9229999999989</v>
      </c>
      <c r="X62" s="63">
        <f>X16</f>
        <v>-1262.1129999999994</v>
      </c>
      <c r="Y62" s="247">
        <f>Y16</f>
        <v>4334.3080000000009</v>
      </c>
      <c r="Z62" s="247">
        <f>Z16</f>
        <v>-238.95599999999999</v>
      </c>
      <c r="AA62" s="256">
        <f>BP62-Z62</f>
        <v>-1554.962</v>
      </c>
      <c r="AB62" s="247">
        <f>AB16</f>
        <v>1351.1879999999999</v>
      </c>
      <c r="AC62" s="247">
        <f>AC16</f>
        <v>24522.534</v>
      </c>
      <c r="AD62" s="277">
        <f>AD16</f>
        <v>-573.83000000000004</v>
      </c>
      <c r="AE62" s="256">
        <f>BQ62-AD62</f>
        <v>9095.7289999999994</v>
      </c>
      <c r="AF62" s="277">
        <f>AF16</f>
        <v>3752.9060000000009</v>
      </c>
      <c r="AG62" s="348">
        <f>AG16</f>
        <v>8521.7309999999979</v>
      </c>
      <c r="AH62" s="277">
        <f>AH16</f>
        <v>310.26499999999999</v>
      </c>
      <c r="AI62" s="256">
        <f>BR62-AH62</f>
        <v>1451.5279999999998</v>
      </c>
      <c r="AJ62" s="277">
        <f>AJ16</f>
        <v>2162.3920000000003</v>
      </c>
      <c r="AK62" s="348">
        <f>AK16</f>
        <v>-48988.276999999995</v>
      </c>
      <c r="AL62" s="277">
        <f>AL16</f>
        <v>-4290.924</v>
      </c>
      <c r="AM62" s="256">
        <f>BS62-AL62</f>
        <v>-1470.8389999999999</v>
      </c>
      <c r="AN62" s="277">
        <f>AN16</f>
        <v>4315.6319999999996</v>
      </c>
      <c r="AO62" s="348">
        <f>AO16</f>
        <v>-27608.898000000001</v>
      </c>
      <c r="AP62" s="277">
        <f>AP16</f>
        <v>2016.356</v>
      </c>
      <c r="AQ62" s="256">
        <f>BT62-AP62</f>
        <v>83406.528000000006</v>
      </c>
      <c r="AR62" s="277">
        <f>AR16</f>
        <v>13267.174999999988</v>
      </c>
      <c r="AS62" s="348">
        <f>AS16</f>
        <v>-89311.142999999996</v>
      </c>
      <c r="AT62" s="277">
        <f>AT16</f>
        <v>5337</v>
      </c>
      <c r="AU62" s="25">
        <f>BU62-AT62</f>
        <v>170546.427</v>
      </c>
      <c r="AV62" s="277">
        <f>AV16</f>
        <v>5035.073000000004</v>
      </c>
      <c r="AW62" s="348">
        <f>AW16</f>
        <v>45652.56700000001</v>
      </c>
      <c r="AX62" s="277">
        <f>AX16</f>
        <v>8961.6849999999995</v>
      </c>
      <c r="AY62" s="25">
        <f>BV62-AX62</f>
        <v>114692.512</v>
      </c>
      <c r="AZ62" s="277">
        <f>AZ16</f>
        <v>6735.378999999999</v>
      </c>
      <c r="BA62" s="348">
        <f>BA16</f>
        <v>65327.378000000012</v>
      </c>
      <c r="BB62" s="277">
        <f>BB16</f>
        <v>8023.6329999999998</v>
      </c>
      <c r="BC62" s="25">
        <f>BW62-BB62</f>
        <v>432144.40900000004</v>
      </c>
      <c r="BD62" s="277">
        <f>BD16</f>
        <v>14402.382999999945</v>
      </c>
      <c r="BE62" s="348">
        <f>BE16</f>
        <v>913191.6050000001</v>
      </c>
      <c r="BF62" s="277">
        <f>BF16</f>
        <v>11524.834999999999</v>
      </c>
      <c r="BG62" s="142"/>
      <c r="BH62" s="277">
        <f>BH16</f>
        <v>-306.14999999999998</v>
      </c>
      <c r="BI62" s="277">
        <f>BI16</f>
        <v>-1334.1109999999999</v>
      </c>
      <c r="BJ62" s="277">
        <f>BJ16</f>
        <v>1761.0279999999998</v>
      </c>
      <c r="BK62" s="247">
        <f>BK16</f>
        <v>25099.978999999999</v>
      </c>
      <c r="BL62" s="277">
        <f>BL16</f>
        <v>-573.83000000000004</v>
      </c>
      <c r="BM62" s="277"/>
      <c r="BN62" s="251">
        <f t="shared" ref="BN62:BS62" si="181">BN16</f>
        <v>513.74800000000005</v>
      </c>
      <c r="BO62" s="251">
        <f t="shared" si="181"/>
        <v>2617.1999999999998</v>
      </c>
      <c r="BP62" s="251">
        <f t="shared" si="181"/>
        <v>-1793.9179999999999</v>
      </c>
      <c r="BQ62" s="251">
        <f t="shared" si="181"/>
        <v>8521.8989999999994</v>
      </c>
      <c r="BR62" s="251">
        <f t="shared" si="181"/>
        <v>1761.7929999999999</v>
      </c>
      <c r="BS62" s="251">
        <f t="shared" si="181"/>
        <v>-5761.7629999999999</v>
      </c>
      <c r="BT62" s="251">
        <f>BT16</f>
        <v>85422.884000000005</v>
      </c>
      <c r="BU62" s="251">
        <f>BU16</f>
        <v>175883.427</v>
      </c>
      <c r="BV62" s="251">
        <f>BV16</f>
        <v>123654.197</v>
      </c>
      <c r="BW62" s="251">
        <f>BW16</f>
        <v>440168.04200000002</v>
      </c>
      <c r="BX62" s="251"/>
      <c r="BY62" s="251">
        <f>BY16</f>
        <v>-1640.261</v>
      </c>
      <c r="BZ62" s="251">
        <f>BZ16</f>
        <v>8521.8989999999994</v>
      </c>
      <c r="CA62" s="251"/>
      <c r="CC62" s="203"/>
      <c r="CG62" s="260"/>
    </row>
    <row r="63" spans="2:85" ht="13.5" customHeight="1">
      <c r="B63" s="1" t="s">
        <v>333</v>
      </c>
      <c r="C63" s="248">
        <v>-160784</v>
      </c>
      <c r="D63" s="248">
        <v>-173619</v>
      </c>
      <c r="E63" s="248">
        <v>-218388</v>
      </c>
      <c r="F63" s="248">
        <v>-197522</v>
      </c>
      <c r="G63" s="248">
        <v>-197522</v>
      </c>
      <c r="H63" s="248">
        <v>-166719</v>
      </c>
      <c r="I63" s="248">
        <v>-167413</v>
      </c>
      <c r="J63" s="248">
        <v>-204454</v>
      </c>
      <c r="K63" s="248">
        <v>-215282</v>
      </c>
      <c r="L63" s="248">
        <v>-165948</v>
      </c>
      <c r="M63" s="248">
        <v>-401756</v>
      </c>
      <c r="N63" s="248">
        <v>-369467</v>
      </c>
      <c r="O63" s="248">
        <v>-310972</v>
      </c>
      <c r="P63" s="248">
        <v>-308608</v>
      </c>
      <c r="Q63" s="248"/>
      <c r="R63" s="248">
        <v>-56731</v>
      </c>
      <c r="S63" s="251">
        <f>BN63-R63</f>
        <v>-61712</v>
      </c>
      <c r="T63" s="248">
        <v>-50204</v>
      </c>
      <c r="U63" s="246">
        <f>E63-SUM(R63:T63)</f>
        <v>-49741</v>
      </c>
      <c r="V63" s="248">
        <v>-52310</v>
      </c>
      <c r="W63" s="247">
        <f>BO63-V63</f>
        <v>-46421</v>
      </c>
      <c r="X63" s="248">
        <v>-46798</v>
      </c>
      <c r="Y63" s="151">
        <f>F63-X63-W63-V63</f>
        <v>-51993</v>
      </c>
      <c r="Z63" s="248">
        <v>-52822</v>
      </c>
      <c r="AA63" s="256">
        <f>BP63-Z63</f>
        <v>-38084</v>
      </c>
      <c r="AB63" s="248">
        <v>-38439</v>
      </c>
      <c r="AC63" s="25">
        <f>H63-AB63-AA63-Z63</f>
        <v>-37374</v>
      </c>
      <c r="AD63" s="297">
        <v>-49829</v>
      </c>
      <c r="AE63" s="256">
        <f>BQ63-AD63</f>
        <v>-61623</v>
      </c>
      <c r="AF63" s="297">
        <v>-34388</v>
      </c>
      <c r="AG63" s="25">
        <f>J63-AF63-AE63-AD63</f>
        <v>-58614</v>
      </c>
      <c r="AH63" s="297">
        <v>-35206</v>
      </c>
      <c r="AI63" s="256">
        <f>BR63-AH63</f>
        <v>-41299</v>
      </c>
      <c r="AJ63" s="297">
        <v>-52270</v>
      </c>
      <c r="AK63" s="25">
        <f>K63-AJ63-AI63-AH63</f>
        <v>-86507</v>
      </c>
      <c r="AL63" s="297">
        <v>-38685</v>
      </c>
      <c r="AM63" s="256">
        <f>BS63-AL63</f>
        <v>-43786</v>
      </c>
      <c r="AN63" s="297">
        <v>1299</v>
      </c>
      <c r="AO63" s="25">
        <f>L63-AN63-AM63-AL63</f>
        <v>-84776</v>
      </c>
      <c r="AP63" s="297">
        <v>-130226</v>
      </c>
      <c r="AQ63" s="256">
        <f>BT63-AP63</f>
        <v>-68957</v>
      </c>
      <c r="AR63" s="297">
        <v>-86822</v>
      </c>
      <c r="AS63" s="25">
        <f>M63-AR63-AQ63-AP63</f>
        <v>-115751</v>
      </c>
      <c r="AT63" s="297">
        <v>-91421</v>
      </c>
      <c r="AU63" s="25">
        <f>BU63-AT63</f>
        <v>-104525</v>
      </c>
      <c r="AV63" s="297">
        <v>-65503</v>
      </c>
      <c r="AW63" s="25">
        <f>N63-AV63-AU63-AT63</f>
        <v>-108018</v>
      </c>
      <c r="AX63" s="297">
        <v>-76652</v>
      </c>
      <c r="AY63" s="25">
        <f>BV63-AX63</f>
        <v>-86229</v>
      </c>
      <c r="AZ63" s="297">
        <v>-85130</v>
      </c>
      <c r="BA63" s="25">
        <f>O63-AZ63-AY63-AX63</f>
        <v>-62961</v>
      </c>
      <c r="BB63" s="297">
        <v>-92136</v>
      </c>
      <c r="BC63" s="25">
        <f>BW63-BB63</f>
        <v>-81249.796999999991</v>
      </c>
      <c r="BD63" s="297">
        <v>-56312</v>
      </c>
      <c r="BE63" s="25">
        <f>P63-BD63-BC63-BB63</f>
        <v>-78910.203000000009</v>
      </c>
      <c r="BF63" s="297">
        <v>-50921</v>
      </c>
      <c r="BG63" s="142"/>
      <c r="BH63" s="297">
        <v>-52740</v>
      </c>
      <c r="BI63" s="63">
        <f>BY63-BH63</f>
        <v>-38234</v>
      </c>
      <c r="BJ63" s="297">
        <v>-38773</v>
      </c>
      <c r="BK63" s="25">
        <f>I63-Z63-AB63-AA63</f>
        <v>-38068</v>
      </c>
      <c r="BL63" s="297">
        <v>-49829</v>
      </c>
      <c r="BM63" s="297"/>
      <c r="BN63" s="250">
        <v>-118443</v>
      </c>
      <c r="BO63" s="250">
        <v>-98731</v>
      </c>
      <c r="BP63" s="250">
        <v>-90906</v>
      </c>
      <c r="BQ63" s="250">
        <v>-111452</v>
      </c>
      <c r="BR63" s="250">
        <v>-76505</v>
      </c>
      <c r="BS63" s="250">
        <v>-82471</v>
      </c>
      <c r="BT63" s="250">
        <v>-199183</v>
      </c>
      <c r="BU63" s="250">
        <v>-195946</v>
      </c>
      <c r="BV63" s="250">
        <v>-162881</v>
      </c>
      <c r="BW63" s="250">
        <v>-173385.79699999999</v>
      </c>
      <c r="BX63" s="250"/>
      <c r="BY63" s="250">
        <v>-90974</v>
      </c>
      <c r="BZ63" s="250">
        <v>-111452</v>
      </c>
      <c r="CA63" s="250"/>
      <c r="CC63" s="203"/>
      <c r="CG63" s="260"/>
    </row>
    <row r="64" spans="2:85" ht="13.5" customHeight="1">
      <c r="B64" s="1" t="s">
        <v>334</v>
      </c>
      <c r="C64" s="248">
        <v>26514</v>
      </c>
      <c r="D64" s="248">
        <v>25804</v>
      </c>
      <c r="E64" s="248">
        <v>21756</v>
      </c>
      <c r="F64" s="248">
        <v>15749</v>
      </c>
      <c r="G64" s="248">
        <v>15749</v>
      </c>
      <c r="H64" s="248">
        <v>7643</v>
      </c>
      <c r="I64" s="248">
        <v>7643</v>
      </c>
      <c r="J64" s="248">
        <v>1172</v>
      </c>
      <c r="K64" s="248">
        <v>4288</v>
      </c>
      <c r="L64" s="248">
        <v>23194</v>
      </c>
      <c r="M64" s="248">
        <v>17901</v>
      </c>
      <c r="N64" s="248">
        <v>19932</v>
      </c>
      <c r="O64" s="248">
        <v>25687</v>
      </c>
      <c r="P64" s="248">
        <v>31358</v>
      </c>
      <c r="Q64" s="248"/>
      <c r="R64" s="248">
        <v>5708</v>
      </c>
      <c r="S64" s="251">
        <f>BN64-R64</f>
        <v>5741</v>
      </c>
      <c r="T64" s="248">
        <v>4428</v>
      </c>
      <c r="U64" s="246">
        <f>E64-SUM(R64:T64)</f>
        <v>5879</v>
      </c>
      <c r="V64" s="248">
        <v>4436</v>
      </c>
      <c r="W64" s="247">
        <f>BO64-V64</f>
        <v>3025</v>
      </c>
      <c r="X64" s="248">
        <v>2696</v>
      </c>
      <c r="Y64" s="151">
        <f>F64-X64-W64-V64</f>
        <v>5592</v>
      </c>
      <c r="Z64" s="248">
        <v>2475</v>
      </c>
      <c r="AA64" s="256">
        <f>BP64-Z64</f>
        <v>1899</v>
      </c>
      <c r="AB64" s="248">
        <v>1515</v>
      </c>
      <c r="AC64" s="25">
        <f>H64-AB64-AA64-Z64</f>
        <v>1754</v>
      </c>
      <c r="AD64" s="297">
        <v>995</v>
      </c>
      <c r="AE64" s="256">
        <f>BQ64-AD64</f>
        <v>-486</v>
      </c>
      <c r="AF64" s="297">
        <v>-426</v>
      </c>
      <c r="AG64" s="25">
        <f>J64-AF64-AE64-AD64</f>
        <v>1089</v>
      </c>
      <c r="AH64" s="297">
        <v>-2316</v>
      </c>
      <c r="AI64" s="256">
        <f>BR64-AH64</f>
        <v>-2526</v>
      </c>
      <c r="AJ64" s="297">
        <v>1693</v>
      </c>
      <c r="AK64" s="25">
        <f>K64-AJ64-AI64-AH64</f>
        <v>7437</v>
      </c>
      <c r="AL64" s="297">
        <v>5303</v>
      </c>
      <c r="AM64" s="256">
        <f>BS64-AL64</f>
        <v>3031</v>
      </c>
      <c r="AN64" s="297">
        <v>6087</v>
      </c>
      <c r="AO64" s="25">
        <f>L64-AN64-AM64-AL64</f>
        <v>8773</v>
      </c>
      <c r="AP64" s="297">
        <v>6160</v>
      </c>
      <c r="AQ64" s="256">
        <f>BT64-AP64</f>
        <v>5662</v>
      </c>
      <c r="AR64" s="297">
        <v>5538</v>
      </c>
      <c r="AS64" s="25">
        <f>M64-AR64-AQ64-AP64</f>
        <v>541</v>
      </c>
      <c r="AT64" s="297">
        <v>3832</v>
      </c>
      <c r="AU64" s="25">
        <f>BU64-AT64</f>
        <v>3122</v>
      </c>
      <c r="AV64" s="297">
        <v>6019</v>
      </c>
      <c r="AW64" s="25">
        <f>N64-AV64-AU64-AT64</f>
        <v>6959</v>
      </c>
      <c r="AX64" s="297">
        <v>5778</v>
      </c>
      <c r="AY64" s="25">
        <f>BV64-AX64</f>
        <v>4747</v>
      </c>
      <c r="AZ64" s="297">
        <v>7057</v>
      </c>
      <c r="BA64" s="25">
        <f>O64-AZ64-AY64-AX64</f>
        <v>8105</v>
      </c>
      <c r="BB64" s="297">
        <v>10277</v>
      </c>
      <c r="BC64" s="25">
        <f>BW64-BB64</f>
        <v>8568</v>
      </c>
      <c r="BD64" s="297">
        <v>8641</v>
      </c>
      <c r="BE64" s="25">
        <f>P64-BD64-BC64-BB64</f>
        <v>3872</v>
      </c>
      <c r="BF64" s="297">
        <v>12108</v>
      </c>
      <c r="BG64" s="142"/>
      <c r="BH64" s="297">
        <v>2475</v>
      </c>
      <c r="BI64" s="63">
        <f>BY64-BH64</f>
        <v>1899</v>
      </c>
      <c r="BJ64" s="297">
        <v>1515</v>
      </c>
      <c r="BK64" s="25">
        <f>I64-Z64-AB64-AA64</f>
        <v>1754</v>
      </c>
      <c r="BL64" s="297">
        <v>995</v>
      </c>
      <c r="BM64" s="297"/>
      <c r="BN64" s="250">
        <v>11449</v>
      </c>
      <c r="BO64" s="250">
        <v>7461</v>
      </c>
      <c r="BP64" s="250">
        <v>4374</v>
      </c>
      <c r="BQ64" s="250">
        <v>509</v>
      </c>
      <c r="BR64" s="250">
        <v>-4842</v>
      </c>
      <c r="BS64" s="250">
        <v>8334</v>
      </c>
      <c r="BT64" s="250">
        <v>11822</v>
      </c>
      <c r="BU64" s="250">
        <v>6954</v>
      </c>
      <c r="BV64" s="250">
        <v>10525</v>
      </c>
      <c r="BW64" s="250">
        <v>18845</v>
      </c>
      <c r="BX64" s="250"/>
      <c r="BY64" s="250">
        <v>4374</v>
      </c>
      <c r="BZ64" s="250">
        <v>509</v>
      </c>
      <c r="CA64" s="250"/>
      <c r="CC64" s="203"/>
      <c r="CG64" s="260"/>
    </row>
    <row r="65" spans="2:85" ht="13.5" customHeight="1">
      <c r="B65" s="1" t="s">
        <v>335</v>
      </c>
      <c r="C65" s="248">
        <v>-40227</v>
      </c>
      <c r="D65" s="248">
        <v>-18209</v>
      </c>
      <c r="E65" s="248">
        <v>3637</v>
      </c>
      <c r="F65" s="248">
        <v>-466</v>
      </c>
      <c r="G65" s="248">
        <v>-466</v>
      </c>
      <c r="H65" s="248">
        <v>-15793</v>
      </c>
      <c r="I65" s="248">
        <v>-15581</v>
      </c>
      <c r="J65" s="248">
        <v>-22065</v>
      </c>
      <c r="K65" s="248">
        <v>-29086</v>
      </c>
      <c r="L65" s="248">
        <v>-41110</v>
      </c>
      <c r="M65" s="248">
        <v>-7707</v>
      </c>
      <c r="N65" s="248">
        <f>38739</f>
        <v>38739</v>
      </c>
      <c r="O65" s="248">
        <v>-2549</v>
      </c>
      <c r="P65" s="248">
        <v>44438</v>
      </c>
      <c r="Q65" s="248"/>
      <c r="R65" s="248">
        <v>17</v>
      </c>
      <c r="S65" s="251">
        <f>BN65-R65</f>
        <v>6424</v>
      </c>
      <c r="T65" s="248">
        <v>-2947</v>
      </c>
      <c r="U65" s="246">
        <f>E65-SUM(R65:T65)</f>
        <v>143</v>
      </c>
      <c r="V65" s="248">
        <v>2317</v>
      </c>
      <c r="W65" s="247">
        <f>BO65-V65</f>
        <v>-3157</v>
      </c>
      <c r="X65" s="248">
        <v>1918</v>
      </c>
      <c r="Y65" s="151">
        <f>F65-X65-W65-V65</f>
        <v>-1544</v>
      </c>
      <c r="Z65" s="248">
        <v>617</v>
      </c>
      <c r="AA65" s="256">
        <f>BP65-Z65</f>
        <v>-6444</v>
      </c>
      <c r="AB65" s="248">
        <v>-11111</v>
      </c>
      <c r="AC65" s="25">
        <f>H65-AB65-AA65-Z65</f>
        <v>1145</v>
      </c>
      <c r="AD65" s="297">
        <v>511</v>
      </c>
      <c r="AE65" s="256">
        <f>BQ65-AD65</f>
        <v>733</v>
      </c>
      <c r="AF65" s="297">
        <v>-20839</v>
      </c>
      <c r="AG65" s="25">
        <f>J65-AF65-AE65-AD65</f>
        <v>-2470</v>
      </c>
      <c r="AH65" s="297">
        <v>-13189</v>
      </c>
      <c r="AI65" s="256">
        <f>BR65-AH65</f>
        <v>-8252</v>
      </c>
      <c r="AJ65" s="297">
        <v>-6378</v>
      </c>
      <c r="AK65" s="25">
        <f>K65-AJ65-AI65-AH65</f>
        <v>-1267</v>
      </c>
      <c r="AL65" s="297">
        <v>-15241</v>
      </c>
      <c r="AM65" s="256">
        <f>BS65-AL65</f>
        <v>-12016</v>
      </c>
      <c r="AN65" s="297">
        <v>-18231</v>
      </c>
      <c r="AO65" s="25">
        <f>L65-AN65-AM65-AL65</f>
        <v>4378</v>
      </c>
      <c r="AP65" s="297">
        <v>33228</v>
      </c>
      <c r="AQ65" s="256">
        <f>BT65-AP65</f>
        <v>-1456</v>
      </c>
      <c r="AR65" s="297">
        <v>-30572</v>
      </c>
      <c r="AS65" s="25">
        <f>M65-AR65-AQ65-AP65</f>
        <v>-8907</v>
      </c>
      <c r="AT65" s="297">
        <v>3037</v>
      </c>
      <c r="AU65" s="25">
        <f>BU65-AT65</f>
        <v>22811</v>
      </c>
      <c r="AV65" s="297">
        <v>-2480</v>
      </c>
      <c r="AW65" s="25">
        <f>N65-AV65-AU65-AT65</f>
        <v>15371</v>
      </c>
      <c r="AX65" s="297">
        <v>-2032</v>
      </c>
      <c r="AY65" s="25">
        <f>BV65-AX65</f>
        <v>-11345</v>
      </c>
      <c r="AZ65" s="297">
        <v>8944</v>
      </c>
      <c r="BA65" s="25">
        <f>O65-AZ65-AY65-AX65</f>
        <v>1884</v>
      </c>
      <c r="BB65" s="297">
        <v>12201</v>
      </c>
      <c r="BC65" s="25">
        <f>BW65-BB65</f>
        <v>12510</v>
      </c>
      <c r="BD65" s="297">
        <v>5485</v>
      </c>
      <c r="BE65" s="25">
        <f>P65-BD65-BC65-BB65</f>
        <v>14242</v>
      </c>
      <c r="BF65" s="297">
        <v>-10931</v>
      </c>
      <c r="BG65" s="142"/>
      <c r="BH65" s="297">
        <v>640</v>
      </c>
      <c r="BI65" s="63">
        <f>BY65-BH65</f>
        <v>-6382</v>
      </c>
      <c r="BJ65" s="297">
        <v>-10850</v>
      </c>
      <c r="BK65" s="25">
        <f>I65-Z65-AB65-AA65</f>
        <v>1357</v>
      </c>
      <c r="BL65" s="297">
        <v>511</v>
      </c>
      <c r="BM65" s="297"/>
      <c r="BN65" s="250">
        <v>6441</v>
      </c>
      <c r="BO65" s="250">
        <v>-840</v>
      </c>
      <c r="BP65" s="250">
        <v>-5827</v>
      </c>
      <c r="BQ65" s="250">
        <v>1244</v>
      </c>
      <c r="BR65" s="250">
        <v>-21441</v>
      </c>
      <c r="BS65" s="250">
        <v>-27257</v>
      </c>
      <c r="BT65" s="250">
        <v>31772</v>
      </c>
      <c r="BU65" s="250">
        <v>25848</v>
      </c>
      <c r="BV65" s="250">
        <v>-13377</v>
      </c>
      <c r="BW65" s="250">
        <v>24711</v>
      </c>
      <c r="BX65" s="250"/>
      <c r="BY65" s="250">
        <v>-5742</v>
      </c>
      <c r="BZ65" s="250">
        <v>1244</v>
      </c>
      <c r="CA65" s="250"/>
      <c r="CC65" s="203"/>
      <c r="CG65" s="260"/>
    </row>
    <row r="66" spans="2:85" ht="13.5" customHeight="1">
      <c r="B66" s="5" t="s">
        <v>336</v>
      </c>
      <c r="C66" s="249">
        <f t="shared" ref="C66:H66" si="182">SUM(C62:C65)</f>
        <v>-165990.73800000001</v>
      </c>
      <c r="D66" s="249">
        <f t="shared" si="182"/>
        <v>-132274.78899999999</v>
      </c>
      <c r="E66" s="249">
        <f t="shared" si="182"/>
        <v>-32268.622999999992</v>
      </c>
      <c r="F66" s="249">
        <f t="shared" si="182"/>
        <v>-176549.60500000001</v>
      </c>
      <c r="G66" s="249">
        <f t="shared" si="182"/>
        <v>-178949.274</v>
      </c>
      <c r="H66" s="249">
        <f t="shared" si="182"/>
        <v>-150789.196</v>
      </c>
      <c r="I66" s="249">
        <f t="shared" ref="I66:N66" si="183">SUM(I62:I65)</f>
        <v>-150693.75099999999</v>
      </c>
      <c r="J66" s="249">
        <f t="shared" si="183"/>
        <v>-204550.46400000001</v>
      </c>
      <c r="K66" s="249">
        <f t="shared" si="183"/>
        <v>-285144.092</v>
      </c>
      <c r="L66" s="249">
        <f t="shared" si="183"/>
        <v>-212919.02900000001</v>
      </c>
      <c r="M66" s="249">
        <f>SUM(M62:M65)</f>
        <v>-382183.08399999997</v>
      </c>
      <c r="N66" s="249">
        <f t="shared" si="183"/>
        <v>-84224.93299999999</v>
      </c>
      <c r="O66" s="249">
        <f>SUM(O62:O65)</f>
        <v>-92117.046000000002</v>
      </c>
      <c r="P66" s="249">
        <f>SUM(P62:P65)</f>
        <v>1134950.03</v>
      </c>
      <c r="Q66" s="249"/>
      <c r="R66" s="249">
        <f t="shared" ref="R66:X66" si="184">SUM(R62:R65)</f>
        <v>-49844.099000000002</v>
      </c>
      <c r="S66" s="249">
        <f t="shared" si="184"/>
        <v>-50195.152999999998</v>
      </c>
      <c r="T66" s="249">
        <f t="shared" si="184"/>
        <v>88374.209999999992</v>
      </c>
      <c r="U66" s="249">
        <f t="shared" si="184"/>
        <v>-20603.580999999987</v>
      </c>
      <c r="V66" s="249">
        <f t="shared" si="184"/>
        <v>-51446.722999999998</v>
      </c>
      <c r="W66" s="249">
        <f t="shared" si="184"/>
        <v>-38046.077000000005</v>
      </c>
      <c r="X66" s="249">
        <f t="shared" si="184"/>
        <v>-43446.112999999998</v>
      </c>
      <c r="Y66" s="249">
        <f t="shared" ref="Y66:AD66" si="185">SUM(Y62:Y65)</f>
        <v>-43610.691999999995</v>
      </c>
      <c r="Z66" s="249">
        <f t="shared" si="185"/>
        <v>-49968.955999999998</v>
      </c>
      <c r="AA66" s="257">
        <f t="shared" si="185"/>
        <v>-44183.962</v>
      </c>
      <c r="AB66" s="249">
        <f t="shared" si="185"/>
        <v>-46683.811999999998</v>
      </c>
      <c r="AC66" s="249">
        <f t="shared" si="185"/>
        <v>-9952.4660000000003</v>
      </c>
      <c r="AD66" s="249">
        <f t="shared" si="185"/>
        <v>-48896.83</v>
      </c>
      <c r="AE66" s="257">
        <f t="shared" ref="AE66:AJ66" si="186">SUM(AE62:AE65)</f>
        <v>-52280.271000000001</v>
      </c>
      <c r="AF66" s="249">
        <f t="shared" si="186"/>
        <v>-51900.093999999997</v>
      </c>
      <c r="AG66" s="249">
        <f t="shared" si="186"/>
        <v>-51473.269</v>
      </c>
      <c r="AH66" s="249">
        <f t="shared" si="186"/>
        <v>-50400.735000000001</v>
      </c>
      <c r="AI66" s="257">
        <f t="shared" si="186"/>
        <v>-50625.472000000002</v>
      </c>
      <c r="AJ66" s="249">
        <f t="shared" si="186"/>
        <v>-54792.608</v>
      </c>
      <c r="AK66" s="249">
        <f t="shared" ref="AK66:AP66" si="187">SUM(AK62:AK65)</f>
        <v>-129325.277</v>
      </c>
      <c r="AL66" s="249">
        <f t="shared" si="187"/>
        <v>-52913.923999999999</v>
      </c>
      <c r="AM66" s="257">
        <f t="shared" si="187"/>
        <v>-54241.839</v>
      </c>
      <c r="AN66" s="249">
        <f t="shared" si="187"/>
        <v>-6529.3680000000004</v>
      </c>
      <c r="AO66" s="249">
        <f t="shared" si="187"/>
        <v>-99233.898000000001</v>
      </c>
      <c r="AP66" s="249">
        <f t="shared" si="187"/>
        <v>-88821.644</v>
      </c>
      <c r="AQ66" s="257">
        <f t="shared" ref="AQ66:AV66" si="188">SUM(AQ62:AQ65)</f>
        <v>18655.528000000006</v>
      </c>
      <c r="AR66" s="249">
        <f t="shared" si="188"/>
        <v>-98588.825000000012</v>
      </c>
      <c r="AS66" s="249">
        <f t="shared" si="188"/>
        <v>-213428.14299999998</v>
      </c>
      <c r="AT66" s="249">
        <f t="shared" si="188"/>
        <v>-79215</v>
      </c>
      <c r="AU66" s="257">
        <f t="shared" si="188"/>
        <v>91954.426999999996</v>
      </c>
      <c r="AV66" s="249">
        <f t="shared" si="188"/>
        <v>-56928.926999999996</v>
      </c>
      <c r="AW66" s="249">
        <f t="shared" ref="AW66:BB66" si="189">SUM(AW62:AW65)</f>
        <v>-40035.43299999999</v>
      </c>
      <c r="AX66" s="249">
        <f t="shared" si="189"/>
        <v>-63944.315000000002</v>
      </c>
      <c r="AY66" s="257">
        <f t="shared" si="189"/>
        <v>21865.512000000002</v>
      </c>
      <c r="AZ66" s="249">
        <f t="shared" si="189"/>
        <v>-62393.620999999999</v>
      </c>
      <c r="BA66" s="249">
        <f t="shared" si="189"/>
        <v>12355.378000000012</v>
      </c>
      <c r="BB66" s="249">
        <f t="shared" si="189"/>
        <v>-61634.366999999998</v>
      </c>
      <c r="BC66" s="257">
        <f>SUM(BC62:BC65)</f>
        <v>371972.61200000008</v>
      </c>
      <c r="BD66" s="249">
        <f>SUM(BD62:BD65)</f>
        <v>-27783.617000000057</v>
      </c>
      <c r="BE66" s="249">
        <f>SUM(BE62:BE65)</f>
        <v>852395.40200000012</v>
      </c>
      <c r="BF66" s="249">
        <f>SUM(BF62:BF65)</f>
        <v>-38219.165000000001</v>
      </c>
      <c r="BG66" s="142"/>
      <c r="BH66" s="249">
        <f>SUM(BH62:BH65)</f>
        <v>-49931.15</v>
      </c>
      <c r="BI66" s="249">
        <f>SUM(BI62:BI65)</f>
        <v>-44051.110999999997</v>
      </c>
      <c r="BJ66" s="249">
        <f>SUM(BJ62:BJ65)</f>
        <v>-46346.972000000002</v>
      </c>
      <c r="BK66" s="249">
        <f>SUM(BK62:BK65)</f>
        <v>-9857.0210000000006</v>
      </c>
      <c r="BL66" s="249">
        <f>SUM(BL62:BL65)</f>
        <v>-48896.83</v>
      </c>
      <c r="BM66" s="249"/>
      <c r="BN66" s="249">
        <f t="shared" ref="BN66:BS66" si="190">SUM(BN62:BN65)</f>
        <v>-100039.25199999999</v>
      </c>
      <c r="BO66" s="249">
        <f t="shared" si="190"/>
        <v>-89492.800000000003</v>
      </c>
      <c r="BP66" s="249">
        <f t="shared" si="190"/>
        <v>-94152.918000000005</v>
      </c>
      <c r="BQ66" s="249">
        <f t="shared" si="190"/>
        <v>-101177.101</v>
      </c>
      <c r="BR66" s="249">
        <f t="shared" si="190"/>
        <v>-101026.20699999999</v>
      </c>
      <c r="BS66" s="249">
        <f t="shared" si="190"/>
        <v>-107155.76300000001</v>
      </c>
      <c r="BT66" s="249">
        <f>SUM(BT62:BT65)</f>
        <v>-70166.115999999995</v>
      </c>
      <c r="BU66" s="249">
        <f>SUM(BU62:BU65)</f>
        <v>12739.426999999996</v>
      </c>
      <c r="BV66" s="249">
        <f>SUM(BV62:BV65)</f>
        <v>-42078.803</v>
      </c>
      <c r="BW66" s="249">
        <f>SUM(BW62:BW65)</f>
        <v>310338.245</v>
      </c>
      <c r="BX66" s="249"/>
      <c r="BY66" s="249">
        <f>SUM(BY62:BY65)</f>
        <v>-93982.260999999999</v>
      </c>
      <c r="BZ66" s="249">
        <f>SUM(BZ62:BZ65)</f>
        <v>-101177.101</v>
      </c>
      <c r="CA66" s="249"/>
      <c r="CC66" s="203"/>
      <c r="CG66" s="260"/>
    </row>
    <row r="67" spans="2:85" ht="13.5" customHeight="1">
      <c r="B67" s="5" t="s">
        <v>337</v>
      </c>
      <c r="C67" s="249">
        <f t="shared" ref="C67:H67" si="191">C66+C59</f>
        <v>644374.15099999972</v>
      </c>
      <c r="D67" s="249">
        <f t="shared" si="191"/>
        <v>737811.85999999929</v>
      </c>
      <c r="E67" s="249">
        <f t="shared" si="191"/>
        <v>857022.46699999936</v>
      </c>
      <c r="F67" s="249">
        <f t="shared" si="191"/>
        <v>750639.99600000028</v>
      </c>
      <c r="G67" s="249">
        <f t="shared" si="191"/>
        <v>750639.99600000004</v>
      </c>
      <c r="H67" s="249">
        <f t="shared" si="191"/>
        <v>728225.61999999965</v>
      </c>
      <c r="I67" s="249">
        <f t="shared" ref="I67:N67" si="192">I66+I59</f>
        <v>728224.24300000048</v>
      </c>
      <c r="J67" s="249">
        <f t="shared" si="192"/>
        <v>500923.97400000005</v>
      </c>
      <c r="K67" s="249">
        <f t="shared" si="192"/>
        <v>81310.349000000104</v>
      </c>
      <c r="L67" s="249">
        <f t="shared" si="192"/>
        <v>903833.17700000026</v>
      </c>
      <c r="M67" s="249">
        <f>M66+M59</f>
        <v>53128.65200000006</v>
      </c>
      <c r="N67" s="249">
        <f t="shared" si="192"/>
        <v>279692.67399999942</v>
      </c>
      <c r="O67" s="249">
        <f>O66+O59</f>
        <v>973128.03199999977</v>
      </c>
      <c r="P67" s="249">
        <f>P66+P59</f>
        <v>2699412.5930000013</v>
      </c>
      <c r="Q67" s="249"/>
      <c r="R67" s="249">
        <f t="shared" ref="R67:X67" si="193">R66+R59</f>
        <v>141818.44</v>
      </c>
      <c r="S67" s="249">
        <f t="shared" si="193"/>
        <v>164400.20999999967</v>
      </c>
      <c r="T67" s="249">
        <f t="shared" si="193"/>
        <v>274744.86800000002</v>
      </c>
      <c r="U67" s="249">
        <f t="shared" si="193"/>
        <v>276058.94900000026</v>
      </c>
      <c r="V67" s="249">
        <f t="shared" si="193"/>
        <v>164576.65600000008</v>
      </c>
      <c r="W67" s="249">
        <f t="shared" si="193"/>
        <v>185830.16200000007</v>
      </c>
      <c r="X67" s="249">
        <f t="shared" si="193"/>
        <v>132716.61400000029</v>
      </c>
      <c r="Y67" s="249">
        <f t="shared" ref="Y67:AD67" si="194">Y66+Y59</f>
        <v>267516.56400000065</v>
      </c>
      <c r="Z67" s="249">
        <f t="shared" si="194"/>
        <v>169024.3130000002</v>
      </c>
      <c r="AA67" s="257">
        <f t="shared" si="194"/>
        <v>184896.73599999963</v>
      </c>
      <c r="AB67" s="249">
        <f t="shared" si="194"/>
        <v>121029.05600000024</v>
      </c>
      <c r="AC67" s="249">
        <f t="shared" si="194"/>
        <v>253275.51500000118</v>
      </c>
      <c r="AD67" s="249">
        <f t="shared" si="194"/>
        <v>121720.09700000014</v>
      </c>
      <c r="AE67" s="257">
        <f t="shared" ref="AE67:AJ67" si="195">AE66+AE59</f>
        <v>157208.29599999968</v>
      </c>
      <c r="AF67" s="249">
        <f t="shared" si="195"/>
        <v>96391.653999999791</v>
      </c>
      <c r="AG67" s="249">
        <f t="shared" si="195"/>
        <v>125603.92700000011</v>
      </c>
      <c r="AH67" s="249">
        <f t="shared" si="195"/>
        <v>44961.156000000177</v>
      </c>
      <c r="AI67" s="257">
        <f t="shared" si="195"/>
        <v>-192533.9910000001</v>
      </c>
      <c r="AJ67" s="249">
        <f t="shared" si="195"/>
        <v>10120.701000000823</v>
      </c>
      <c r="AK67" s="249">
        <f t="shared" ref="AK67:AP67" si="196">AK66+AK59</f>
        <v>218762.48299999919</v>
      </c>
      <c r="AL67" s="249">
        <f t="shared" si="196"/>
        <v>189211.40500000003</v>
      </c>
      <c r="AM67" s="257">
        <f t="shared" si="196"/>
        <v>191998.88399999987</v>
      </c>
      <c r="AN67" s="249">
        <f t="shared" si="196"/>
        <v>265172.09699999972</v>
      </c>
      <c r="AO67" s="249">
        <f t="shared" si="196"/>
        <v>257450.79100000003</v>
      </c>
      <c r="AP67" s="249">
        <f t="shared" si="196"/>
        <v>82818.915000000008</v>
      </c>
      <c r="AQ67" s="257">
        <f>AQ66+AQ59</f>
        <v>167842.78100000002</v>
      </c>
      <c r="AR67" s="249">
        <f>AR66+AR59</f>
        <v>-31631.501000000455</v>
      </c>
      <c r="AS67" s="249">
        <f>AS66+AS59</f>
        <v>-165901.54299999977</v>
      </c>
      <c r="AT67" s="249">
        <f>AT66+AT59</f>
        <v>-76629.478999999934</v>
      </c>
      <c r="AU67" s="257">
        <f>AU66+AU59</f>
        <v>134978.6669999994</v>
      </c>
      <c r="AV67" s="249">
        <f>AV66+AV59-1</f>
        <v>7946.9490000007499</v>
      </c>
      <c r="AW67" s="249">
        <f t="shared" ref="AW67:BB67" si="197">AW66+AW59</f>
        <v>132666.52500000011</v>
      </c>
      <c r="AX67" s="249">
        <f t="shared" si="197"/>
        <v>136386.37899999978</v>
      </c>
      <c r="AY67" s="249">
        <f t="shared" si="197"/>
        <v>250904.00599999924</v>
      </c>
      <c r="AZ67" s="249">
        <f t="shared" si="197"/>
        <v>172520.92900000029</v>
      </c>
      <c r="BA67" s="249">
        <f t="shared" si="197"/>
        <v>413316.71800000023</v>
      </c>
      <c r="BB67" s="249">
        <f t="shared" si="197"/>
        <v>316383.07899999979</v>
      </c>
      <c r="BC67" s="249">
        <f>BC66+BC59</f>
        <v>751527.91000000038</v>
      </c>
      <c r="BD67" s="249">
        <f>BD66+BD59</f>
        <v>291740.63300000003</v>
      </c>
      <c r="BE67" s="249">
        <f>BE66+BE59</f>
        <v>1339760.9709999999</v>
      </c>
      <c r="BF67" s="249">
        <f>BF66+BF59</f>
        <v>409528.15599999978</v>
      </c>
      <c r="BG67" s="142"/>
      <c r="BH67" s="249">
        <f>BH66+BH59</f>
        <v>169024.14000000004</v>
      </c>
      <c r="BI67" s="249">
        <f>BI66+BI59</f>
        <v>184897.39300000007</v>
      </c>
      <c r="BJ67" s="249">
        <f>BJ66+BJ59</f>
        <v>121030.47799999948</v>
      </c>
      <c r="BK67" s="249">
        <f>BK66+BK59</f>
        <v>253274.1379999994</v>
      </c>
      <c r="BL67" s="249">
        <f>BL66+BL59</f>
        <v>121720.09700000026</v>
      </c>
      <c r="BM67" s="249"/>
      <c r="BN67" s="249">
        <f t="shared" ref="BN67:BS67" si="198">BN66+BN59</f>
        <v>306218.64999999979</v>
      </c>
      <c r="BO67" s="249">
        <f t="shared" si="198"/>
        <v>350406.81800000003</v>
      </c>
      <c r="BP67" s="249">
        <f t="shared" si="198"/>
        <v>353921.04899999994</v>
      </c>
      <c r="BQ67" s="249">
        <f t="shared" si="198"/>
        <v>278928.39299999992</v>
      </c>
      <c r="BR67" s="249">
        <f t="shared" si="198"/>
        <v>-147572.83500000002</v>
      </c>
      <c r="BS67" s="249">
        <f t="shared" si="198"/>
        <v>381210.28899999941</v>
      </c>
      <c r="BT67" s="249">
        <f>BT66+BT59</f>
        <v>250661.69599999947</v>
      </c>
      <c r="BU67" s="249">
        <f>BU66+BU59</f>
        <v>58349.187999999471</v>
      </c>
      <c r="BV67" s="249">
        <f>BV66+BV59</f>
        <v>348055.20699999906</v>
      </c>
      <c r="BW67" s="249">
        <f>BW66+BW59</f>
        <v>1032343.671</v>
      </c>
      <c r="BX67" s="249"/>
      <c r="BY67" s="249">
        <f>BY66+BY59</f>
        <v>353921.533</v>
      </c>
      <c r="BZ67" s="249">
        <f>BZ66+BZ59</f>
        <v>278928.39299999992</v>
      </c>
      <c r="CA67" s="249"/>
      <c r="CC67" s="203"/>
      <c r="CG67" s="260"/>
    </row>
    <row r="68" spans="2:85" ht="13.5" customHeight="1">
      <c r="B68" s="1" t="s">
        <v>338</v>
      </c>
      <c r="C68" s="63">
        <f t="shared" ref="C68:H68" si="199">C48+C23</f>
        <v>-127268.84999999999</v>
      </c>
      <c r="D68" s="63">
        <f t="shared" si="199"/>
        <v>-167275.04799999998</v>
      </c>
      <c r="E68" s="63">
        <f t="shared" si="199"/>
        <v>-178990.90900000001</v>
      </c>
      <c r="F68" s="63">
        <f t="shared" si="199"/>
        <v>-191735.28000000003</v>
      </c>
      <c r="G68" s="63">
        <f t="shared" si="199"/>
        <v>-191735.28000000003</v>
      </c>
      <c r="H68" s="63">
        <f t="shared" si="199"/>
        <v>-184497.90099999998</v>
      </c>
      <c r="I68" s="63">
        <f t="shared" ref="I68:N68" si="200">I48+I23</f>
        <v>-184497.90100000001</v>
      </c>
      <c r="J68" s="63">
        <f t="shared" si="200"/>
        <v>-144747.21799999999</v>
      </c>
      <c r="K68" s="63">
        <f t="shared" si="200"/>
        <v>-44646.192999999999</v>
      </c>
      <c r="L68" s="63">
        <f t="shared" si="200"/>
        <v>-208811.09100000001</v>
      </c>
      <c r="M68" s="63">
        <f>M48+M23</f>
        <v>79302.188999999998</v>
      </c>
      <c r="N68" s="63">
        <f t="shared" si="200"/>
        <v>-10379.343999999997</v>
      </c>
      <c r="O68" s="63">
        <f>O48+O23</f>
        <v>-257839.92099999997</v>
      </c>
      <c r="P68" s="63">
        <f>P48+P23</f>
        <v>-637149.804</v>
      </c>
      <c r="Q68" s="63"/>
      <c r="R68" s="63">
        <f>R48+R23</f>
        <v>-28504.891</v>
      </c>
      <c r="S68" s="251">
        <f>BN68-R68</f>
        <v>-36707.332999999999</v>
      </c>
      <c r="T68" s="63">
        <f>T48+T23</f>
        <v>-29658.266000000007</v>
      </c>
      <c r="U68" s="246">
        <f>E68-SUM(R68:T68)</f>
        <v>-84120.419000000009</v>
      </c>
      <c r="V68" s="63">
        <f>V48+V23</f>
        <v>-37291.224999999999</v>
      </c>
      <c r="W68" s="247">
        <f>BO68-V68</f>
        <v>-47157.82499999999</v>
      </c>
      <c r="X68" s="63">
        <f>X48+X23</f>
        <v>-36025.991000000009</v>
      </c>
      <c r="Y68" s="151">
        <f>F68-X68-W68-V68</f>
        <v>-71260.239000000031</v>
      </c>
      <c r="Z68" s="63">
        <f>Z48+Z23</f>
        <v>-43826.226999999999</v>
      </c>
      <c r="AA68" s="256">
        <f>BP68-Z68</f>
        <v>-37239.17</v>
      </c>
      <c r="AB68" s="63">
        <f>AB48+AB23</f>
        <v>-31200.306</v>
      </c>
      <c r="AC68" s="25">
        <f>H68-AB68-AA68-Z68</f>
        <v>-72232.197999999975</v>
      </c>
      <c r="AD68" s="63">
        <f>AD48+AD23</f>
        <v>-38134.114999999998</v>
      </c>
      <c r="AE68" s="256">
        <f>BQ68-AD68</f>
        <v>-40609.196000000004</v>
      </c>
      <c r="AF68" s="63">
        <f>AF48+AF23</f>
        <v>-32400.606</v>
      </c>
      <c r="AG68" s="25">
        <f>J68-AF68-AE68-AD68</f>
        <v>-33603.300999999999</v>
      </c>
      <c r="AH68" s="63">
        <f>AH48+AH23</f>
        <v>-17469.555</v>
      </c>
      <c r="AI68" s="256">
        <f>BR68-AH68</f>
        <v>52102.185000000005</v>
      </c>
      <c r="AJ68" s="63">
        <f>AJ48+AJ23</f>
        <v>-8884.5620000000017</v>
      </c>
      <c r="AK68" s="25">
        <f>K68-AJ68-AI68-AH68</f>
        <v>-70394.260999999999</v>
      </c>
      <c r="AL68" s="63">
        <f>AL48+AL23</f>
        <v>-45501.673999999999</v>
      </c>
      <c r="AM68" s="256">
        <f>BS68-AL68</f>
        <v>-52956.837</v>
      </c>
      <c r="AN68" s="63">
        <f>AN48+AN23</f>
        <v>-65688.972999999998</v>
      </c>
      <c r="AO68" s="25">
        <f>L68-AN68-AM68-AL68</f>
        <v>-44663.607000000018</v>
      </c>
      <c r="AP68" s="63">
        <f>AP48+AP23</f>
        <v>3765.603000000001</v>
      </c>
      <c r="AQ68" s="256">
        <f>BT68-AP68</f>
        <v>-20948.186999999998</v>
      </c>
      <c r="AR68" s="63">
        <f>AR48+AR23</f>
        <v>29282.517999999996</v>
      </c>
      <c r="AS68" s="25">
        <f>M68-AR68-AQ68-AP68</f>
        <v>67202.255000000005</v>
      </c>
      <c r="AT68" s="63">
        <f>AT48+AT23</f>
        <v>26483.912</v>
      </c>
      <c r="AU68" s="25">
        <f>BU68-AT68</f>
        <v>-20804.715</v>
      </c>
      <c r="AV68" s="63">
        <f>AV48+AV23</f>
        <v>4942.1439999999966</v>
      </c>
      <c r="AW68" s="25">
        <f>N68-AV68-AU68-AT68</f>
        <v>-21000.684999999994</v>
      </c>
      <c r="AX68" s="63">
        <f>AX48+AX23</f>
        <v>-36858.256999999998</v>
      </c>
      <c r="AY68" s="25">
        <f>BV68-AX68</f>
        <v>-78735.816000000006</v>
      </c>
      <c r="AZ68" s="63">
        <f>AZ48+AZ23</f>
        <v>-41198.425000000003</v>
      </c>
      <c r="BA68" s="25">
        <f>O68-AZ68-AY68-AX68</f>
        <v>-101047.423</v>
      </c>
      <c r="BB68" s="63">
        <f>BB48+BB23</f>
        <v>-72770.376999999993</v>
      </c>
      <c r="BC68" s="25">
        <f>BW68-BB68</f>
        <v>-189619.32</v>
      </c>
      <c r="BD68" s="63">
        <f>BD48+BD23</f>
        <v>-71463.585000000006</v>
      </c>
      <c r="BE68" s="25">
        <f>P68-BD68-BC68-BB68</f>
        <v>-303296.52200000006</v>
      </c>
      <c r="BF68" s="63">
        <f>BF48+BF23</f>
        <v>-112853.716</v>
      </c>
      <c r="BG68" s="142"/>
      <c r="BH68" s="63">
        <f>BH48+BH23</f>
        <v>-43826.228000000003</v>
      </c>
      <c r="BI68" s="63">
        <f>BI48+BI23</f>
        <v>-37239.168999999994</v>
      </c>
      <c r="BJ68" s="63">
        <f>BJ48+BJ23</f>
        <v>-31200.306000000008</v>
      </c>
      <c r="BK68" s="25">
        <f>I68-Z68-AB68-AA68</f>
        <v>-72232.198000000004</v>
      </c>
      <c r="BL68" s="63">
        <f>BL48+BL23</f>
        <v>-38134.114999999998</v>
      </c>
      <c r="BM68" s="63"/>
      <c r="BN68" s="251">
        <f t="shared" ref="BN68:BS68" si="201">BN48+BN23</f>
        <v>-65212.223999999995</v>
      </c>
      <c r="BO68" s="251">
        <f t="shared" si="201"/>
        <v>-84449.049999999988</v>
      </c>
      <c r="BP68" s="251">
        <f t="shared" si="201"/>
        <v>-81065.396999999997</v>
      </c>
      <c r="BQ68" s="251">
        <f t="shared" si="201"/>
        <v>-78743.311000000002</v>
      </c>
      <c r="BR68" s="251">
        <f t="shared" si="201"/>
        <v>34632.630000000005</v>
      </c>
      <c r="BS68" s="251">
        <f t="shared" si="201"/>
        <v>-98458.510999999999</v>
      </c>
      <c r="BT68" s="251">
        <f>BT48+BT23</f>
        <v>-17182.583999999999</v>
      </c>
      <c r="BU68" s="251">
        <f>BU48+BU23</f>
        <v>5679.1970000000001</v>
      </c>
      <c r="BV68" s="251">
        <f>BV48+BV23</f>
        <v>-115594.073</v>
      </c>
      <c r="BW68" s="251">
        <f>BW48+BW23</f>
        <v>-262389.69699999999</v>
      </c>
      <c r="BX68" s="251"/>
      <c r="BY68" s="251">
        <f>BY48+BY23</f>
        <v>-81065.396999999997</v>
      </c>
      <c r="BZ68" s="251">
        <f>BZ48+BZ23</f>
        <v>-78743.311000000002</v>
      </c>
      <c r="CA68" s="251"/>
      <c r="CC68" s="203"/>
      <c r="CG68" s="260"/>
    </row>
    <row r="69" spans="2:85" ht="13.5" customHeight="1">
      <c r="B69" s="5" t="s">
        <v>339</v>
      </c>
      <c r="C69" s="249">
        <f t="shared" ref="C69:H69" si="202">C67+C68</f>
        <v>517105.30099999974</v>
      </c>
      <c r="D69" s="249">
        <f t="shared" si="202"/>
        <v>570536.81199999934</v>
      </c>
      <c r="E69" s="249">
        <f t="shared" si="202"/>
        <v>678031.55799999938</v>
      </c>
      <c r="F69" s="249">
        <f t="shared" si="202"/>
        <v>558904.71600000025</v>
      </c>
      <c r="G69" s="249">
        <f t="shared" si="202"/>
        <v>558904.71600000001</v>
      </c>
      <c r="H69" s="249">
        <f t="shared" si="202"/>
        <v>543727.71899999969</v>
      </c>
      <c r="I69" s="249">
        <f t="shared" ref="I69:N69" si="203">I67+I68</f>
        <v>543726.34200000041</v>
      </c>
      <c r="J69" s="249">
        <f t="shared" si="203"/>
        <v>356176.75600000005</v>
      </c>
      <c r="K69" s="249">
        <f t="shared" si="203"/>
        <v>36664.156000000105</v>
      </c>
      <c r="L69" s="249">
        <f t="shared" si="203"/>
        <v>695022.08600000024</v>
      </c>
      <c r="M69" s="249">
        <f>M67+M68</f>
        <v>132430.84100000007</v>
      </c>
      <c r="N69" s="249">
        <f t="shared" si="203"/>
        <v>269313.32999999943</v>
      </c>
      <c r="O69" s="249">
        <f>O67+O68</f>
        <v>715288.1109999998</v>
      </c>
      <c r="P69" s="249">
        <f>P67+P68</f>
        <v>2062262.7890000013</v>
      </c>
      <c r="Q69" s="249"/>
      <c r="R69" s="249">
        <f t="shared" ref="R69:X69" si="204">R67+R68</f>
        <v>113313.549</v>
      </c>
      <c r="S69" s="249">
        <f t="shared" si="204"/>
        <v>127692.87699999967</v>
      </c>
      <c r="T69" s="249">
        <f t="shared" si="204"/>
        <v>245086.60200000001</v>
      </c>
      <c r="U69" s="249">
        <f t="shared" si="204"/>
        <v>191938.53000000026</v>
      </c>
      <c r="V69" s="249">
        <f t="shared" si="204"/>
        <v>127285.43100000007</v>
      </c>
      <c r="W69" s="249">
        <f t="shared" si="204"/>
        <v>138672.33700000009</v>
      </c>
      <c r="X69" s="249">
        <f t="shared" si="204"/>
        <v>96690.623000000283</v>
      </c>
      <c r="Y69" s="249">
        <f t="shared" ref="Y69:AD69" si="205">Y67+Y68</f>
        <v>196256.32500000062</v>
      </c>
      <c r="Z69" s="249">
        <f t="shared" si="205"/>
        <v>125198.0860000002</v>
      </c>
      <c r="AA69" s="257">
        <f t="shared" si="205"/>
        <v>147657.56599999964</v>
      </c>
      <c r="AB69" s="249">
        <f t="shared" si="205"/>
        <v>89828.750000000247</v>
      </c>
      <c r="AC69" s="249">
        <f t="shared" si="205"/>
        <v>181043.3170000012</v>
      </c>
      <c r="AD69" s="249">
        <f t="shared" si="205"/>
        <v>83585.982000000135</v>
      </c>
      <c r="AE69" s="257">
        <f t="shared" ref="AE69:AJ69" si="206">AE67+AE68</f>
        <v>116599.09999999969</v>
      </c>
      <c r="AF69" s="249">
        <f t="shared" si="206"/>
        <v>63991.047999999792</v>
      </c>
      <c r="AG69" s="249">
        <f t="shared" si="206"/>
        <v>92000.626000000106</v>
      </c>
      <c r="AH69" s="249">
        <f t="shared" si="206"/>
        <v>27491.601000000177</v>
      </c>
      <c r="AI69" s="257">
        <f t="shared" si="206"/>
        <v>-140431.8060000001</v>
      </c>
      <c r="AJ69" s="249">
        <f t="shared" si="206"/>
        <v>1236.1390000008214</v>
      </c>
      <c r="AK69" s="249">
        <f t="shared" ref="AK69:AP69" si="207">AK67+AK68</f>
        <v>148368.22199999919</v>
      </c>
      <c r="AL69" s="249">
        <f t="shared" si="207"/>
        <v>143709.73100000003</v>
      </c>
      <c r="AM69" s="257">
        <f t="shared" si="207"/>
        <v>139042.04699999987</v>
      </c>
      <c r="AN69" s="249">
        <f t="shared" si="207"/>
        <v>199483.12399999972</v>
      </c>
      <c r="AO69" s="249">
        <f t="shared" si="207"/>
        <v>212787.18400000001</v>
      </c>
      <c r="AP69" s="249">
        <f t="shared" si="207"/>
        <v>86584.518000000011</v>
      </c>
      <c r="AQ69" s="257">
        <f t="shared" ref="AQ69:AV69" si="208">AQ67+AQ68</f>
        <v>146894.59400000001</v>
      </c>
      <c r="AR69" s="249">
        <f t="shared" si="208"/>
        <v>-2348.9830000004586</v>
      </c>
      <c r="AS69" s="249">
        <f t="shared" si="208"/>
        <v>-98699.287999999768</v>
      </c>
      <c r="AT69" s="249">
        <f t="shared" si="208"/>
        <v>-50145.566999999937</v>
      </c>
      <c r="AU69" s="257">
        <f t="shared" si="208"/>
        <v>114173.95199999941</v>
      </c>
      <c r="AV69" s="249">
        <f t="shared" si="208"/>
        <v>12889.093000000747</v>
      </c>
      <c r="AW69" s="249">
        <f t="shared" ref="AW69:BB69" si="209">AW67+AW68</f>
        <v>111665.84000000011</v>
      </c>
      <c r="AX69" s="249">
        <f t="shared" si="209"/>
        <v>99528.121999999785</v>
      </c>
      <c r="AY69" s="257">
        <f t="shared" si="209"/>
        <v>172168.18999999925</v>
      </c>
      <c r="AZ69" s="249">
        <f t="shared" si="209"/>
        <v>131322.50400000031</v>
      </c>
      <c r="BA69" s="249">
        <f t="shared" si="209"/>
        <v>312269.29500000022</v>
      </c>
      <c r="BB69" s="249">
        <f t="shared" si="209"/>
        <v>243612.70199999982</v>
      </c>
      <c r="BC69" s="257">
        <f>BC67+BC68</f>
        <v>561908.59000000032</v>
      </c>
      <c r="BD69" s="249">
        <f>BD67+BD68</f>
        <v>220277.04800000001</v>
      </c>
      <c r="BE69" s="249">
        <f>BE67+BE68</f>
        <v>1036464.4489999998</v>
      </c>
      <c r="BF69" s="249">
        <f>BF67+BF68</f>
        <v>296674.43999999977</v>
      </c>
      <c r="BG69" s="142"/>
      <c r="BH69" s="249">
        <f>BH67+BH68</f>
        <v>125197.91200000004</v>
      </c>
      <c r="BI69" s="249">
        <f>BI67+BI68</f>
        <v>147658.22400000007</v>
      </c>
      <c r="BJ69" s="249">
        <f>BJ67+BJ68</f>
        <v>89830.171999999468</v>
      </c>
      <c r="BK69" s="249">
        <f>BK67+BK68</f>
        <v>181041.93999999939</v>
      </c>
      <c r="BL69" s="249">
        <f>BL67+BL68</f>
        <v>83585.982000000251</v>
      </c>
      <c r="BM69" s="249"/>
      <c r="BN69" s="249">
        <f t="shared" ref="BN69:BS69" si="210">BN67+BN68</f>
        <v>241006.4259999998</v>
      </c>
      <c r="BO69" s="249">
        <f t="shared" si="210"/>
        <v>265957.76800000004</v>
      </c>
      <c r="BP69" s="249">
        <f t="shared" si="210"/>
        <v>272855.65199999994</v>
      </c>
      <c r="BQ69" s="249">
        <f t="shared" si="210"/>
        <v>200185.08199999994</v>
      </c>
      <c r="BR69" s="249">
        <f t="shared" si="210"/>
        <v>-112940.20500000002</v>
      </c>
      <c r="BS69" s="249">
        <f t="shared" si="210"/>
        <v>282751.77799999941</v>
      </c>
      <c r="BT69" s="249">
        <f>BT67+BT68</f>
        <v>233479.11199999947</v>
      </c>
      <c r="BU69" s="249">
        <f>BU67+BU68</f>
        <v>64028.384999999471</v>
      </c>
      <c r="BV69" s="249">
        <f>BV67+BV68</f>
        <v>232461.13399999906</v>
      </c>
      <c r="BW69" s="249">
        <f>BW67+BW68</f>
        <v>769953.97399999993</v>
      </c>
      <c r="BX69" s="249"/>
      <c r="BY69" s="249">
        <f>BY67+BY68</f>
        <v>272856.136</v>
      </c>
      <c r="BZ69" s="249">
        <f>BZ67+BZ68</f>
        <v>200185.08199999994</v>
      </c>
      <c r="CA69" s="249"/>
      <c r="CC69" s="203"/>
      <c r="CG69" s="260"/>
    </row>
    <row r="70" spans="2:85" ht="13.5" customHeight="1">
      <c r="B70" s="1" t="s">
        <v>340</v>
      </c>
      <c r="C70" s="248">
        <v>-52377</v>
      </c>
      <c r="D70" s="248">
        <v>-52602</v>
      </c>
      <c r="E70" s="248">
        <v>-69008</v>
      </c>
      <c r="F70" s="248">
        <v>-49311</v>
      </c>
      <c r="G70" s="248">
        <v>-49311</v>
      </c>
      <c r="H70" s="248">
        <v>-65259</v>
      </c>
      <c r="I70" s="248">
        <v>-65258</v>
      </c>
      <c r="J70" s="248">
        <v>-60704</v>
      </c>
      <c r="K70" s="248">
        <v>-5906</v>
      </c>
      <c r="L70" s="248">
        <v>-42992</v>
      </c>
      <c r="M70" s="248">
        <v>-42241</v>
      </c>
      <c r="N70" s="248">
        <v>-127943</v>
      </c>
      <c r="O70" s="248">
        <v>-154461</v>
      </c>
      <c r="P70" s="248">
        <v>-636838</v>
      </c>
      <c r="Q70" s="248"/>
      <c r="R70" s="248">
        <v>-9811</v>
      </c>
      <c r="S70" s="251">
        <f>BN70-R70</f>
        <v>-9921</v>
      </c>
      <c r="T70" s="248">
        <v>-34983</v>
      </c>
      <c r="U70" s="246">
        <f>E70-SUM(R70:T70)</f>
        <v>-14293</v>
      </c>
      <c r="V70" s="248">
        <v>-11621</v>
      </c>
      <c r="W70" s="247">
        <f>BO70-V70</f>
        <v>-10720</v>
      </c>
      <c r="X70" s="248">
        <v>-11350</v>
      </c>
      <c r="Y70" s="151">
        <f>F70-X70-W70-V70</f>
        <v>-15620</v>
      </c>
      <c r="Z70" s="248">
        <v>-11783</v>
      </c>
      <c r="AA70" s="256">
        <f>BP70-Z70</f>
        <v>-20028</v>
      </c>
      <c r="AB70" s="248">
        <v>-13046</v>
      </c>
      <c r="AC70" s="25">
        <f>H70-AB70-AA70-Z70</f>
        <v>-20402</v>
      </c>
      <c r="AD70" s="248">
        <v>-13130</v>
      </c>
      <c r="AE70" s="256">
        <f>BQ70-AD70</f>
        <v>-18314</v>
      </c>
      <c r="AF70" s="248">
        <v>-16103</v>
      </c>
      <c r="AG70" s="25">
        <f>J70-AF70-AE70-AD70</f>
        <v>-13157</v>
      </c>
      <c r="AH70" s="248">
        <v>-10616</v>
      </c>
      <c r="AI70" s="256">
        <f>BR70-AH70</f>
        <v>11624</v>
      </c>
      <c r="AJ70" s="248">
        <v>3162</v>
      </c>
      <c r="AK70" s="25">
        <f>K70-AJ70-AI70-AH70</f>
        <v>-10076</v>
      </c>
      <c r="AL70" s="248">
        <v>-6384</v>
      </c>
      <c r="AM70" s="256">
        <f>BS70-AL70</f>
        <v>-4192.6450000000004</v>
      </c>
      <c r="AN70" s="248">
        <v>-15873</v>
      </c>
      <c r="AO70" s="25">
        <f>L70-AN70-AM70-AL70</f>
        <v>-16542.355</v>
      </c>
      <c r="AP70" s="248">
        <v>-14050</v>
      </c>
      <c r="AQ70" s="256">
        <f>BT70-AP70</f>
        <v>-40690</v>
      </c>
      <c r="AR70" s="248">
        <v>-14595</v>
      </c>
      <c r="AS70" s="25">
        <f>M70-AR70-AQ70-AP70</f>
        <v>27094</v>
      </c>
      <c r="AT70" s="248">
        <v>-9963</v>
      </c>
      <c r="AU70" s="25">
        <f>BU70-AT70</f>
        <v>-59218</v>
      </c>
      <c r="AV70" s="248">
        <v>-17531</v>
      </c>
      <c r="AW70" s="25">
        <f>N70-AV70-AU70-AT70</f>
        <v>-41231</v>
      </c>
      <c r="AX70" s="248">
        <v>-20802</v>
      </c>
      <c r="AY70" s="25">
        <f>BV70-AX70</f>
        <v>-38279.720999999998</v>
      </c>
      <c r="AZ70" s="248">
        <v>-25710</v>
      </c>
      <c r="BA70" s="25">
        <f>O70-AZ70-AY70-AX70</f>
        <v>-69669.27900000001</v>
      </c>
      <c r="BB70" s="248">
        <v>-34259</v>
      </c>
      <c r="BC70" s="25">
        <f>BW70-BB70</f>
        <v>-179414.736</v>
      </c>
      <c r="BD70" s="248">
        <v>-40076</v>
      </c>
      <c r="BE70" s="25">
        <f>P70-BD70-BC70-BB70</f>
        <v>-383088.26399999997</v>
      </c>
      <c r="BF70" s="248">
        <v>-40865</v>
      </c>
      <c r="BG70" s="142"/>
      <c r="BH70" s="248">
        <v>-11783</v>
      </c>
      <c r="BI70" s="63">
        <f>BY70-BH70</f>
        <v>-20028</v>
      </c>
      <c r="BJ70" s="248">
        <v>-13045</v>
      </c>
      <c r="BK70" s="25">
        <f>I70-Z70-AB70-AA70</f>
        <v>-20401</v>
      </c>
      <c r="BL70" s="248">
        <v>-13130</v>
      </c>
      <c r="BM70" s="248"/>
      <c r="BN70" s="248">
        <v>-19732</v>
      </c>
      <c r="BO70" s="248">
        <v>-22341</v>
      </c>
      <c r="BP70" s="248">
        <v>-31811</v>
      </c>
      <c r="BQ70" s="248">
        <v>-31444</v>
      </c>
      <c r="BR70" s="248">
        <v>1008</v>
      </c>
      <c r="BS70" s="248">
        <v>-10576.645</v>
      </c>
      <c r="BT70" s="248">
        <v>-54740</v>
      </c>
      <c r="BU70" s="248">
        <v>-69181</v>
      </c>
      <c r="BV70" s="248">
        <v>-59081.720999999998</v>
      </c>
      <c r="BW70" s="248">
        <v>-213673.736</v>
      </c>
      <c r="BX70" s="248"/>
      <c r="BY70" s="248">
        <v>-31811</v>
      </c>
      <c r="BZ70" s="248">
        <v>-31444</v>
      </c>
      <c r="CA70" s="248"/>
      <c r="CC70" s="203"/>
      <c r="CG70" s="260"/>
    </row>
    <row r="71" spans="2:85" ht="13.5" customHeight="1">
      <c r="B71" s="5" t="s">
        <v>341</v>
      </c>
      <c r="C71" s="249">
        <f t="shared" ref="C71:H71" si="211">C69+C70</f>
        <v>464728.30099999974</v>
      </c>
      <c r="D71" s="249">
        <f t="shared" si="211"/>
        <v>517934.81199999934</v>
      </c>
      <c r="E71" s="249">
        <f t="shared" si="211"/>
        <v>609023.55799999938</v>
      </c>
      <c r="F71" s="249">
        <f t="shared" si="211"/>
        <v>509593.71600000025</v>
      </c>
      <c r="G71" s="249">
        <f t="shared" si="211"/>
        <v>509593.71600000001</v>
      </c>
      <c r="H71" s="249">
        <f t="shared" si="211"/>
        <v>478468.71899999969</v>
      </c>
      <c r="I71" s="249">
        <f t="shared" ref="I71:N71" si="212">I69+I70</f>
        <v>478468.34200000041</v>
      </c>
      <c r="J71" s="249">
        <f t="shared" si="212"/>
        <v>295472.75600000005</v>
      </c>
      <c r="K71" s="249">
        <f t="shared" si="212"/>
        <v>30758.156000000105</v>
      </c>
      <c r="L71" s="249">
        <f t="shared" si="212"/>
        <v>652030.08600000024</v>
      </c>
      <c r="M71" s="249">
        <f>M69+M70</f>
        <v>90189.841000000073</v>
      </c>
      <c r="N71" s="249">
        <f t="shared" si="212"/>
        <v>141370.32999999943</v>
      </c>
      <c r="O71" s="249">
        <f>O69+O70</f>
        <v>560827.1109999998</v>
      </c>
      <c r="P71" s="249">
        <f>P69+P70</f>
        <v>1425424.7890000013</v>
      </c>
      <c r="Q71" s="249"/>
      <c r="R71" s="249">
        <f t="shared" ref="R71:AC71" si="213">R69+R70</f>
        <v>103502.549</v>
      </c>
      <c r="S71" s="249">
        <f t="shared" si="213"/>
        <v>117771.87699999967</v>
      </c>
      <c r="T71" s="249">
        <f t="shared" si="213"/>
        <v>210103.60200000001</v>
      </c>
      <c r="U71" s="249">
        <f t="shared" si="213"/>
        <v>177645.53000000026</v>
      </c>
      <c r="V71" s="249">
        <f t="shared" si="213"/>
        <v>115664.43100000007</v>
      </c>
      <c r="W71" s="249">
        <f t="shared" si="213"/>
        <v>127952.33700000009</v>
      </c>
      <c r="X71" s="249">
        <f t="shared" si="213"/>
        <v>85340.623000000283</v>
      </c>
      <c r="Y71" s="249">
        <f>Y69+Y70</f>
        <v>180636.32500000062</v>
      </c>
      <c r="Z71" s="249">
        <f t="shared" si="213"/>
        <v>113415.0860000002</v>
      </c>
      <c r="AA71" s="249">
        <f t="shared" si="213"/>
        <v>127629.56599999964</v>
      </c>
      <c r="AB71" s="249">
        <f t="shared" si="213"/>
        <v>76782.750000000247</v>
      </c>
      <c r="AC71" s="249">
        <f t="shared" si="213"/>
        <v>160641.3170000012</v>
      </c>
      <c r="AD71" s="249">
        <f t="shared" ref="AD71:AI71" si="214">AD69+AD70</f>
        <v>70455.982000000135</v>
      </c>
      <c r="AE71" s="249">
        <f t="shared" si="214"/>
        <v>98285.099999999686</v>
      </c>
      <c r="AF71" s="249">
        <f t="shared" si="214"/>
        <v>47888.047999999792</v>
      </c>
      <c r="AG71" s="249">
        <f t="shared" si="214"/>
        <v>78843.626000000106</v>
      </c>
      <c r="AH71" s="249">
        <f t="shared" si="214"/>
        <v>16875.601000000177</v>
      </c>
      <c r="AI71" s="249">
        <f t="shared" si="214"/>
        <v>-128807.8060000001</v>
      </c>
      <c r="AJ71" s="249">
        <f t="shared" ref="AJ71:AO71" si="215">AJ69+AJ70</f>
        <v>4398.1390000008214</v>
      </c>
      <c r="AK71" s="249">
        <f t="shared" si="215"/>
        <v>138292.22199999919</v>
      </c>
      <c r="AL71" s="249">
        <f t="shared" si="215"/>
        <v>137325.73100000003</v>
      </c>
      <c r="AM71" s="249">
        <f t="shared" si="215"/>
        <v>134849.40199999989</v>
      </c>
      <c r="AN71" s="249">
        <f t="shared" si="215"/>
        <v>183610.12399999972</v>
      </c>
      <c r="AO71" s="249">
        <f t="shared" si="215"/>
        <v>196244.829</v>
      </c>
      <c r="AP71" s="249">
        <f t="shared" ref="AP71:AU71" si="216">AP69+AP70</f>
        <v>72534.518000000011</v>
      </c>
      <c r="AQ71" s="249">
        <f t="shared" si="216"/>
        <v>106204.59400000001</v>
      </c>
      <c r="AR71" s="249">
        <f t="shared" si="216"/>
        <v>-16943.983000000459</v>
      </c>
      <c r="AS71" s="249">
        <f t="shared" si="216"/>
        <v>-71605.287999999768</v>
      </c>
      <c r="AT71" s="249">
        <f t="shared" si="216"/>
        <v>-60108.566999999937</v>
      </c>
      <c r="AU71" s="249">
        <f t="shared" si="216"/>
        <v>54955.951999999408</v>
      </c>
      <c r="AV71" s="249">
        <f t="shared" ref="AV71:BA71" si="217">AV69+AV70</f>
        <v>-4641.9069999992535</v>
      </c>
      <c r="AW71" s="249">
        <f t="shared" si="217"/>
        <v>70434.840000000113</v>
      </c>
      <c r="AX71" s="249">
        <f t="shared" si="217"/>
        <v>78726.121999999785</v>
      </c>
      <c r="AY71" s="249">
        <f t="shared" si="217"/>
        <v>133888.46899999926</v>
      </c>
      <c r="AZ71" s="249">
        <f t="shared" si="217"/>
        <v>105612.50400000031</v>
      </c>
      <c r="BA71" s="249">
        <f t="shared" si="217"/>
        <v>242600.01600000021</v>
      </c>
      <c r="BB71" s="249">
        <f>BB69+BB70</f>
        <v>209353.70199999982</v>
      </c>
      <c r="BC71" s="249">
        <f>BC69+BC70</f>
        <v>382493.85400000028</v>
      </c>
      <c r="BD71" s="249">
        <f>BD69+BD70</f>
        <v>180201.04800000001</v>
      </c>
      <c r="BE71" s="249">
        <f>BE69+BE70</f>
        <v>653376.18499999982</v>
      </c>
      <c r="BF71" s="249">
        <f>BF69+BF70</f>
        <v>255809.43999999977</v>
      </c>
      <c r="BG71" s="142"/>
      <c r="BH71" s="249">
        <f>BH69+BH70</f>
        <v>113414.91200000004</v>
      </c>
      <c r="BI71" s="249">
        <f>BI69+BI70</f>
        <v>127630.22400000007</v>
      </c>
      <c r="BJ71" s="249">
        <f>BJ69+BJ70</f>
        <v>76785.171999999468</v>
      </c>
      <c r="BK71" s="249">
        <f>BK69+BK70</f>
        <v>160640.93999999939</v>
      </c>
      <c r="BL71" s="249">
        <f>BL69+BL70</f>
        <v>70455.982000000251</v>
      </c>
      <c r="BM71" s="249"/>
      <c r="BN71" s="249">
        <f t="shared" ref="BN71:BS71" si="218">BN69+BN70</f>
        <v>221274.4259999998</v>
      </c>
      <c r="BO71" s="249">
        <f t="shared" si="218"/>
        <v>243616.76800000004</v>
      </c>
      <c r="BP71" s="249">
        <f t="shared" si="218"/>
        <v>241044.65199999994</v>
      </c>
      <c r="BQ71" s="249">
        <f t="shared" si="218"/>
        <v>168741.08199999994</v>
      </c>
      <c r="BR71" s="249">
        <f t="shared" si="218"/>
        <v>-111932.20500000002</v>
      </c>
      <c r="BS71" s="249">
        <f t="shared" si="218"/>
        <v>272175.13299999939</v>
      </c>
      <c r="BT71" s="249">
        <f>BT69+BT70</f>
        <v>178739.11199999947</v>
      </c>
      <c r="BU71" s="249">
        <f>BU69+BU70</f>
        <v>-5152.6150000005291</v>
      </c>
      <c r="BV71" s="249">
        <f>BV69+BV70</f>
        <v>173379.41299999907</v>
      </c>
      <c r="BW71" s="249">
        <f>BW69+BW70</f>
        <v>556280.2379999999</v>
      </c>
      <c r="BX71" s="249"/>
      <c r="BY71" s="249">
        <f>BY69+BY70</f>
        <v>241045.136</v>
      </c>
      <c r="BZ71" s="249">
        <f>BZ69+BZ70</f>
        <v>168741.08199999994</v>
      </c>
      <c r="CA71" s="249"/>
      <c r="CC71" s="203"/>
      <c r="CG71" s="260"/>
    </row>
    <row r="72" spans="2:85" ht="13.5" customHeight="1">
      <c r="B72" s="5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249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25"/>
      <c r="AD72" s="62"/>
      <c r="AE72" s="62"/>
      <c r="AF72" s="62"/>
      <c r="AG72" s="25"/>
      <c r="AH72" s="62"/>
      <c r="AI72" s="62"/>
      <c r="AJ72" s="62"/>
      <c r="AK72" s="25"/>
      <c r="AL72" s="62"/>
      <c r="AM72" s="62"/>
      <c r="AN72" s="62"/>
      <c r="AO72" s="25"/>
      <c r="AP72" s="62"/>
      <c r="AQ72" s="62"/>
      <c r="AR72" s="62"/>
      <c r="AS72" s="25"/>
      <c r="AT72" s="62"/>
      <c r="AU72" s="62"/>
      <c r="AV72" s="62"/>
      <c r="AW72" s="25"/>
      <c r="AX72" s="249"/>
      <c r="AY72" s="62"/>
      <c r="AZ72" s="62"/>
      <c r="BA72" s="25"/>
      <c r="BB72" s="249"/>
      <c r="BC72" s="62"/>
      <c r="BD72" s="62"/>
      <c r="BE72" s="25"/>
      <c r="BF72" s="249"/>
      <c r="BG72" s="142"/>
      <c r="BH72" s="62"/>
      <c r="BI72" s="62"/>
      <c r="BJ72" s="62"/>
      <c r="BK72" s="25"/>
      <c r="BL72" s="62"/>
      <c r="BM72" s="62"/>
      <c r="BN72" s="62"/>
      <c r="BO72" s="62"/>
      <c r="BP72" s="62"/>
      <c r="BQ72" s="62"/>
      <c r="BR72" s="62"/>
      <c r="BS72" s="62"/>
      <c r="BT72" s="62"/>
      <c r="BU72" s="62"/>
      <c r="BV72" s="62"/>
      <c r="BW72" s="62"/>
      <c r="BX72" s="62"/>
      <c r="BY72" s="62"/>
      <c r="BZ72" s="62"/>
      <c r="CA72" s="62"/>
      <c r="CC72" s="203"/>
      <c r="CG72" s="260"/>
    </row>
    <row r="73" spans="2:85" s="49" customFormat="1" ht="13.5" customHeight="1">
      <c r="B73" s="5" t="s">
        <v>342</v>
      </c>
      <c r="C73" s="150">
        <f t="shared" ref="C73:H73" si="219">C49+C26</f>
        <v>517105.5599999993</v>
      </c>
      <c r="D73" s="150">
        <f t="shared" si="219"/>
        <v>570536.4919999995</v>
      </c>
      <c r="E73" s="150">
        <f t="shared" si="219"/>
        <v>678031.99000000011</v>
      </c>
      <c r="F73" s="150">
        <f t="shared" si="219"/>
        <v>558904.1940000006</v>
      </c>
      <c r="G73" s="150">
        <f t="shared" si="219"/>
        <v>558904.1939999999</v>
      </c>
      <c r="H73" s="150">
        <f t="shared" si="219"/>
        <v>543727.37800000084</v>
      </c>
      <c r="I73" s="150">
        <f t="shared" ref="I73:N73" si="220">I49+I26</f>
        <v>543727.37799999979</v>
      </c>
      <c r="J73" s="150">
        <f t="shared" si="220"/>
        <v>356176.47399999987</v>
      </c>
      <c r="K73" s="150">
        <f t="shared" si="220"/>
        <v>36664.441999999588</v>
      </c>
      <c r="L73" s="150">
        <f t="shared" si="220"/>
        <v>695021.73300000001</v>
      </c>
      <c r="M73" s="150">
        <f>M49+M26</f>
        <v>132431.1380000003</v>
      </c>
      <c r="N73" s="150">
        <f t="shared" si="220"/>
        <v>188584.5109999995</v>
      </c>
      <c r="O73" s="150">
        <f>O49+O26</f>
        <v>635404.38899999997</v>
      </c>
      <c r="P73" s="150">
        <f>P49+P26</f>
        <v>1984315.0169999995</v>
      </c>
      <c r="Q73" s="249"/>
      <c r="R73" s="150">
        <f t="shared" ref="R73:X73" si="221">R49+R26</f>
        <v>113313.22000000006</v>
      </c>
      <c r="S73" s="150">
        <f t="shared" si="221"/>
        <v>127693.3860000001</v>
      </c>
      <c r="T73" s="150">
        <f t="shared" si="221"/>
        <v>245086.571</v>
      </c>
      <c r="U73" s="150">
        <f t="shared" si="221"/>
        <v>191938.81300000031</v>
      </c>
      <c r="V73" s="121">
        <f t="shared" si="221"/>
        <v>127285.1279999999</v>
      </c>
      <c r="W73" s="121">
        <f t="shared" si="221"/>
        <v>138672.65600000013</v>
      </c>
      <c r="X73" s="121">
        <f t="shared" si="221"/>
        <v>96690.110000000044</v>
      </c>
      <c r="Y73" s="150">
        <f t="shared" ref="Y73:AD73" si="222">Y49+Y26</f>
        <v>196256.30000000057</v>
      </c>
      <c r="Z73" s="150">
        <f t="shared" si="222"/>
        <v>125198.79999999992</v>
      </c>
      <c r="AA73" s="121">
        <f t="shared" si="222"/>
        <v>147657.51300000001</v>
      </c>
      <c r="AB73" s="121">
        <f t="shared" si="222"/>
        <v>89830.200000000477</v>
      </c>
      <c r="AC73" s="121">
        <f t="shared" si="222"/>
        <v>181040.86500000115</v>
      </c>
      <c r="AD73" s="150">
        <f t="shared" si="222"/>
        <v>83585.373999999982</v>
      </c>
      <c r="AE73" s="121">
        <f t="shared" ref="AE73:AJ73" si="223">AE49+AE26</f>
        <v>116599.35399999982</v>
      </c>
      <c r="AF73" s="150">
        <f t="shared" si="223"/>
        <v>63991.841999999975</v>
      </c>
      <c r="AG73" s="121">
        <f t="shared" si="223"/>
        <v>91999.904000000184</v>
      </c>
      <c r="AH73" s="150">
        <f t="shared" si="223"/>
        <v>27491.273000000067</v>
      </c>
      <c r="AI73" s="121">
        <f t="shared" si="223"/>
        <v>-140431.99699999997</v>
      </c>
      <c r="AJ73" s="150">
        <f t="shared" si="223"/>
        <v>1236.6790000009132</v>
      </c>
      <c r="AK73" s="121">
        <f t="shared" ref="AK73:AP73" si="224">AK49+AK26</f>
        <v>148368.48699999915</v>
      </c>
      <c r="AL73" s="150">
        <f t="shared" si="224"/>
        <v>143710.01100000009</v>
      </c>
      <c r="AM73" s="121">
        <f t="shared" si="224"/>
        <v>139041.33999999997</v>
      </c>
      <c r="AN73" s="150">
        <f t="shared" si="224"/>
        <v>199484.34899999955</v>
      </c>
      <c r="AO73" s="121">
        <f t="shared" si="224"/>
        <v>212786.03300000005</v>
      </c>
      <c r="AP73" s="150">
        <f t="shared" si="224"/>
        <v>86584.250999999786</v>
      </c>
      <c r="AQ73" s="121">
        <f t="shared" ref="AQ73:AV73" si="225">AQ49+AQ26</f>
        <v>146895.60100000049</v>
      </c>
      <c r="AR73" s="150">
        <f t="shared" si="225"/>
        <v>-2349.8780000006009</v>
      </c>
      <c r="AS73" s="121">
        <f t="shared" si="225"/>
        <v>-98698.835999999821</v>
      </c>
      <c r="AT73" s="150">
        <f t="shared" si="225"/>
        <v>-50145.723999999842</v>
      </c>
      <c r="AU73" s="121">
        <f t="shared" si="225"/>
        <v>114174.47999999959</v>
      </c>
      <c r="AV73" s="150">
        <f t="shared" si="225"/>
        <v>12889.525000000551</v>
      </c>
      <c r="AW73" s="121">
        <f t="shared" ref="AW73:BB73" si="226">AW49+AW26</f>
        <v>111666.23000000021</v>
      </c>
      <c r="AX73" s="150">
        <f t="shared" si="226"/>
        <v>79301.65800000017</v>
      </c>
      <c r="AY73" s="121">
        <f t="shared" si="226"/>
        <v>153158.76799999925</v>
      </c>
      <c r="AZ73" s="150">
        <f t="shared" si="226"/>
        <v>113217.04100000035</v>
      </c>
      <c r="BA73" s="121">
        <f t="shared" si="226"/>
        <v>289726.92200000043</v>
      </c>
      <c r="BB73" s="150">
        <f t="shared" si="226"/>
        <v>226265.19199999978</v>
      </c>
      <c r="BC73" s="121">
        <f>BC49+BC26</f>
        <v>543687.87300000049</v>
      </c>
      <c r="BD73" s="150">
        <f>BD49+BD26</f>
        <v>200969.66399999982</v>
      </c>
      <c r="BE73" s="121">
        <f>BE49+BE26</f>
        <v>1013392.2879999996</v>
      </c>
      <c r="BF73" s="150">
        <f>BF49+BF26</f>
        <v>275622.89399999985</v>
      </c>
      <c r="BG73" s="142"/>
      <c r="BH73" s="150">
        <f>BH49+BH26</f>
        <v>125198.79900000009</v>
      </c>
      <c r="BI73" s="150">
        <f>BI49+BI26</f>
        <v>147657.51400000008</v>
      </c>
      <c r="BJ73" s="150">
        <f>BJ49+BJ26</f>
        <v>89830.199999999677</v>
      </c>
      <c r="BK73" s="121">
        <f>BK49+BK26</f>
        <v>181040.86499999961</v>
      </c>
      <c r="BL73" s="150">
        <f>BL49+BL26</f>
        <v>83585.374000000011</v>
      </c>
      <c r="BM73" s="121"/>
      <c r="BN73" s="150">
        <f t="shared" ref="BN73:BS73" si="227">BN49+BN26</f>
        <v>241006.60600000015</v>
      </c>
      <c r="BO73" s="150">
        <f t="shared" si="227"/>
        <v>265957.7840000001</v>
      </c>
      <c r="BP73" s="150">
        <f t="shared" si="227"/>
        <v>272856.31299999991</v>
      </c>
      <c r="BQ73" s="150">
        <f t="shared" si="227"/>
        <v>200184.72799999971</v>
      </c>
      <c r="BR73" s="150">
        <f t="shared" si="227"/>
        <v>-112940.72399999996</v>
      </c>
      <c r="BS73" s="150">
        <f t="shared" si="227"/>
        <v>282751.35100000014</v>
      </c>
      <c r="BT73" s="150">
        <f>BT49+BT26</f>
        <v>233479.85200000019</v>
      </c>
      <c r="BU73" s="150">
        <f>BU49+BU26</f>
        <v>64028.755999999797</v>
      </c>
      <c r="BV73" s="150">
        <f>BV49+BV26</f>
        <v>232460.4259999994</v>
      </c>
      <c r="BW73" s="150">
        <f>BW49+BW26</f>
        <v>769953.06500000029</v>
      </c>
      <c r="BX73" s="121"/>
      <c r="BY73" s="150">
        <f>BY49+BY26</f>
        <v>272856.3130000002</v>
      </c>
      <c r="BZ73" s="150">
        <f>BZ49+BZ26</f>
        <v>200184.72799999965</v>
      </c>
      <c r="CA73" s="121"/>
      <c r="CC73" s="150">
        <f>CC49+CC26</f>
        <v>114658.357</v>
      </c>
      <c r="CD73" s="150">
        <f>CD49+CD26</f>
        <v>240502.647</v>
      </c>
      <c r="CE73" s="150">
        <f>CE49+CE26</f>
        <v>346989.85599999997</v>
      </c>
      <c r="CG73" s="260"/>
    </row>
    <row r="74" spans="2:85" s="5" customFormat="1" ht="13.5" customHeight="1">
      <c r="B74" s="7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249"/>
      <c r="R74" s="4"/>
      <c r="V74" s="4"/>
      <c r="W74" s="4"/>
      <c r="AA74" s="4"/>
      <c r="AE74" s="4"/>
      <c r="AI74" s="4"/>
      <c r="AM74" s="4"/>
      <c r="AQ74" s="4"/>
      <c r="AU74" s="4"/>
      <c r="AY74" s="4"/>
      <c r="BC74" s="4"/>
      <c r="BG74" s="142"/>
      <c r="CG74" s="260"/>
    </row>
    <row r="75" spans="2:85" s="5" customFormat="1" ht="13.5" customHeight="1">
      <c r="B75" s="441" t="s">
        <v>343</v>
      </c>
      <c r="C75" s="435"/>
      <c r="D75" s="435"/>
      <c r="E75" s="435"/>
      <c r="F75" s="435"/>
      <c r="G75" s="435"/>
      <c r="H75" s="435"/>
      <c r="I75" s="435"/>
      <c r="J75" s="435"/>
      <c r="K75" s="435"/>
      <c r="L75" s="435"/>
      <c r="M75" s="435"/>
      <c r="N75" s="435"/>
      <c r="O75" s="435"/>
      <c r="P75" s="435"/>
      <c r="Q75" s="249"/>
      <c r="R75" s="435"/>
      <c r="S75" s="435"/>
      <c r="T75" s="435"/>
      <c r="U75" s="435"/>
      <c r="V75" s="435"/>
      <c r="W75" s="435"/>
      <c r="X75" s="436"/>
      <c r="Y75" s="435"/>
      <c r="Z75" s="436"/>
      <c r="AA75" s="435"/>
      <c r="AB75" s="436"/>
      <c r="AC75" s="435"/>
      <c r="AD75" s="436"/>
      <c r="AE75" s="435"/>
      <c r="AF75" s="436"/>
      <c r="AG75" s="435"/>
      <c r="AH75" s="436"/>
      <c r="AI75" s="435"/>
      <c r="AJ75" s="436"/>
      <c r="AK75" s="435"/>
      <c r="AL75" s="436"/>
      <c r="AM75" s="435"/>
      <c r="AN75" s="436"/>
      <c r="AO75" s="435"/>
      <c r="AP75" s="436"/>
      <c r="AQ75" s="435"/>
      <c r="AR75" s="436"/>
      <c r="AS75" s="435"/>
      <c r="AT75" s="436"/>
      <c r="AU75" s="435"/>
      <c r="AV75" s="436"/>
      <c r="AW75" s="435"/>
      <c r="AX75" s="436"/>
      <c r="AY75" s="435"/>
      <c r="AZ75" s="436"/>
      <c r="BA75" s="435"/>
      <c r="BB75" s="436"/>
      <c r="BC75" s="435"/>
      <c r="BD75" s="436"/>
      <c r="BE75" s="435"/>
      <c r="BF75" s="436"/>
      <c r="BG75" s="142"/>
      <c r="BH75" s="436"/>
      <c r="BI75" s="436"/>
      <c r="BJ75" s="436"/>
      <c r="BK75" s="435"/>
      <c r="BL75" s="436"/>
      <c r="BM75" s="436"/>
      <c r="BN75" s="436"/>
      <c r="BO75" s="436"/>
      <c r="BP75" s="436"/>
      <c r="BQ75" s="436"/>
      <c r="BR75" s="436"/>
      <c r="BS75" s="436"/>
      <c r="BT75" s="436"/>
      <c r="BU75" s="436"/>
      <c r="BV75" s="436"/>
      <c r="BW75" s="436"/>
      <c r="BY75" s="83"/>
      <c r="BZ75" s="83"/>
      <c r="CG75" s="260"/>
    </row>
    <row r="76" spans="2:85" s="49" customFormat="1" ht="13.5" customHeight="1">
      <c r="B76" s="1" t="str">
        <f>B11</f>
        <v>COGS</v>
      </c>
      <c r="C76" s="66">
        <f t="shared" ref="C76:H76" si="228">C11/C8</f>
        <v>-0.66137222815632479</v>
      </c>
      <c r="D76" s="66">
        <f t="shared" si="228"/>
        <v>-0.65755111914057263</v>
      </c>
      <c r="E76" s="66">
        <f t="shared" si="228"/>
        <v>-0.65592833569551035</v>
      </c>
      <c r="F76" s="66">
        <f t="shared" si="228"/>
        <v>-0.6503193912835018</v>
      </c>
      <c r="G76" s="66">
        <f t="shared" si="228"/>
        <v>-0.64515697495240076</v>
      </c>
      <c r="H76" s="66">
        <f t="shared" si="228"/>
        <v>-0.64931869632077055</v>
      </c>
      <c r="I76" s="66">
        <f t="shared" ref="I76:N76" si="229">I11/I8</f>
        <v>-0.65887216887526601</v>
      </c>
      <c r="J76" s="66">
        <f t="shared" si="229"/>
        <v>-0.67461530617012644</v>
      </c>
      <c r="K76" s="66">
        <f t="shared" si="229"/>
        <v>-0.69927530031373319</v>
      </c>
      <c r="L76" s="66">
        <f t="shared" si="229"/>
        <v>-0.68191568134266489</v>
      </c>
      <c r="M76" s="66">
        <f>M11/M8</f>
        <v>-0.694479970644027</v>
      </c>
      <c r="N76" s="66">
        <f t="shared" si="229"/>
        <v>-0.68663692317159808</v>
      </c>
      <c r="O76" s="66">
        <f>O11/O8</f>
        <v>-0.66311527097875589</v>
      </c>
      <c r="P76" s="66">
        <f>P11/P8</f>
        <v>-0.64983052909523398</v>
      </c>
      <c r="Q76" s="249"/>
      <c r="R76" s="66">
        <f t="shared" ref="R76:X76" si="230">R11/R8</f>
        <v>-0.6701716341542755</v>
      </c>
      <c r="S76" s="66">
        <f t="shared" si="230"/>
        <v>-0.65631414312887681</v>
      </c>
      <c r="T76" s="66">
        <f t="shared" si="230"/>
        <v>-0.66019554259026458</v>
      </c>
      <c r="U76" s="66">
        <f t="shared" si="230"/>
        <v>-0.63965533952295073</v>
      </c>
      <c r="V76" s="54">
        <f t="shared" si="230"/>
        <v>-0.65627562077119339</v>
      </c>
      <c r="W76" s="54">
        <f t="shared" si="230"/>
        <v>-0.64769806141305475</v>
      </c>
      <c r="X76" s="54">
        <f t="shared" si="230"/>
        <v>-0.65966100917067028</v>
      </c>
      <c r="Y76" s="66">
        <f t="shared" ref="Y76:AD76" si="231">Y11/Y8</f>
        <v>-0.63982606452351121</v>
      </c>
      <c r="Z76" s="66">
        <f t="shared" si="231"/>
        <v>-0.65099851713786638</v>
      </c>
      <c r="AA76" s="54">
        <f t="shared" si="231"/>
        <v>-0.64586775383951556</v>
      </c>
      <c r="AB76" s="54">
        <f t="shared" si="231"/>
        <v>-0.65708150947282451</v>
      </c>
      <c r="AC76" s="54">
        <f t="shared" si="231"/>
        <v>-0.64437885544200191</v>
      </c>
      <c r="AD76" s="66">
        <f t="shared" si="231"/>
        <v>-0.68660486297073553</v>
      </c>
      <c r="AE76" s="54">
        <f t="shared" ref="AE76:AJ76" si="232">AE11/AE8</f>
        <v>-0.66743293844646656</v>
      </c>
      <c r="AF76" s="66">
        <f t="shared" si="232"/>
        <v>-0.67883871708417354</v>
      </c>
      <c r="AG76" s="54">
        <f t="shared" si="232"/>
        <v>-0.66718503293401021</v>
      </c>
      <c r="AH76" s="66">
        <f t="shared" si="232"/>
        <v>-0.68921523898434689</v>
      </c>
      <c r="AI76" s="54">
        <f t="shared" si="232"/>
        <v>-0.72952226789428742</v>
      </c>
      <c r="AJ76" s="66">
        <f t="shared" si="232"/>
        <v>-0.72761204916076727</v>
      </c>
      <c r="AK76" s="54">
        <f t="shared" ref="AK76:AP76" si="233">AK11/AK8</f>
        <v>-0.66691020219448538</v>
      </c>
      <c r="AL76" s="66">
        <f t="shared" si="233"/>
        <v>-0.69168036438999625</v>
      </c>
      <c r="AM76" s="54">
        <f t="shared" si="233"/>
        <v>-0.69161739975129743</v>
      </c>
      <c r="AN76" s="66">
        <f t="shared" si="233"/>
        <v>-0.68396965219681471</v>
      </c>
      <c r="AO76" s="54">
        <f t="shared" si="233"/>
        <v>-0.66574126611540607</v>
      </c>
      <c r="AP76" s="66">
        <f t="shared" si="233"/>
        <v>-0.70561562722782867</v>
      </c>
      <c r="AQ76" s="54">
        <f t="shared" ref="AQ76:AV76" si="234">AQ11/AQ8</f>
        <v>-0.68703097499264476</v>
      </c>
      <c r="AR76" s="66">
        <f t="shared" si="234"/>
        <v>-0.69690679238441566</v>
      </c>
      <c r="AS76" s="54">
        <f t="shared" si="234"/>
        <v>-0.68916787651313871</v>
      </c>
      <c r="AT76" s="66">
        <f t="shared" si="234"/>
        <v>-0.70962461366752627</v>
      </c>
      <c r="AU76" s="54">
        <f t="shared" si="234"/>
        <v>-0.68447016826863161</v>
      </c>
      <c r="AV76" s="66">
        <f t="shared" si="234"/>
        <v>-0.69023626328362198</v>
      </c>
      <c r="AW76" s="54">
        <f t="shared" ref="AW76:BB76" si="235">AW11/AW8</f>
        <v>-0.66575460061652847</v>
      </c>
      <c r="AX76" s="66">
        <f t="shared" si="235"/>
        <v>-0.67613451486972953</v>
      </c>
      <c r="AY76" s="54">
        <f t="shared" si="235"/>
        <v>-0.66457734017549219</v>
      </c>
      <c r="AZ76" s="66">
        <f t="shared" si="235"/>
        <v>-0.66293663237782541</v>
      </c>
      <c r="BA76" s="54">
        <f t="shared" si="235"/>
        <v>-0.65198542786882507</v>
      </c>
      <c r="BB76" s="66">
        <f t="shared" si="235"/>
        <v>-0.65469117511154729</v>
      </c>
      <c r="BC76" s="54">
        <f>BC11/BC8</f>
        <v>-0.64948430420042902</v>
      </c>
      <c r="BD76" s="66">
        <f>BD11/BD8</f>
        <v>-0.65480338327240395</v>
      </c>
      <c r="BE76" s="54">
        <f>BE11/BE8</f>
        <v>-0.64238908520452909</v>
      </c>
      <c r="BF76" s="66">
        <f>BF11/BF8</f>
        <v>-0.65153093036098375</v>
      </c>
      <c r="BG76" s="142"/>
      <c r="BH76" s="66">
        <f>BH11/BH8</f>
        <v>-0.66418050501558212</v>
      </c>
      <c r="BI76" s="66">
        <f>BI11/BI8</f>
        <v>-0.65494396728336557</v>
      </c>
      <c r="BJ76" s="66">
        <f>BJ11/BJ8</f>
        <v>-0.66681218066876535</v>
      </c>
      <c r="BK76" s="54">
        <f>BK11/BK8</f>
        <v>-0.68410099946884007</v>
      </c>
      <c r="BL76" s="66">
        <f>BL11/BL8</f>
        <v>-0.68660486297073553</v>
      </c>
      <c r="BM76" s="54"/>
      <c r="BN76" s="66">
        <f t="shared" ref="BN76:BS76" si="236">BN11/BN8</f>
        <v>-0.66313604167503548</v>
      </c>
      <c r="BO76" s="66">
        <f t="shared" si="236"/>
        <v>-0.65191859395539453</v>
      </c>
      <c r="BP76" s="66">
        <f t="shared" si="236"/>
        <v>-0.64837313913882466</v>
      </c>
      <c r="BQ76" s="66">
        <f t="shared" si="236"/>
        <v>-0.67685465875580531</v>
      </c>
      <c r="BR76" s="66">
        <f t="shared" si="236"/>
        <v>-0.70678284870529173</v>
      </c>
      <c r="BS76" s="66">
        <f t="shared" si="236"/>
        <v>-0.69164770363363348</v>
      </c>
      <c r="BT76" s="66">
        <f>BT11/BT8</f>
        <v>-0.69619190134890796</v>
      </c>
      <c r="BU76" s="66">
        <f>BU11/BU8</f>
        <v>-0.69720076097503358</v>
      </c>
      <c r="BV76" s="66">
        <f>BV11/BV8</f>
        <v>-0.67029290467877689</v>
      </c>
      <c r="BW76" s="66">
        <f>BW11/BW8</f>
        <v>-0.65206812161367955</v>
      </c>
      <c r="BX76" s="54"/>
      <c r="BY76" s="66">
        <f>BY11/BY8</f>
        <v>-0.65945062559696965</v>
      </c>
      <c r="BZ76" s="66">
        <f>BZ11/BZ8</f>
        <v>-0.67685465875580531</v>
      </c>
      <c r="CA76" s="54"/>
      <c r="CG76" s="260"/>
    </row>
    <row r="77" spans="2:85" s="49" customFormat="1" ht="13.5" customHeight="1">
      <c r="B77" s="1" t="str">
        <f t="shared" ref="B77:B85" si="237">B14</f>
        <v>Distribution costs</v>
      </c>
      <c r="C77" s="66">
        <f>-C14/C8</f>
        <v>1.1761275391978038E-2</v>
      </c>
      <c r="D77" s="66">
        <f>-D14/D8</f>
        <v>1.0614261130925612E-2</v>
      </c>
      <c r="E77" s="66">
        <f>-E14/E8</f>
        <v>1.1363433235966613E-2</v>
      </c>
      <c r="F77" s="66">
        <f t="shared" ref="F77:K77" si="238">-F14/F8</f>
        <v>1.0246895178072883E-2</v>
      </c>
      <c r="G77" s="66">
        <f t="shared" si="238"/>
        <v>1.1782833207418145E-2</v>
      </c>
      <c r="H77" s="66">
        <f t="shared" si="238"/>
        <v>1.3653371267028914E-2</v>
      </c>
      <c r="I77" s="66">
        <f t="shared" si="238"/>
        <v>1.4421065702415701E-2</v>
      </c>
      <c r="J77" s="66">
        <f t="shared" si="238"/>
        <v>1.5059535424769739E-2</v>
      </c>
      <c r="K77" s="66">
        <f t="shared" si="238"/>
        <v>2.3160903772010324E-2</v>
      </c>
      <c r="L77" s="66">
        <f>-L14/L8</f>
        <v>2.1291206164735978E-2</v>
      </c>
      <c r="M77" s="66">
        <f>-M14/M8</f>
        <v>2.1987631212861854E-2</v>
      </c>
      <c r="N77" s="66">
        <f>-N14/N8</f>
        <v>1.9956736699138458E-2</v>
      </c>
      <c r="O77" s="66">
        <f>-O14/O8</f>
        <v>1.6713465589085659E-2</v>
      </c>
      <c r="P77" s="66">
        <f>-P14/P8</f>
        <v>1.6925516532434508E-2</v>
      </c>
      <c r="Q77" s="249"/>
      <c r="R77" s="66">
        <f t="shared" ref="R77:X77" si="239">-R14/R8</f>
        <v>1.0775753957700671E-2</v>
      </c>
      <c r="S77" s="66">
        <f t="shared" si="239"/>
        <v>1.4105884483146832E-2</v>
      </c>
      <c r="T77" s="66">
        <f t="shared" si="239"/>
        <v>1.0833000628976562E-2</v>
      </c>
      <c r="U77" s="66">
        <f t="shared" si="239"/>
        <v>9.8831732395321895E-3</v>
      </c>
      <c r="V77" s="54">
        <f t="shared" si="239"/>
        <v>1.0887033554128034E-2</v>
      </c>
      <c r="W77" s="54">
        <f t="shared" si="239"/>
        <v>1.0314375055449921E-2</v>
      </c>
      <c r="X77" s="54">
        <f t="shared" si="239"/>
        <v>1.0223321555060718E-2</v>
      </c>
      <c r="Y77" s="66">
        <f t="shared" ref="Y77:AD77" si="240">-Y14/Y8</f>
        <v>9.6727362353535504E-3</v>
      </c>
      <c r="Z77" s="66">
        <f t="shared" si="240"/>
        <v>1.382900123075515E-2</v>
      </c>
      <c r="AA77" s="54">
        <f t="shared" si="240"/>
        <v>1.3457295488474182E-2</v>
      </c>
      <c r="AB77" s="54">
        <f t="shared" si="240"/>
        <v>1.3296298918565767E-2</v>
      </c>
      <c r="AC77" s="54">
        <f t="shared" si="240"/>
        <v>1.3981785286454902E-2</v>
      </c>
      <c r="AD77" s="66">
        <f t="shared" si="240"/>
        <v>1.6570593448469641E-2</v>
      </c>
      <c r="AE77" s="54">
        <f t="shared" ref="AE77:AJ77" si="241">-AE14/AE8</f>
        <v>1.6028330311500225E-2</v>
      </c>
      <c r="AF77" s="66">
        <f t="shared" si="241"/>
        <v>1.2837263688698579E-2</v>
      </c>
      <c r="AG77" s="54">
        <f t="shared" si="241"/>
        <v>1.4765282103638607E-2</v>
      </c>
      <c r="AH77" s="66">
        <f t="shared" si="241"/>
        <v>1.6196773576904022E-2</v>
      </c>
      <c r="AI77" s="54">
        <f t="shared" si="241"/>
        <v>2.8211400802486158E-2</v>
      </c>
      <c r="AJ77" s="66">
        <f t="shared" si="241"/>
        <v>2.7763697597103565E-2</v>
      </c>
      <c r="AK77" s="54">
        <f t="shared" ref="AK77:AP77" si="242">-AK14/AK8</f>
        <v>2.1532416997839771E-2</v>
      </c>
      <c r="AL77" s="66">
        <f t="shared" si="242"/>
        <v>2.0493667344151718E-2</v>
      </c>
      <c r="AM77" s="54">
        <f t="shared" si="242"/>
        <v>2.3045305110831728E-2</v>
      </c>
      <c r="AN77" s="66">
        <f t="shared" si="242"/>
        <v>2.0140256484436077E-2</v>
      </c>
      <c r="AO77" s="54">
        <f t="shared" si="242"/>
        <v>2.1481876910376816E-2</v>
      </c>
      <c r="AP77" s="66">
        <f t="shared" si="242"/>
        <v>2.1665443883573231E-2</v>
      </c>
      <c r="AQ77" s="54">
        <f t="shared" ref="AQ77:AV77" si="243">-AQ14/AQ8</f>
        <v>2.3820313904305748E-2</v>
      </c>
      <c r="AR77" s="66">
        <f t="shared" si="243"/>
        <v>1.9411834079708878E-2</v>
      </c>
      <c r="AS77" s="54">
        <f t="shared" si="243"/>
        <v>2.2857891818568489E-2</v>
      </c>
      <c r="AT77" s="66">
        <f t="shared" si="243"/>
        <v>2.2667446537792534E-2</v>
      </c>
      <c r="AU77" s="54">
        <f t="shared" si="243"/>
        <v>2.1290193222154793E-2</v>
      </c>
      <c r="AV77" s="66">
        <f t="shared" si="243"/>
        <v>1.7837935481397033E-2</v>
      </c>
      <c r="AW77" s="54">
        <f t="shared" ref="AW77:BB77" si="244">-AW14/AW8</f>
        <v>1.8279559643114406E-2</v>
      </c>
      <c r="AX77" s="66">
        <f t="shared" si="244"/>
        <v>1.5750383706753732E-2</v>
      </c>
      <c r="AY77" s="54">
        <f t="shared" si="244"/>
        <v>1.7280485250752421E-2</v>
      </c>
      <c r="AZ77" s="66">
        <f t="shared" si="244"/>
        <v>1.7390783695156502E-2</v>
      </c>
      <c r="BA77" s="54">
        <f t="shared" si="244"/>
        <v>1.64830809957059E-2</v>
      </c>
      <c r="BB77" s="66">
        <f t="shared" si="244"/>
        <v>1.6981710169392109E-2</v>
      </c>
      <c r="BC77" s="54">
        <f>-BC14/BC8</f>
        <v>1.7278911948471996E-2</v>
      </c>
      <c r="BD77" s="66">
        <f>-BD14/BD8</f>
        <v>1.6263139967584644E-2</v>
      </c>
      <c r="BE77" s="54">
        <f>-BE14/BE8</f>
        <v>1.7116070590679003E-2</v>
      </c>
      <c r="BF77" s="66">
        <f>-BF14/BF8</f>
        <v>1.8104475510223577E-2</v>
      </c>
      <c r="BG77" s="142"/>
      <c r="BH77" s="66">
        <f>-BH14/BH8</f>
        <v>1.4627749585873647E-2</v>
      </c>
      <c r="BI77" s="66">
        <f>-BI14/BI8</f>
        <v>1.4201810258208611E-2</v>
      </c>
      <c r="BJ77" s="66">
        <f>-BJ14/BJ8</f>
        <v>1.4099793445025486E-2</v>
      </c>
      <c r="BK77" s="54">
        <f>-BK14/BK8</f>
        <v>1.7371838724812468E-2</v>
      </c>
      <c r="BL77" s="66">
        <f>-BL14/BL8</f>
        <v>1.5771529879587267E-2</v>
      </c>
      <c r="BM77" s="54"/>
      <c r="BN77" s="66">
        <f t="shared" ref="BN77:BS77" si="245">-BN14/BN8</f>
        <v>1.2466495899136823E-2</v>
      </c>
      <c r="BO77" s="66">
        <f t="shared" si="245"/>
        <v>1.0596147961751659E-2</v>
      </c>
      <c r="BP77" s="66">
        <f t="shared" si="245"/>
        <v>1.3638801835235267E-2</v>
      </c>
      <c r="BQ77" s="66">
        <f t="shared" si="245"/>
        <v>1.6294816422694914E-2</v>
      </c>
      <c r="BR77" s="66">
        <f t="shared" si="245"/>
        <v>2.143328660576713E-2</v>
      </c>
      <c r="BS77" s="66">
        <f t="shared" si="245"/>
        <v>2.1817242308539275E-2</v>
      </c>
      <c r="BT77" s="66">
        <f>-BT14/BT8</f>
        <v>2.2758114551988697E-2</v>
      </c>
      <c r="BU77" s="66">
        <f>-BU14/BU8</f>
        <v>2.1987217177041756E-2</v>
      </c>
      <c r="BV77" s="66">
        <f>-BV14/BV8</f>
        <v>1.6523778330361168E-2</v>
      </c>
      <c r="BW77" s="66">
        <f>-BW14/BW8</f>
        <v>1.7131430832626408E-2</v>
      </c>
      <c r="BX77" s="54"/>
      <c r="BY77" s="66">
        <f>-BY14/BY8</f>
        <v>1.4409633045032427E-2</v>
      </c>
      <c r="BZ77" s="66">
        <f>-BZ14/BZ8</f>
        <v>1.5517257796733772E-2</v>
      </c>
      <c r="CA77" s="54"/>
      <c r="CG77" s="260"/>
    </row>
    <row r="78" spans="2:85" s="49" customFormat="1" ht="13.5" customHeight="1">
      <c r="B78" s="1" t="str">
        <f t="shared" si="237"/>
        <v>Administrative expenses</v>
      </c>
      <c r="C78" s="66">
        <f t="shared" ref="C78:H78" si="246">-C15/C8</f>
        <v>0.20707304875546451</v>
      </c>
      <c r="D78" s="66">
        <f t="shared" si="246"/>
        <v>0.21718115270365868</v>
      </c>
      <c r="E78" s="66">
        <f t="shared" si="246"/>
        <v>0.21733466065798529</v>
      </c>
      <c r="F78" s="66">
        <f t="shared" si="246"/>
        <v>0.22226028399203715</v>
      </c>
      <c r="G78" s="66">
        <f t="shared" si="246"/>
        <v>0.22502336720094956</v>
      </c>
      <c r="H78" s="66">
        <f t="shared" si="246"/>
        <v>0.22949412725062265</v>
      </c>
      <c r="I78" s="66">
        <f t="shared" ref="I78:N78" si="247">-I15/I8</f>
        <v>0.2386905459152579</v>
      </c>
      <c r="J78" s="66">
        <f t="shared" si="247"/>
        <v>0.24423445257827289</v>
      </c>
      <c r="K78" s="66">
        <f t="shared" si="247"/>
        <v>0.24014758143563036</v>
      </c>
      <c r="L78" s="66">
        <f t="shared" si="247"/>
        <v>0.20128724499589795</v>
      </c>
      <c r="M78" s="66">
        <f>-M15/M8</f>
        <v>0.23336716009476549</v>
      </c>
      <c r="N78" s="66">
        <f t="shared" si="247"/>
        <v>0.2520416550144266</v>
      </c>
      <c r="O78" s="66">
        <f>-O15/O8</f>
        <v>0.23920803807620597</v>
      </c>
      <c r="P78" s="66">
        <f>-P15/P8</f>
        <v>0.22733578152276968</v>
      </c>
      <c r="Q78" s="54"/>
      <c r="R78" s="66">
        <f t="shared" ref="R78:X78" si="248">-R15/R8</f>
        <v>0.21814018124427614</v>
      </c>
      <c r="S78" s="66">
        <f t="shared" si="248"/>
        <v>0.21496795477309519</v>
      </c>
      <c r="T78" s="66">
        <f t="shared" si="248"/>
        <v>0.22858736026917129</v>
      </c>
      <c r="U78" s="66">
        <f t="shared" si="248"/>
        <v>0.20914081619565378</v>
      </c>
      <c r="V78" s="54">
        <f t="shared" si="248"/>
        <v>0.22180125537655265</v>
      </c>
      <c r="W78" s="54">
        <f t="shared" si="248"/>
        <v>0.22480576973502792</v>
      </c>
      <c r="X78" s="54">
        <f t="shared" si="248"/>
        <v>0.23578117698603304</v>
      </c>
      <c r="Y78" s="66">
        <f t="shared" ref="Y78:AD78" si="249">-Y15/Y8</f>
        <v>0.20919339024865827</v>
      </c>
      <c r="Z78" s="66">
        <f t="shared" si="249"/>
        <v>0.22686207216265411</v>
      </c>
      <c r="AA78" s="54">
        <f t="shared" si="249"/>
        <v>0.22958472550045242</v>
      </c>
      <c r="AB78" s="54">
        <f t="shared" si="249"/>
        <v>0.23836215109148706</v>
      </c>
      <c r="AC78" s="54">
        <f t="shared" si="249"/>
        <v>0.22412759374857597</v>
      </c>
      <c r="AD78" s="66">
        <f t="shared" si="249"/>
        <v>0.23665806779338278</v>
      </c>
      <c r="AE78" s="54">
        <f t="shared" ref="AE78:AJ78" si="250">-AE15/AE8</f>
        <v>0.24166993920172763</v>
      </c>
      <c r="AF78" s="66">
        <f t="shared" si="250"/>
        <v>0.25551065511090143</v>
      </c>
      <c r="AG78" s="54">
        <f t="shared" si="250"/>
        <v>0.24356683918356578</v>
      </c>
      <c r="AH78" s="66">
        <f t="shared" si="250"/>
        <v>0.26098337460662391</v>
      </c>
      <c r="AI78" s="54">
        <f t="shared" si="250"/>
        <v>0.32589971505023918</v>
      </c>
      <c r="AJ78" s="66">
        <f t="shared" si="250"/>
        <v>0.22073905166507657</v>
      </c>
      <c r="AK78" s="54">
        <f t="shared" ref="AK78:AP78" si="251">-AK15/AK8</f>
        <v>0.19549282389548892</v>
      </c>
      <c r="AL78" s="66">
        <f t="shared" si="251"/>
        <v>0.2098191846870448</v>
      </c>
      <c r="AM78" s="54">
        <f t="shared" si="251"/>
        <v>0.19852498602745869</v>
      </c>
      <c r="AN78" s="66">
        <f t="shared" si="251"/>
        <v>0.20128989139188799</v>
      </c>
      <c r="AO78" s="54">
        <f t="shared" si="251"/>
        <v>0.19731792093355119</v>
      </c>
      <c r="AP78" s="66">
        <f t="shared" si="251"/>
        <v>0.21920890802191667</v>
      </c>
      <c r="AQ78" s="54">
        <f t="shared" ref="AQ78:AV78" si="252">-AQ15/AQ8</f>
        <v>0.22931654332297685</v>
      </c>
      <c r="AR78" s="66">
        <f t="shared" si="252"/>
        <v>0.25179222110723798</v>
      </c>
      <c r="AS78" s="54">
        <f t="shared" si="252"/>
        <v>0.23363119471527105</v>
      </c>
      <c r="AT78" s="66">
        <f t="shared" si="252"/>
        <v>0.25047425123919248</v>
      </c>
      <c r="AU78" s="54">
        <f t="shared" si="252"/>
        <v>0.26223371902044962</v>
      </c>
      <c r="AV78" s="66">
        <f t="shared" si="252"/>
        <v>0.26758942845607658</v>
      </c>
      <c r="AW78" s="54">
        <f t="shared" ref="AW78:BB78" si="253">-AW15/AW8</f>
        <v>0.23193441667206963</v>
      </c>
      <c r="AX78" s="66">
        <f t="shared" si="253"/>
        <v>0.24760107263535547</v>
      </c>
      <c r="AY78" s="54">
        <f t="shared" si="253"/>
        <v>0.24302733333357845</v>
      </c>
      <c r="AZ78" s="66">
        <f t="shared" si="253"/>
        <v>0.25370702132800121</v>
      </c>
      <c r="BA78" s="54">
        <f t="shared" si="253"/>
        <v>0.21835338306901725</v>
      </c>
      <c r="BB78" s="66">
        <f t="shared" si="253"/>
        <v>0.23058359803309586</v>
      </c>
      <c r="BC78" s="54">
        <f>-BC15/BC8</f>
        <v>0.23120309031794908</v>
      </c>
      <c r="BD78" s="66">
        <f>-BD15/BD8</f>
        <v>0.24425740821696021</v>
      </c>
      <c r="BE78" s="54">
        <f>-BE15/BE8</f>
        <v>0.20845488984970389</v>
      </c>
      <c r="BF78" s="66">
        <f>-BF15/BF8</f>
        <v>0.22683734290611027</v>
      </c>
      <c r="BG78" s="142"/>
      <c r="BH78" s="66">
        <f>-BH15/BH8</f>
        <v>0.23610959716737723</v>
      </c>
      <c r="BI78" s="66">
        <f>-BI15/BI8</f>
        <v>0.23846354975165615</v>
      </c>
      <c r="BJ78" s="66">
        <f>-BJ15/BJ8</f>
        <v>0.24854819340028592</v>
      </c>
      <c r="BK78" s="54">
        <f>-BK15/BK8</f>
        <v>0.26219822063434994</v>
      </c>
      <c r="BL78" s="66">
        <f>-BL15/BL8</f>
        <v>0.23745713136226515</v>
      </c>
      <c r="BM78" s="54"/>
      <c r="BN78" s="66">
        <f t="shared" ref="BN78:BS78" si="254">-BN15/BN8</f>
        <v>0.21652960883530395</v>
      </c>
      <c r="BO78" s="66">
        <f t="shared" si="254"/>
        <v>0.22332741789921812</v>
      </c>
      <c r="BP78" s="66">
        <f t="shared" si="254"/>
        <v>0.22825523605590384</v>
      </c>
      <c r="BQ78" s="66">
        <f t="shared" si="254"/>
        <v>0.23920693917395147</v>
      </c>
      <c r="BR78" s="66">
        <f t="shared" si="254"/>
        <v>0.28927682525944964</v>
      </c>
      <c r="BS78" s="66">
        <f t="shared" si="254"/>
        <v>0.20396070477902173</v>
      </c>
      <c r="BT78" s="66">
        <f>-BT15/BT8</f>
        <v>0.22433419006410446</v>
      </c>
      <c r="BU78" s="66">
        <f>-BU15/BU8</f>
        <v>0.25628228608709547</v>
      </c>
      <c r="BV78" s="66">
        <f>-BV15/BV8</f>
        <v>0.24528926176263902</v>
      </c>
      <c r="BW78" s="66">
        <f>-BW15/BW8</f>
        <v>0.23089567825025978</v>
      </c>
      <c r="BX78" s="54"/>
      <c r="BY78" s="66">
        <f>-BY15/BY8</f>
        <v>0.23731501766189175</v>
      </c>
      <c r="BZ78" s="66">
        <f>-BZ15/BZ8</f>
        <v>0.23998449779991263</v>
      </c>
      <c r="CA78" s="54"/>
      <c r="CG78" s="260"/>
    </row>
    <row r="79" spans="2:85" s="49" customFormat="1" ht="13.5" customHeight="1">
      <c r="B79" s="1" t="str">
        <f t="shared" si="237"/>
        <v>Other gains (losses)</v>
      </c>
      <c r="C79" s="66">
        <f t="shared" ref="C79:H79" si="255">C16/C8</f>
        <v>1.2085539934208508E-3</v>
      </c>
      <c r="D79" s="66">
        <f t="shared" si="255"/>
        <v>4.3529341863635627E-3</v>
      </c>
      <c r="E79" s="66">
        <f t="shared" si="255"/>
        <v>2.0349485420472508E-2</v>
      </c>
      <c r="F79" s="66">
        <f t="shared" si="255"/>
        <v>6.9023897286212747E-4</v>
      </c>
      <c r="G79" s="66">
        <f t="shared" si="255"/>
        <v>4.0070468948104034E-4</v>
      </c>
      <c r="H79" s="66">
        <f t="shared" si="255"/>
        <v>2.8384021332996789E-3</v>
      </c>
      <c r="I79" s="66">
        <f t="shared" ref="I79:N79" si="256">I16/I8</f>
        <v>3.0910822412561489E-3</v>
      </c>
      <c r="J79" s="66">
        <f t="shared" si="256"/>
        <v>2.5822713227236583E-3</v>
      </c>
      <c r="K79" s="66">
        <f t="shared" si="256"/>
        <v>-5.4418331343891761E-3</v>
      </c>
      <c r="L79" s="66">
        <f t="shared" si="256"/>
        <v>-2.8112191797534554E-3</v>
      </c>
      <c r="M79" s="66">
        <f>M16/M8</f>
        <v>8.9658876816807551E-4</v>
      </c>
      <c r="N79" s="66">
        <f t="shared" si="256"/>
        <v>2.4218951376557139E-2</v>
      </c>
      <c r="O79" s="66">
        <f>O16/O8</f>
        <v>1.8960954562816237E-2</v>
      </c>
      <c r="P79" s="66">
        <f>P16/P8</f>
        <v>0.12058856421754742</v>
      </c>
      <c r="Q79" s="54"/>
      <c r="R79" s="66">
        <f t="shared" ref="R79:X79" si="257">-R16/R8</f>
        <v>-6.1489379827693081E-4</v>
      </c>
      <c r="S79" s="66">
        <f t="shared" si="257"/>
        <v>3.3259299906076661E-4</v>
      </c>
      <c r="T79" s="66">
        <f t="shared" si="257"/>
        <v>-7.3331359732864823E-2</v>
      </c>
      <c r="U79" s="66">
        <f t="shared" si="257"/>
        <v>-1.0553248303013537E-2</v>
      </c>
      <c r="V79" s="54">
        <f t="shared" si="257"/>
        <v>3.0172249439705074E-3</v>
      </c>
      <c r="W79" s="54">
        <f t="shared" si="257"/>
        <v>-4.2214567263483835E-3</v>
      </c>
      <c r="X79" s="54">
        <f t="shared" si="257"/>
        <v>6.4990585033324359E-4</v>
      </c>
      <c r="Y79" s="66">
        <f t="shared" ref="Y79:AD79" si="258">-Y16/Y8</f>
        <v>-1.8574632021461077E-3</v>
      </c>
      <c r="Z79" s="66">
        <f t="shared" si="258"/>
        <v>1.1886834299056541E-4</v>
      </c>
      <c r="AA79" s="54">
        <f t="shared" si="258"/>
        <v>7.3816038229006253E-4</v>
      </c>
      <c r="AB79" s="54">
        <f t="shared" si="258"/>
        <v>-6.7404007845076064E-4</v>
      </c>
      <c r="AC79" s="54">
        <f t="shared" si="258"/>
        <v>-1.0381349471975724E-2</v>
      </c>
      <c r="AD79" s="66">
        <f t="shared" si="258"/>
        <v>2.9779949531717184E-4</v>
      </c>
      <c r="AE79" s="54">
        <f t="shared" ref="AE79:AJ79" si="259">-AE16/AE8</f>
        <v>-4.5613638471830109E-3</v>
      </c>
      <c r="AF79" s="66">
        <f t="shared" si="259"/>
        <v>-1.9946815133224599E-3</v>
      </c>
      <c r="AG79" s="54">
        <f t="shared" si="259"/>
        <v>-3.7855094801977855E-3</v>
      </c>
      <c r="AH79" s="66">
        <f t="shared" si="259"/>
        <v>-1.6436151302313932E-4</v>
      </c>
      <c r="AI79" s="54">
        <f t="shared" si="259"/>
        <v>-9.953124908769781E-4</v>
      </c>
      <c r="AJ79" s="66">
        <f t="shared" si="259"/>
        <v>-9.7519008174008629E-4</v>
      </c>
      <c r="AK79" s="54">
        <f t="shared" ref="AK79:AP79" si="260">-AK16/AK8</f>
        <v>1.8026423640155151E-2</v>
      </c>
      <c r="AL79" s="66">
        <f t="shared" si="260"/>
        <v>1.934523096028179E-3</v>
      </c>
      <c r="AM79" s="54">
        <f t="shared" si="260"/>
        <v>6.1526224604360475E-4</v>
      </c>
      <c r="AN79" s="66">
        <f t="shared" si="260"/>
        <v>-1.646626901143164E-3</v>
      </c>
      <c r="AO79" s="54">
        <f t="shared" si="260"/>
        <v>8.8893952522582954E-3</v>
      </c>
      <c r="AP79" s="66">
        <f t="shared" si="260"/>
        <v>-7.9192455387094342E-4</v>
      </c>
      <c r="AQ79" s="54">
        <f t="shared" ref="AQ79:AV79" si="261">-AQ16/AQ8</f>
        <v>-3.1844423203203999E-2</v>
      </c>
      <c r="AR79" s="66">
        <f t="shared" si="261"/>
        <v>-5.323567386142045E-3</v>
      </c>
      <c r="AS79" s="54">
        <f t="shared" si="261"/>
        <v>3.186072985122864E-2</v>
      </c>
      <c r="AT79" s="66">
        <f t="shared" si="261"/>
        <v>-2.3462163699068204E-3</v>
      </c>
      <c r="AU79" s="54">
        <f t="shared" si="261"/>
        <v>-7.68255739528238E-2</v>
      </c>
      <c r="AV79" s="66">
        <f t="shared" si="261"/>
        <v>-2.2819930395861425E-3</v>
      </c>
      <c r="AW79" s="54">
        <f t="shared" ref="AW79:BB79" si="262">-AW16/AW8</f>
        <v>-1.7201196451412683E-2</v>
      </c>
      <c r="AX79" s="66">
        <f t="shared" si="262"/>
        <v>-3.7457007007409512E-3</v>
      </c>
      <c r="AY79" s="54">
        <f t="shared" si="262"/>
        <v>-4.6903474947957283E-2</v>
      </c>
      <c r="AZ79" s="66">
        <f t="shared" si="262"/>
        <v>-2.8029580930727729E-3</v>
      </c>
      <c r="BA79" s="54">
        <f t="shared" si="262"/>
        <v>-2.1200985904430494E-2</v>
      </c>
      <c r="BB79" s="66">
        <f t="shared" si="262"/>
        <v>-3.0241579075640946E-3</v>
      </c>
      <c r="BC79" s="54">
        <f>-BC16/BC8</f>
        <v>-0.16044159821067125</v>
      </c>
      <c r="BD79" s="66">
        <f>-BD16/BD8</f>
        <v>-5.4755665446591974E-3</v>
      </c>
      <c r="BE79" s="54">
        <f>-BE16/BE8</f>
        <v>-0.2713440601103243</v>
      </c>
      <c r="BF79" s="66">
        <f>-BF16/BF8</f>
        <v>-4.1665679299452236E-3</v>
      </c>
      <c r="BG79" s="142"/>
      <c r="BH79" s="66">
        <f>-BH16/BH8</f>
        <v>1.6222939018300237E-4</v>
      </c>
      <c r="BI79" s="66">
        <f>-BI16/BI8</f>
        <v>6.7358405754302641E-4</v>
      </c>
      <c r="BJ79" s="66">
        <f>-BJ16/BJ8</f>
        <v>-9.3770188008447425E-4</v>
      </c>
      <c r="BK79" s="54">
        <f>-BK16/BK8</f>
        <v>-1.3527389637960423E-2</v>
      </c>
      <c r="BL79" s="66">
        <f>-BL16/BL8</f>
        <v>2.9779949531717184E-4</v>
      </c>
      <c r="BM79" s="54"/>
      <c r="BN79" s="66">
        <f>BN16/BN8</f>
        <v>1.3384488593700539E-4</v>
      </c>
      <c r="BO79" s="66">
        <f>BO16/BO8</f>
        <v>6.5971028104616321E-4</v>
      </c>
      <c r="BP79" s="66">
        <f t="shared" ref="BP79:BU79" si="263">-BP16/BP8</f>
        <v>4.3575602624837569E-4</v>
      </c>
      <c r="BQ79" s="66">
        <f t="shared" si="263"/>
        <v>-2.1734096335893054E-3</v>
      </c>
      <c r="BR79" s="66">
        <f t="shared" si="263"/>
        <v>-5.2652719158977795E-4</v>
      </c>
      <c r="BS79" s="66">
        <f t="shared" si="263"/>
        <v>1.250201576987421E-3</v>
      </c>
      <c r="BT79" s="66">
        <f t="shared" si="263"/>
        <v>-1.6537725520373362E-2</v>
      </c>
      <c r="BU79" s="66">
        <f t="shared" si="263"/>
        <v>-3.9131784589284485E-2</v>
      </c>
      <c r="BV79" s="66">
        <f>-BV16/BV8</f>
        <v>-2.5559933030990297E-2</v>
      </c>
      <c r="BW79" s="66">
        <f>-BW16/BW8</f>
        <v>-8.2325983218950946E-2</v>
      </c>
      <c r="BX79" s="54"/>
      <c r="BY79" s="66">
        <f>BY16/BY8</f>
        <v>-4.2408572497839805E-4</v>
      </c>
      <c r="BZ79" s="66">
        <f>BZ16/BZ8</f>
        <v>2.1734096335893054E-3</v>
      </c>
      <c r="CA79" s="54"/>
      <c r="CG79" s="260"/>
    </row>
    <row r="80" spans="2:85" s="49" customFormat="1" ht="13.5" customHeight="1">
      <c r="B80" s="1" t="str">
        <f t="shared" si="237"/>
        <v>Other expenses</v>
      </c>
      <c r="C80" s="66">
        <f t="shared" ref="C80:H80" si="264">C17/C8</f>
        <v>-1.9379187839870516E-2</v>
      </c>
      <c r="D80" s="66">
        <f t="shared" si="264"/>
        <v>-1.8350567939478368E-2</v>
      </c>
      <c r="E80" s="66">
        <f t="shared" si="264"/>
        <v>-1.7121323127199467E-2</v>
      </c>
      <c r="F80" s="66">
        <f t="shared" si="264"/>
        <v>-1.801224197606234E-2</v>
      </c>
      <c r="G80" s="66">
        <f t="shared" si="264"/>
        <v>-1.8187252329488236E-2</v>
      </c>
      <c r="H80" s="66">
        <f t="shared" si="264"/>
        <v>-1.6785944703546676E-2</v>
      </c>
      <c r="I80" s="66">
        <f t="shared" ref="I80:N80" si="265">I17/I8</f>
        <v>-1.7534158754275872E-2</v>
      </c>
      <c r="J80" s="66">
        <f t="shared" si="265"/>
        <v>-1.7619399080781913E-2</v>
      </c>
      <c r="K80" s="66">
        <f t="shared" si="265"/>
        <v>-1.3499199339269677E-2</v>
      </c>
      <c r="L80" s="66">
        <f t="shared" si="265"/>
        <v>-1.7601463049305221E-2</v>
      </c>
      <c r="M80" s="66">
        <f>M17/M8</f>
        <v>-2.2071892001464054E-2</v>
      </c>
      <c r="N80" s="66">
        <f t="shared" si="265"/>
        <v>-1.3467590256173596E-2</v>
      </c>
      <c r="O80" s="66">
        <f>O17/O8</f>
        <v>-1.0782601284187466E-2</v>
      </c>
      <c r="P80" s="66">
        <f>P17/P8</f>
        <v>-1.038461405563167E-2</v>
      </c>
      <c r="Q80" s="54"/>
      <c r="R80" s="66">
        <f t="shared" ref="R80:X80" si="266">R17/R8</f>
        <v>-1.5517639489357044E-2</v>
      </c>
      <c r="S80" s="66">
        <f t="shared" si="266"/>
        <v>-1.7491472088655306E-2</v>
      </c>
      <c r="T80" s="66">
        <f t="shared" si="266"/>
        <v>-1.6956855406514322E-2</v>
      </c>
      <c r="U80" s="66">
        <f t="shared" si="266"/>
        <v>-1.8315854701973763E-2</v>
      </c>
      <c r="V80" s="54">
        <f t="shared" si="266"/>
        <v>-1.4138588539404556E-2</v>
      </c>
      <c r="W80" s="54">
        <f t="shared" si="266"/>
        <v>-1.8969431158718152E-2</v>
      </c>
      <c r="X80" s="54">
        <f t="shared" si="266"/>
        <v>-1.8679277859637557E-2</v>
      </c>
      <c r="Y80" s="66">
        <f t="shared" ref="Y80:AD80" si="267">Y17/Y8</f>
        <v>-1.9870956638812453E-2</v>
      </c>
      <c r="Z80" s="66">
        <f t="shared" si="267"/>
        <v>-1.3546509088460466E-2</v>
      </c>
      <c r="AA80" s="54">
        <f t="shared" si="267"/>
        <v>-1.6877465525124962E-2</v>
      </c>
      <c r="AB80" s="54">
        <f t="shared" si="267"/>
        <v>-1.7329082801111093E-2</v>
      </c>
      <c r="AC80" s="54">
        <f t="shared" si="267"/>
        <v>-1.9000232096552928E-2</v>
      </c>
      <c r="AD80" s="66">
        <f t="shared" si="267"/>
        <v>-1.4895215825237165E-2</v>
      </c>
      <c r="AE80" s="54">
        <f t="shared" ref="AE80:AJ80" si="268">AE17/AE8</f>
        <v>-1.7947414336835037E-2</v>
      </c>
      <c r="AF80" s="66">
        <f t="shared" si="268"/>
        <v>-1.6991111007763272E-2</v>
      </c>
      <c r="AG80" s="54">
        <f t="shared" si="268"/>
        <v>-2.0185754186062187E-2</v>
      </c>
      <c r="AH80" s="66">
        <f t="shared" si="268"/>
        <v>-1.5250188148149149E-2</v>
      </c>
      <c r="AI80" s="54">
        <f t="shared" si="268"/>
        <v>-1.3631916109399279E-2</v>
      </c>
      <c r="AJ80" s="66">
        <f t="shared" si="268"/>
        <v>-1.0721606111103388E-2</v>
      </c>
      <c r="AK80" s="54">
        <f t="shared" ref="AK80:AP80" si="269">AK17/AK8</f>
        <v>-1.4478070560699543E-2</v>
      </c>
      <c r="AL80" s="66">
        <f t="shared" si="269"/>
        <v>-1.3125597489291693E-2</v>
      </c>
      <c r="AM80" s="54">
        <f t="shared" si="269"/>
        <v>-1.436297903024009E-2</v>
      </c>
      <c r="AN80" s="66">
        <f t="shared" si="269"/>
        <v>-1.7384563086164224E-2</v>
      </c>
      <c r="AO80" s="54">
        <f t="shared" si="269"/>
        <v>-2.3473713151840669E-2</v>
      </c>
      <c r="AP80" s="66">
        <f t="shared" si="269"/>
        <v>-1.6337900265598494E-2</v>
      </c>
      <c r="AQ80" s="54">
        <f t="shared" ref="AQ80:AV80" si="270">AQ17/AQ8</f>
        <v>-2.136599972734602E-2</v>
      </c>
      <c r="AR80" s="66">
        <f t="shared" si="270"/>
        <v>-1.8873292141195395E-2</v>
      </c>
      <c r="AS80" s="54">
        <f t="shared" si="270"/>
        <v>-3.0783400403461413E-2</v>
      </c>
      <c r="AT80" s="66">
        <f t="shared" si="270"/>
        <v>-1.5729128621109055E-2</v>
      </c>
      <c r="AU80" s="54">
        <f t="shared" si="270"/>
        <v>-8.9442288082412988E-3</v>
      </c>
      <c r="AV80" s="66">
        <f t="shared" si="270"/>
        <v>-1.3502438177449097E-2</v>
      </c>
      <c r="AW80" s="54">
        <f t="shared" ref="AW80:BB80" si="271">AW17/AW8</f>
        <v>-1.5283775557582318E-2</v>
      </c>
      <c r="AX80" s="66">
        <f t="shared" si="271"/>
        <v>-9.3181487978271603E-3</v>
      </c>
      <c r="AY80" s="54">
        <f t="shared" si="271"/>
        <v>-1.2702880378440603E-2</v>
      </c>
      <c r="AZ80" s="66">
        <f t="shared" si="271"/>
        <v>-9.6568091797547446E-3</v>
      </c>
      <c r="BA80" s="54">
        <f t="shared" si="271"/>
        <v>-1.1273729322228324E-2</v>
      </c>
      <c r="BB80" s="66">
        <f t="shared" si="271"/>
        <v>-9.2927113868684647E-3</v>
      </c>
      <c r="BC80" s="54">
        <f>BC17/BC8</f>
        <v>-1.1139893316440141E-2</v>
      </c>
      <c r="BD80" s="66">
        <f>BD17/BD8</f>
        <v>-8.9813452758552171E-3</v>
      </c>
      <c r="BE80" s="54">
        <f>BE17/BE8</f>
        <v>-1.1737695140492648E-2</v>
      </c>
      <c r="BF80" s="66">
        <f>BF17/BF8</f>
        <v>-1.3277745298488968E-2</v>
      </c>
      <c r="BG80" s="142"/>
      <c r="BH80" s="66">
        <f>BH17/BH8</f>
        <v>-1.4102113644041117E-2</v>
      </c>
      <c r="BI80" s="66">
        <f>BI17/BI8</f>
        <v>-1.7647156478854575E-2</v>
      </c>
      <c r="BJ80" s="66">
        <f>BJ17/BJ8</f>
        <v>-1.8193938697172778E-2</v>
      </c>
      <c r="BK80" s="54">
        <f>BK17/BK8</f>
        <v>-2.282151280402131E-2</v>
      </c>
      <c r="BL80" s="66">
        <f>BL17/BL8</f>
        <v>-1.4895215825237165E-2</v>
      </c>
      <c r="BM80" s="54"/>
      <c r="BN80" s="66">
        <f t="shared" ref="BN80:BS80" si="272">BN17/BN8</f>
        <v>-1.6519774851772126E-2</v>
      </c>
      <c r="BO80" s="66">
        <f t="shared" si="272"/>
        <v>-1.6592446327667189E-2</v>
      </c>
      <c r="BP80" s="66">
        <f t="shared" si="272"/>
        <v>-1.5250937696070634E-2</v>
      </c>
      <c r="BQ80" s="66">
        <f t="shared" si="272"/>
        <v>-1.6447462640882291E-2</v>
      </c>
      <c r="BR80" s="66">
        <f t="shared" si="272"/>
        <v>-1.45448726642767E-2</v>
      </c>
      <c r="BS80" s="66">
        <f t="shared" si="272"/>
        <v>-1.3767446912584065E-2</v>
      </c>
      <c r="BT80" s="66">
        <f>BT17/BT8</f>
        <v>-1.88875003560297E-2</v>
      </c>
      <c r="BU80" s="66">
        <f>BU17/BU8</f>
        <v>-1.2378047153334201E-2</v>
      </c>
      <c r="BV80" s="66">
        <f>BV17/BV8</f>
        <v>-1.1028971989312669E-2</v>
      </c>
      <c r="BW80" s="66">
        <f>BW17/BW8</f>
        <v>-1.0223262019728376E-2</v>
      </c>
      <c r="BX80" s="54"/>
      <c r="BY80" s="66">
        <f>BY17/BY8</f>
        <v>-1.591747191232374E-2</v>
      </c>
      <c r="BZ80" s="66">
        <f>BZ17/BZ8</f>
        <v>-1.6447462640882291E-2</v>
      </c>
      <c r="CA80" s="54"/>
      <c r="CG80" s="260"/>
    </row>
    <row r="81" spans="2:85" s="49" customFormat="1" ht="13.5" customHeight="1">
      <c r="B81" s="1" t="str">
        <f t="shared" si="237"/>
        <v>Operating Profit</v>
      </c>
      <c r="C81" s="66">
        <f t="shared" ref="C81:H81" si="273">C18/C8</f>
        <v>0.10162281384978303</v>
      </c>
      <c r="D81" s="66">
        <f t="shared" si="273"/>
        <v>0.10065583327172825</v>
      </c>
      <c r="E81" s="66">
        <f t="shared" si="273"/>
        <v>0.11860173270381082</v>
      </c>
      <c r="F81" s="66">
        <f t="shared" si="273"/>
        <v>9.9851426543187946E-2</v>
      </c>
      <c r="G81" s="66">
        <f t="shared" si="273"/>
        <v>0.10025027699922429</v>
      </c>
      <c r="H81" s="66">
        <f t="shared" si="273"/>
        <v>9.3586262591330904E-2</v>
      </c>
      <c r="I81" s="66">
        <f t="shared" ref="I81:N81" si="274">I18/I8</f>
        <v>7.3573142994040663E-2</v>
      </c>
      <c r="J81" s="66">
        <f t="shared" si="274"/>
        <v>5.105357806877265E-2</v>
      </c>
      <c r="K81" s="66">
        <f t="shared" si="274"/>
        <v>1.8475182004967221E-2</v>
      </c>
      <c r="L81" s="66">
        <f t="shared" si="274"/>
        <v>7.5093185267642526E-2</v>
      </c>
      <c r="M81" s="66">
        <f>M18/M8</f>
        <v>2.8989934815049686E-2</v>
      </c>
      <c r="N81" s="66">
        <f t="shared" si="274"/>
        <v>5.2116046235220356E-2</v>
      </c>
      <c r="O81" s="66">
        <f>O18/O8</f>
        <v>8.9141578634581206E-2</v>
      </c>
      <c r="P81" s="66">
        <f>P18/P8</f>
        <v>0.21611212301147756</v>
      </c>
      <c r="Q81" s="54"/>
      <c r="R81" s="66">
        <f t="shared" ref="R81:X81" si="275">R18/R8</f>
        <v>8.6009684952667628E-2</v>
      </c>
      <c r="S81" s="66">
        <f t="shared" si="275"/>
        <v>9.67879525271651E-2</v>
      </c>
      <c r="T81" s="66">
        <f t="shared" si="275"/>
        <v>0.15675860083793811</v>
      </c>
      <c r="U81" s="66">
        <f t="shared" si="275"/>
        <v>0.13355806464290307</v>
      </c>
      <c r="V81" s="54">
        <f t="shared" si="275"/>
        <v>9.3880276814750876E-2</v>
      </c>
      <c r="W81" s="54">
        <f t="shared" si="275"/>
        <v>0.10243381936409758</v>
      </c>
      <c r="X81" s="54">
        <f t="shared" si="275"/>
        <v>7.5005308578265137E-2</v>
      </c>
      <c r="Y81" s="66">
        <f t="shared" ref="Y81:AD81" si="276">Y18/Y8</f>
        <v>0.12329431555581062</v>
      </c>
      <c r="Z81" s="66">
        <f t="shared" si="276"/>
        <v>9.4645032037273355E-2</v>
      </c>
      <c r="AA81" s="54">
        <f t="shared" si="276"/>
        <v>9.3474599264142852E-2</v>
      </c>
      <c r="AB81" s="54">
        <f t="shared" si="276"/>
        <v>7.4604997794462335E-2</v>
      </c>
      <c r="AC81" s="54">
        <f t="shared" si="276"/>
        <v>0.10889288289839005</v>
      </c>
      <c r="AD81" s="66">
        <f t="shared" si="276"/>
        <v>4.4973460466857768E-2</v>
      </c>
      <c r="AE81" s="54">
        <f t="shared" ref="AE81:AJ81" si="277">AE18/AE8</f>
        <v>6.1482741550653551E-2</v>
      </c>
      <c r="AF81" s="66">
        <f t="shared" si="277"/>
        <v>3.781693462178564E-2</v>
      </c>
      <c r="AG81" s="54">
        <f t="shared" si="277"/>
        <v>5.8082601072921E-2</v>
      </c>
      <c r="AH81" s="66">
        <f t="shared" si="277"/>
        <v>1.8518786196999138E-2</v>
      </c>
      <c r="AI81" s="54">
        <f t="shared" si="277"/>
        <v>-9.6269987365535034E-2</v>
      </c>
      <c r="AJ81" s="66">
        <f t="shared" si="277"/>
        <v>1.4138785547689232E-2</v>
      </c>
      <c r="AK81" s="54">
        <f t="shared" ref="AK81:AP81" si="278">AK18/AK8</f>
        <v>8.3560062711331248E-2</v>
      </c>
      <c r="AL81" s="66">
        <f t="shared" si="278"/>
        <v>6.2946662993487321E-2</v>
      </c>
      <c r="AM81" s="54">
        <f t="shared" si="278"/>
        <v>7.1834067834128476E-2</v>
      </c>
      <c r="AN81" s="66">
        <f t="shared" si="278"/>
        <v>7.8862263741840175E-2</v>
      </c>
      <c r="AO81" s="54">
        <f t="shared" si="278"/>
        <v>8.3095827636567018E-2</v>
      </c>
      <c r="AP81" s="66">
        <f t="shared" si="278"/>
        <v>3.796404515495392E-2</v>
      </c>
      <c r="AQ81" s="54">
        <f t="shared" ref="AQ81:AV81" si="279">AQ18/AQ8</f>
        <v>7.0310591255930602E-2</v>
      </c>
      <c r="AR81" s="66">
        <f t="shared" si="279"/>
        <v>1.8339427673584187E-2</v>
      </c>
      <c r="AS81" s="54">
        <f t="shared" si="279"/>
        <v>-8.3010933016683108E-3</v>
      </c>
      <c r="AT81" s="66">
        <f t="shared" si="279"/>
        <v>3.8507763042865081E-3</v>
      </c>
      <c r="AU81" s="54">
        <f t="shared" si="279"/>
        <v>9.988726463334649E-2</v>
      </c>
      <c r="AV81" s="66">
        <f t="shared" si="279"/>
        <v>1.3115927641041525E-2</v>
      </c>
      <c r="AW81" s="54">
        <f t="shared" ref="AW81:BB81" si="280">AW18/AW8</f>
        <v>8.594884396211791E-2</v>
      </c>
      <c r="AX81" s="66">
        <f t="shared" si="280"/>
        <v>5.4941580691075034E-2</v>
      </c>
      <c r="AY81" s="54">
        <f t="shared" si="280"/>
        <v>0.10931543580969366</v>
      </c>
      <c r="AZ81" s="66">
        <f t="shared" si="280"/>
        <v>5.9111711512334894E-2</v>
      </c>
      <c r="BA81" s="54">
        <f t="shared" si="280"/>
        <v>0.12310536464865396</v>
      </c>
      <c r="BB81" s="66">
        <f t="shared" si="280"/>
        <v>9.1474963206660376E-2</v>
      </c>
      <c r="BC81" s="54">
        <f>BC18/BC8</f>
        <v>0.25133539842738106</v>
      </c>
      <c r="BD81" s="66">
        <f>BD18/BD8</f>
        <v>8.1170289811855229E-2</v>
      </c>
      <c r="BE81" s="54">
        <f>BE18/BE8</f>
        <v>0.39164631932491961</v>
      </c>
      <c r="BF81" s="66">
        <f>BF18/BF8</f>
        <v>9.4416073854138721E-2</v>
      </c>
      <c r="BG81" s="142"/>
      <c r="BH81" s="66">
        <f>BH18/BH8</f>
        <v>7.0817805196942876E-2</v>
      </c>
      <c r="BI81" s="66">
        <f>BI18/BI8</f>
        <v>7.4069932170372041E-2</v>
      </c>
      <c r="BJ81" s="66">
        <f>BJ18/BJ8</f>
        <v>5.32835956688349E-2</v>
      </c>
      <c r="BK81" s="54">
        <f>BK18/BK8</f>
        <v>2.7034818005936618E-2</v>
      </c>
      <c r="BL81" s="66">
        <f>BL18/BL8</f>
        <v>4.4973460466857781E-2</v>
      </c>
      <c r="BM81" s="54"/>
      <c r="BN81" s="66">
        <f t="shared" ref="BN81:BS81" si="281">BN18/BN8</f>
        <v>9.1481923624688655E-2</v>
      </c>
      <c r="BO81" s="66">
        <f t="shared" si="281"/>
        <v>9.8225104137014699E-2</v>
      </c>
      <c r="BP81" s="66">
        <f t="shared" si="281"/>
        <v>9.4046129247717269E-2</v>
      </c>
      <c r="BQ81" s="66">
        <f t="shared" si="281"/>
        <v>5.3369532640255304E-2</v>
      </c>
      <c r="BR81" s="66">
        <f t="shared" si="281"/>
        <v>-3.1511306043195408E-2</v>
      </c>
      <c r="BS81" s="66">
        <f t="shared" si="281"/>
        <v>6.7556700789233981E-2</v>
      </c>
      <c r="BT81" s="66">
        <f>BT18/BT8</f>
        <v>5.4366019199342551E-2</v>
      </c>
      <c r="BU81" s="66">
        <f>BU18/BU8</f>
        <v>5.1283473196779526E-2</v>
      </c>
      <c r="BV81" s="66">
        <f>BV18/BV8</f>
        <v>8.242501626990055E-2</v>
      </c>
      <c r="BW81" s="66">
        <f>BW18/BW8</f>
        <v>0.17200749050265679</v>
      </c>
      <c r="BX81" s="54"/>
      <c r="BY81" s="66">
        <f>BY18/BY8</f>
        <v>7.2483166058804033E-2</v>
      </c>
      <c r="BZ81" s="66">
        <f>BZ18/BZ8</f>
        <v>5.3369532640255291E-2</v>
      </c>
      <c r="CA81" s="54"/>
      <c r="CG81" s="260"/>
    </row>
    <row r="82" spans="2:85" s="49" customFormat="1" ht="13.5" customHeight="1">
      <c r="B82" s="1" t="s">
        <v>344</v>
      </c>
      <c r="C82" s="66">
        <f>C19/C154</f>
        <v>9.2592918389665893E-2</v>
      </c>
      <c r="D82" s="66">
        <f>D19/D154</f>
        <v>0.16337460241447438</v>
      </c>
      <c r="E82" s="66">
        <f>E19/E154</f>
        <v>7.5840054428074316E-2</v>
      </c>
      <c r="F82" s="66">
        <f t="shared" ref="F82:K82" si="282">F19/F154</f>
        <v>6.9806462548774192E-2</v>
      </c>
      <c r="G82" s="66">
        <f t="shared" si="282"/>
        <v>6.5138638819412467E-2</v>
      </c>
      <c r="H82" s="66">
        <f t="shared" si="282"/>
        <v>0.10588103530269008</v>
      </c>
      <c r="I82" s="66">
        <f t="shared" si="282"/>
        <v>0.1140955221266447</v>
      </c>
      <c r="J82" s="66">
        <f t="shared" si="282"/>
        <v>9.1347049670766484E-2</v>
      </c>
      <c r="K82" s="66">
        <f t="shared" si="282"/>
        <v>5.5835668870964271E-2</v>
      </c>
      <c r="L82" s="66">
        <f>L19/L154</f>
        <v>0.23349951408260705</v>
      </c>
      <c r="M82" s="66">
        <f>M19/M154</f>
        <v>9.9051895649071589E-2</v>
      </c>
      <c r="N82" s="66">
        <f>N19/N154</f>
        <v>4.3585531266087808E-2</v>
      </c>
      <c r="O82" s="66">
        <f>O19/O154</f>
        <v>6.274972855269173E-2</v>
      </c>
      <c r="P82" s="66">
        <f>P19/P154</f>
        <v>4.9821388713359595E-2</v>
      </c>
      <c r="Q82" s="54"/>
      <c r="R82" s="66"/>
      <c r="S82" s="66"/>
      <c r="T82" s="66"/>
      <c r="U82" s="66">
        <f t="shared" ref="U82:AC82" si="283">(R19+U19+S19+T19)/U154</f>
        <v>7.5840054428074316E-2</v>
      </c>
      <c r="V82" s="54">
        <f t="shared" si="283"/>
        <v>7.7680305289931945E-2</v>
      </c>
      <c r="W82" s="54">
        <f t="shared" si="283"/>
        <v>9.1027813740025651E-2</v>
      </c>
      <c r="X82" s="54">
        <f t="shared" si="283"/>
        <v>6.8045427235220002E-2</v>
      </c>
      <c r="Y82" s="66">
        <f t="shared" si="283"/>
        <v>6.9806462548774192E-2</v>
      </c>
      <c r="Z82" s="66">
        <f>(W19+Z19+X19+Y19)/Z154</f>
        <v>7.3964646175427126E-2</v>
      </c>
      <c r="AA82" s="54">
        <f t="shared" si="283"/>
        <v>0.11044129226606847</v>
      </c>
      <c r="AB82" s="54">
        <f t="shared" si="283"/>
        <v>0.16599516574734785</v>
      </c>
      <c r="AC82" s="54">
        <f t="shared" si="283"/>
        <v>0.10588103530269008</v>
      </c>
      <c r="AD82" s="66">
        <f>(H19+AD19-BH19)/AD154</f>
        <v>0.12948973038719228</v>
      </c>
      <c r="AE82" s="54">
        <f>(+AE19+AD19+H19-BH19-BI19)/AE154</f>
        <v>0.16269576483351261</v>
      </c>
      <c r="AF82" s="54">
        <f>(+AF19+AE19+H19-BI19-BJ19+AD19-BH19)/AF154</f>
        <v>0.11142771746780111</v>
      </c>
      <c r="AG82" s="54">
        <f>(AD19+AG19+AE19+AF19)/AG154</f>
        <v>9.1347049670766484E-2</v>
      </c>
      <c r="AH82" s="66">
        <f>SUM(AE19:AH19)/AH154</f>
        <v>5.6120334564324539E-2</v>
      </c>
      <c r="AI82" s="66">
        <f>SUM(AF19:AI19)/AI154</f>
        <v>5.020871493212805E-2</v>
      </c>
      <c r="AJ82" s="66">
        <f>SUM(AG19:AJ19)/AJ154</f>
        <v>6.1725500775466693E-2</v>
      </c>
      <c r="AK82" s="54">
        <f>(AH19+AK19+AI19+AJ19)/AK154</f>
        <v>5.5835668870964271E-2</v>
      </c>
      <c r="AL82" s="66">
        <f>SUM(AI19:AL19)/AL154</f>
        <v>6.1335093377547549E-2</v>
      </c>
      <c r="AM82" s="66">
        <f>SUM(AJ19:AM19)/AM154</f>
        <v>7.1253861896043713E-2</v>
      </c>
      <c r="AN82" s="66">
        <f>SUM(AK19:AN19)/AN154</f>
        <v>0.24316352777601505</v>
      </c>
      <c r="AO82" s="54">
        <f>(AL19+AO19+AM19+AN19)/AO154</f>
        <v>0.23349951408260705</v>
      </c>
      <c r="AP82" s="66">
        <f>SUM(AM19:AP19)/AP154</f>
        <v>0.30390097338271976</v>
      </c>
      <c r="AQ82" s="66">
        <f>SUM(AN19:AQ19)/AQ154</f>
        <v>0.19863095630906255</v>
      </c>
      <c r="AR82" s="66">
        <f>SUM(AO19:AR19)/AR154</f>
        <v>7.5242175163559924E-2</v>
      </c>
      <c r="AS82" s="54">
        <f>(AP19+AS19+AQ19+AR19)/AS154</f>
        <v>9.9051895649071589E-2</v>
      </c>
      <c r="AT82" s="66">
        <f>SUM(AQ19:AT19)/AT154</f>
        <v>0.15351153666335388</v>
      </c>
      <c r="AU82" s="66">
        <f>SUM(AR19:AU19)/AU154</f>
        <v>0.17397131160050583</v>
      </c>
      <c r="AV82" s="66">
        <f>SUM(AS19:AV19)/AV154</f>
        <v>8.0428468099929901E-2</v>
      </c>
      <c r="AW82" s="54">
        <f>(AT19+AW19+AU19+AV19)/AW154</f>
        <v>4.3585531266087808E-2</v>
      </c>
      <c r="AX82" s="66">
        <f>SUM(AU19:AX19)/AX154</f>
        <v>5.4405467578943462E-2</v>
      </c>
      <c r="AY82" s="66">
        <f>SUM(AV19:AY19)/AY154</f>
        <v>5.8234462444427086E-2</v>
      </c>
      <c r="AZ82" s="66">
        <f>SUM(AW19:AZ19)/AZ154</f>
        <v>5.0271787486666122E-2</v>
      </c>
      <c r="BA82" s="54">
        <f>(AX19+BA19+AY19+AZ19)/BA154</f>
        <v>6.274972855269173E-2</v>
      </c>
      <c r="BB82" s="66">
        <f>SUM(AY19:BB19)/BB154</f>
        <v>8.8195317342317142E-2</v>
      </c>
      <c r="BC82" s="66">
        <f>SUM(AZ19:BC19)/BC154</f>
        <v>6.5205483894635693E-2</v>
      </c>
      <c r="BD82" s="66">
        <f>SUM(BA19:BD19)/BD154</f>
        <v>7.5949845861900164E-2</v>
      </c>
      <c r="BE82" s="54">
        <f>(BB19+BE19+BC19+BD19)/BE154</f>
        <v>4.9821388713359595E-2</v>
      </c>
      <c r="BF82" s="66">
        <f>SUM(BC19:BF19)/BF154</f>
        <v>4.4680875065931276E-2</v>
      </c>
      <c r="BG82" s="142"/>
      <c r="BH82" s="66">
        <f>(W19+BH19+X19+Y19)/Z154</f>
        <v>7.3574957784176734E-2</v>
      </c>
      <c r="BI82" s="66">
        <f>(X19+BI19+Y19+BH19)/AA154</f>
        <v>0.10882897894815839</v>
      </c>
      <c r="BJ82" s="66">
        <f>(Y19+BJ19+Z19+AA19)/AB154</f>
        <v>0.16411428814709164</v>
      </c>
      <c r="BK82" s="54">
        <f>(AA19+BK19+AB19+AC19)/BK154</f>
        <v>0.12974579889541699</v>
      </c>
      <c r="BL82" s="66">
        <f>SUM(BI19:BL19)/BL154</f>
        <v>0.12079282369654205</v>
      </c>
      <c r="BM82" s="54"/>
      <c r="BN82" s="66">
        <f t="shared" ref="BN82:BS82" si="284">BN19/BN154*2</f>
        <v>7.8897620458971973E-2</v>
      </c>
      <c r="BO82" s="66">
        <f t="shared" si="284"/>
        <v>8.8403334498455305E-2</v>
      </c>
      <c r="BP82" s="66">
        <f t="shared" si="284"/>
        <v>0.14232388262864476</v>
      </c>
      <c r="BQ82" s="66">
        <f t="shared" si="284"/>
        <v>9.2771620097151619E-2</v>
      </c>
      <c r="BR82" s="66">
        <f t="shared" si="284"/>
        <v>7.462955326859505E-2</v>
      </c>
      <c r="BS82" s="66">
        <f t="shared" si="284"/>
        <v>0.10689459986985243</v>
      </c>
      <c r="BT82" s="66">
        <f>BT19/BT154*2</f>
        <v>0.10124144679034626</v>
      </c>
      <c r="BU82" s="66">
        <f>BU19/BU154*2</f>
        <v>0.17871190699475156</v>
      </c>
      <c r="BV82" s="66">
        <f>BV19/BV154*2</f>
        <v>9.420687292983447E-2</v>
      </c>
      <c r="BW82" s="66">
        <f>BW19/BW154*2</f>
        <v>5.3412339540796321E-2</v>
      </c>
      <c r="BX82" s="54"/>
      <c r="BY82" s="66">
        <f>BY19/BY154*2</f>
        <v>0.13909925599282452</v>
      </c>
      <c r="BZ82" s="66">
        <f>BZ19/BZ154*2</f>
        <v>9.2771620097151619E-2</v>
      </c>
      <c r="CA82" s="54"/>
      <c r="CG82" s="260"/>
    </row>
    <row r="83" spans="2:85" s="49" customFormat="1" ht="13.5" customHeight="1">
      <c r="B83" s="1" t="s">
        <v>345</v>
      </c>
      <c r="C83" s="66">
        <f t="shared" ref="C83:H83" si="285">-C20/C260</f>
        <v>4.5605039303576636E-2</v>
      </c>
      <c r="D83" s="66">
        <f t="shared" si="285"/>
        <v>5.0597497675466334E-2</v>
      </c>
      <c r="E83" s="66">
        <f t="shared" si="285"/>
        <v>5.5158897131886916E-2</v>
      </c>
      <c r="F83" s="66">
        <f t="shared" si="285"/>
        <v>5.1149252758495273E-2</v>
      </c>
      <c r="G83" s="66">
        <f t="shared" si="285"/>
        <v>5.0867265822717132E-2</v>
      </c>
      <c r="H83" s="66">
        <f t="shared" si="285"/>
        <v>4.7806686534524787E-2</v>
      </c>
      <c r="I83" s="66">
        <f t="shared" ref="I83:N83" si="286">-I20/I260</f>
        <v>5.3834443265227988E-2</v>
      </c>
      <c r="J83" s="66">
        <f t="shared" si="286"/>
        <v>4.9501569579108243E-2</v>
      </c>
      <c r="K83" s="66">
        <f t="shared" si="286"/>
        <v>5.4219552317589667E-2</v>
      </c>
      <c r="L83" s="66">
        <f t="shared" si="286"/>
        <v>4.9604770967825673E-2</v>
      </c>
      <c r="M83" s="66">
        <f>-M20/M260</f>
        <v>5.3185838269237062E-2</v>
      </c>
      <c r="N83" s="66">
        <f t="shared" si="286"/>
        <v>6.016999246730325E-2</v>
      </c>
      <c r="O83" s="66">
        <f>-O20/O260</f>
        <v>5.8384356115208827E-2</v>
      </c>
      <c r="P83" s="66">
        <f>-P20/P260</f>
        <v>6.883556382086653E-2</v>
      </c>
      <c r="Q83" s="54"/>
      <c r="R83" s="66"/>
      <c r="S83" s="66"/>
      <c r="T83" s="66"/>
      <c r="U83" s="66">
        <f t="shared" ref="U83:AG83" si="287">-(R20+S20+T20+U20)/U260</f>
        <v>5.5158897131886916E-2</v>
      </c>
      <c r="V83" s="54">
        <f t="shared" si="287"/>
        <v>5.5103179383136823E-2</v>
      </c>
      <c r="W83" s="54">
        <f t="shared" si="287"/>
        <v>5.048649309453792E-2</v>
      </c>
      <c r="X83" s="54">
        <f t="shared" si="287"/>
        <v>5.0085161464389065E-2</v>
      </c>
      <c r="Y83" s="66">
        <f t="shared" si="287"/>
        <v>5.1149252758495273E-2</v>
      </c>
      <c r="Z83" s="66">
        <f>-(W20+X20+Y20+Z20)/Z260</f>
        <v>5.1244409136288971E-2</v>
      </c>
      <c r="AA83" s="54">
        <f t="shared" si="287"/>
        <v>4.8429678353222448E-2</v>
      </c>
      <c r="AB83" s="54">
        <f t="shared" si="287"/>
        <v>4.5354943966481875E-2</v>
      </c>
      <c r="AC83" s="54">
        <f t="shared" si="287"/>
        <v>4.7806686534524787E-2</v>
      </c>
      <c r="AD83" s="66">
        <f>-(AA20+AB20+AC20+AD20)/AD260</f>
        <v>4.347426151443666E-2</v>
      </c>
      <c r="AE83" s="54">
        <f>-(AB20+AC20+AD20+AE20)/AE260</f>
        <v>4.6365356667760135E-2</v>
      </c>
      <c r="AF83" s="66">
        <f>-(H20+AD20+AE20+AF20-BH20-BI20-BJ20)/AF260</f>
        <v>4.3126575529400656E-2</v>
      </c>
      <c r="AG83" s="54">
        <f t="shared" si="287"/>
        <v>4.9501569579108243E-2</v>
      </c>
      <c r="AH83" s="66">
        <f t="shared" ref="AH83:BF83" si="288">-(AE20+AF20+AG20+AH20)/AH260</f>
        <v>3.9029493983802295E-2</v>
      </c>
      <c r="AI83" s="66">
        <f t="shared" si="288"/>
        <v>3.7701367877882475E-2</v>
      </c>
      <c r="AJ83" s="66">
        <f t="shared" si="288"/>
        <v>4.4679898962749799E-2</v>
      </c>
      <c r="AK83" s="54">
        <f t="shared" si="288"/>
        <v>5.4219552317589667E-2</v>
      </c>
      <c r="AL83" s="66">
        <f t="shared" si="288"/>
        <v>5.3484142360329279E-2</v>
      </c>
      <c r="AM83" s="66">
        <f t="shared" si="288"/>
        <v>5.5284498647700596E-2</v>
      </c>
      <c r="AN83" s="66">
        <f t="shared" si="288"/>
        <v>5.4255192219229781E-2</v>
      </c>
      <c r="AO83" s="54">
        <f t="shared" si="288"/>
        <v>4.9604770967825673E-2</v>
      </c>
      <c r="AP83" s="66">
        <f t="shared" si="288"/>
        <v>6.0810361099305849E-2</v>
      </c>
      <c r="AQ83" s="66">
        <f t="shared" si="288"/>
        <v>4.8326838683755244E-2</v>
      </c>
      <c r="AR83" s="66">
        <f t="shared" si="288"/>
        <v>4.3286438307822188E-2</v>
      </c>
      <c r="AS83" s="54">
        <f t="shared" si="288"/>
        <v>5.3185838269237062E-2</v>
      </c>
      <c r="AT83" s="66">
        <f t="shared" si="288"/>
        <v>5.3237073264576155E-2</v>
      </c>
      <c r="AU83" s="66">
        <f t="shared" si="288"/>
        <v>6.3355280977398495E-2</v>
      </c>
      <c r="AV83" s="66">
        <f t="shared" si="288"/>
        <v>6.2695539011619714E-2</v>
      </c>
      <c r="AW83" s="54">
        <f t="shared" si="288"/>
        <v>6.0169992467303236E-2</v>
      </c>
      <c r="AX83" s="66">
        <f t="shared" si="288"/>
        <v>5.615817669169542E-2</v>
      </c>
      <c r="AY83" s="66">
        <f t="shared" si="288"/>
        <v>5.6200915921463764E-2</v>
      </c>
      <c r="AZ83" s="66">
        <f>-(AW20+AX20+AY20+AZ20)/AZ260</f>
        <v>5.9868564410194863E-2</v>
      </c>
      <c r="BA83" s="54">
        <f t="shared" si="288"/>
        <v>5.8384356115208827E-2</v>
      </c>
      <c r="BB83" s="66">
        <f t="shared" si="288"/>
        <v>6.5953991713397997E-2</v>
      </c>
      <c r="BC83" s="66">
        <f t="shared" si="288"/>
        <v>6.5464704211190564E-2</v>
      </c>
      <c r="BD83" s="66">
        <f>-(BA20+BB20+BC20+BD20)/BD260</f>
        <v>6.4043514183244193E-2</v>
      </c>
      <c r="BE83" s="54">
        <f t="shared" si="288"/>
        <v>6.883556382086653E-2</v>
      </c>
      <c r="BF83" s="66">
        <f t="shared" si="288"/>
        <v>6.1854992076204263E-2</v>
      </c>
      <c r="BG83" s="142"/>
      <c r="BH83" s="66">
        <f>-(W20+X20+Y20+BH20)/Z260</f>
        <v>5.120047319554058E-2</v>
      </c>
      <c r="BI83" s="66">
        <f>-(X20+Y20+Z20+BI20)/AA260</f>
        <v>4.8402765430690636E-2</v>
      </c>
      <c r="BJ83" s="66">
        <f>-(Y20+Z20+AA20+BJ20)/AB260</f>
        <v>4.5342142168471447E-2</v>
      </c>
      <c r="BK83" s="54">
        <f>-(AA20+AB20+Z20+BK20)/AC260</f>
        <v>4.7711026952303663E-2</v>
      </c>
      <c r="BL83" s="66">
        <f>-(BI20+BJ20+BK20+BL20)/BL260</f>
        <v>4.3351138998284272E-2</v>
      </c>
      <c r="BM83" s="54"/>
      <c r="BN83" s="66">
        <f>-BN20/BN260*2</f>
        <v>6.3677252888310956E-2</v>
      </c>
      <c r="BO83" s="66">
        <f>-BO20/BO260*2</f>
        <v>5.0096494103137205E-2</v>
      </c>
      <c r="BP83" s="66" t="e">
        <f>-(#REF!+BN20+BO20+BP20)/BP260</f>
        <v>#REF!</v>
      </c>
      <c r="BQ83" s="66">
        <f>-(BO20+BP20+BY20+BQ20)/BQ260</f>
        <v>9.2786086093875536E-2</v>
      </c>
      <c r="BR83" s="66">
        <f>-(J20+BR20-BZ20)/BR260</f>
        <v>3.7701367877882475E-2</v>
      </c>
      <c r="BS83" s="66">
        <f>-(K20+BS20-BR20)/BS260</f>
        <v>5.5284498647700603E-2</v>
      </c>
      <c r="BT83" s="66">
        <f>-(L20+BT20-BS20)/BT260</f>
        <v>4.8326838683755244E-2</v>
      </c>
      <c r="BU83" s="66">
        <f>-(M20+BU20-BT20)/BU260</f>
        <v>6.3355280977398495E-2</v>
      </c>
      <c r="BV83" s="66">
        <f>-(N20+BV20-BU20)/BV260</f>
        <v>5.6200915921463777E-2</v>
      </c>
      <c r="BW83" s="66">
        <f>-(O20+BW20-BV20)/BW260</f>
        <v>6.5464704211190564E-2</v>
      </c>
      <c r="BX83" s="54"/>
      <c r="BY83" s="66"/>
      <c r="BZ83" s="66"/>
      <c r="CA83" s="54"/>
      <c r="CG83" s="260"/>
    </row>
    <row r="84" spans="2:85" s="49" customFormat="1" ht="13.5" customHeight="1">
      <c r="B84" s="1" t="str">
        <f t="shared" si="237"/>
        <v xml:space="preserve">Gain on net non-monetary position </v>
      </c>
      <c r="C84" s="66">
        <f t="shared" ref="C84:H84" si="289">C21/C8</f>
        <v>-7.840638280714499E-3</v>
      </c>
      <c r="D84" s="66">
        <f t="shared" si="289"/>
        <v>-3.4039985318224798E-3</v>
      </c>
      <c r="E84" s="66">
        <f t="shared" si="289"/>
        <v>-1.5225260225382097E-4</v>
      </c>
      <c r="F84" s="66">
        <f t="shared" si="289"/>
        <v>-2.973476258892109E-4</v>
      </c>
      <c r="G84" s="66">
        <f t="shared" si="289"/>
        <v>-2.9853536291303762E-4</v>
      </c>
      <c r="H84" s="66">
        <f t="shared" si="289"/>
        <v>-3.6772271620194351E-3</v>
      </c>
      <c r="I84" s="66">
        <f t="shared" ref="I84:N84" si="290">I21/I8</f>
        <v>-3.8841448677068863E-3</v>
      </c>
      <c r="J84" s="66">
        <f t="shared" si="290"/>
        <v>-5.4227304660236977E-3</v>
      </c>
      <c r="K84" s="66">
        <f t="shared" si="290"/>
        <v>-6.5432108650115336E-3</v>
      </c>
      <c r="L84" s="66">
        <f t="shared" si="290"/>
        <v>-7.20354143328596E-3</v>
      </c>
      <c r="M84" s="66">
        <f>M21/M8</f>
        <v>-1.3824440001991544E-2</v>
      </c>
      <c r="N84" s="66">
        <f t="shared" si="290"/>
        <v>-8.8028114052434846E-4</v>
      </c>
      <c r="O84" s="66">
        <f>O21/O8</f>
        <v>-3.9501047569226126E-3</v>
      </c>
      <c r="P84" s="66">
        <f>P21/P8</f>
        <v>1.9932047989984908E-3</v>
      </c>
      <c r="Q84" s="54"/>
      <c r="R84" s="66">
        <f t="shared" ref="R84:X84" si="291">R21/R8</f>
        <v>-3.5745043891585927E-4</v>
      </c>
      <c r="S84" s="66">
        <f t="shared" si="291"/>
        <v>1.6448039570570645E-3</v>
      </c>
      <c r="T84" s="66">
        <f t="shared" si="291"/>
        <v>-2.3524579870099825E-3</v>
      </c>
      <c r="U84" s="66">
        <f t="shared" si="291"/>
        <v>3.0386914748396809E-4</v>
      </c>
      <c r="V84" s="54">
        <f t="shared" si="291"/>
        <v>1.2321778682859877E-3</v>
      </c>
      <c r="W84" s="54">
        <f t="shared" si="291"/>
        <v>-3.5030681551772606E-3</v>
      </c>
      <c r="X84" s="54">
        <f t="shared" si="291"/>
        <v>2.4757527560478349E-3</v>
      </c>
      <c r="Y84" s="66">
        <f t="shared" ref="Y84:AD84" si="292">Y21/Y8</f>
        <v>-1.1162954831528897E-3</v>
      </c>
      <c r="Z84" s="66">
        <f t="shared" si="292"/>
        <v>-1.6580337062608965E-3</v>
      </c>
      <c r="AA84" s="54">
        <f t="shared" si="292"/>
        <v>-4.7957657622430113E-3</v>
      </c>
      <c r="AB84" s="54">
        <f t="shared" si="292"/>
        <v>-8.0715963668456167E-3</v>
      </c>
      <c r="AC84" s="54">
        <f t="shared" si="292"/>
        <v>-6.6891824069522645E-4</v>
      </c>
      <c r="AD84" s="66">
        <f t="shared" si="292"/>
        <v>7.6013888152415407E-4</v>
      </c>
      <c r="AE84" s="54">
        <f t="shared" ref="AE84:AJ84" si="293">AE21/AE8</f>
        <v>-5.3454603793016229E-3</v>
      </c>
      <c r="AF84" s="66">
        <f t="shared" si="293"/>
        <v>-1.3318824182066417E-2</v>
      </c>
      <c r="AG84" s="54">
        <f t="shared" si="293"/>
        <v>-4.1841172875562915E-3</v>
      </c>
      <c r="AH84" s="66">
        <f t="shared" si="293"/>
        <v>-1.366361708168698E-2</v>
      </c>
      <c r="AI84" s="54">
        <f t="shared" si="293"/>
        <v>-1.0795025092824985E-2</v>
      </c>
      <c r="AJ84" s="66">
        <f t="shared" si="293"/>
        <v>-2.4666587246226328E-3</v>
      </c>
      <c r="AK84" s="54">
        <f t="shared" ref="AK84:AP84" si="294">AK21/AK8</f>
        <v>-2.6417624512395086E-3</v>
      </c>
      <c r="AL84" s="66">
        <f t="shared" si="294"/>
        <v>-1.0669375533878488E-2</v>
      </c>
      <c r="AM84" s="54">
        <f t="shared" si="294"/>
        <v>-8.5987696761279479E-3</v>
      </c>
      <c r="AN84" s="66">
        <f t="shared" si="294"/>
        <v>-9.783934506076921E-3</v>
      </c>
      <c r="AO84" s="54">
        <f t="shared" si="294"/>
        <v>-1.476932000584624E-3</v>
      </c>
      <c r="AP84" s="66">
        <f t="shared" si="294"/>
        <v>4.8205618100180501E-3</v>
      </c>
      <c r="AQ84" s="54">
        <f t="shared" ref="AQ84:AV84" si="295">AQ21/AQ8</f>
        <v>-2.0660671942886819E-2</v>
      </c>
      <c r="AR84" s="66">
        <f t="shared" si="295"/>
        <v>-2.9491779059393482E-2</v>
      </c>
      <c r="AS84" s="54">
        <f t="shared" si="295"/>
        <v>-1.0443284540758452E-2</v>
      </c>
      <c r="AT84" s="66">
        <f t="shared" si="295"/>
        <v>-5.3104754562633052E-3</v>
      </c>
      <c r="AU84" s="54">
        <f t="shared" si="295"/>
        <v>1.5986360703220166E-4</v>
      </c>
      <c r="AV84" s="66">
        <f t="shared" si="295"/>
        <v>1.0574729330905897E-3</v>
      </c>
      <c r="AW84" s="54">
        <f t="shared" ref="AW84:BB84" si="296">AW21/AW8</f>
        <v>4.3579540740495563E-4</v>
      </c>
      <c r="AX84" s="66">
        <f t="shared" si="296"/>
        <v>-4.787243139812207E-3</v>
      </c>
      <c r="AY84" s="54">
        <f t="shared" si="296"/>
        <v>-8.9532813961061865E-3</v>
      </c>
      <c r="AZ84" s="66">
        <f t="shared" si="296"/>
        <v>9.0176387743066955E-4</v>
      </c>
      <c r="BA84" s="54">
        <f t="shared" si="296"/>
        <v>-3.1133682008860895E-3</v>
      </c>
      <c r="BB84" s="66">
        <f t="shared" si="296"/>
        <v>1.2730741821605992E-3</v>
      </c>
      <c r="BC84" s="54">
        <f>BC21/BC8</f>
        <v>1.986738577228038E-3</v>
      </c>
      <c r="BD84" s="66">
        <f>BD21/BD8</f>
        <v>2.1287282350050465E-3</v>
      </c>
      <c r="BE84" s="54">
        <f>BE21/BE8</f>
        <v>2.4601826134143631E-3</v>
      </c>
      <c r="BF84" s="66">
        <f>BF21/BF8</f>
        <v>-1.4830399569939535E-3</v>
      </c>
      <c r="BG84" s="142"/>
      <c r="BH84" s="66">
        <f>BH21/BH8</f>
        <v>-1.7538483452911135E-3</v>
      </c>
      <c r="BI84" s="66">
        <f>BI21/BI8</f>
        <v>-5.0695615517367086E-3</v>
      </c>
      <c r="BJ84" s="66">
        <f>BJ21/BJ8</f>
        <v>-8.4771433516059574E-3</v>
      </c>
      <c r="BK84" s="54">
        <f>BK21/BK8</f>
        <v>-7.369943616779616E-4</v>
      </c>
      <c r="BL84" s="66">
        <f>BL21/BL8</f>
        <v>7.6013888152415407E-4</v>
      </c>
      <c r="BM84" s="54"/>
      <c r="BN84" s="66">
        <f t="shared" ref="BN84:BS84" si="297">BN21/BN8</f>
        <v>6.5911496560166431E-4</v>
      </c>
      <c r="BO84" s="66">
        <f t="shared" si="297"/>
        <v>-1.1731210101249905E-3</v>
      </c>
      <c r="BP84" s="66">
        <f t="shared" si="297"/>
        <v>-3.2635906629248893E-3</v>
      </c>
      <c r="BQ84" s="66">
        <f t="shared" si="297"/>
        <v>-2.3449661679047812E-3</v>
      </c>
      <c r="BR84" s="66">
        <f t="shared" si="297"/>
        <v>-1.2413356125426612E-2</v>
      </c>
      <c r="BS84" s="66">
        <f t="shared" si="297"/>
        <v>-9.595319447148476E-3</v>
      </c>
      <c r="BT84" s="66">
        <f>BT21/BT8</f>
        <v>-8.100215985838358E-3</v>
      </c>
      <c r="BU84" s="66">
        <f>BU21/BU8</f>
        <v>-2.6086593111393774E-3</v>
      </c>
      <c r="BV84" s="66">
        <f>BV21/BV8</f>
        <v>-6.8929802405934271E-3</v>
      </c>
      <c r="BW84" s="66">
        <f>BW21/BW8</f>
        <v>1.6325952687671478E-3</v>
      </c>
      <c r="BX84" s="54"/>
      <c r="BY84" s="66">
        <f>BY21/BY8</f>
        <v>-3.45177067375055E-3</v>
      </c>
      <c r="BZ84" s="66">
        <f>BZ21/BZ8</f>
        <v>-2.3449661679047812E-3</v>
      </c>
      <c r="CA84" s="54"/>
      <c r="CG84" s="260"/>
    </row>
    <row r="85" spans="2:85" s="49" customFormat="1" ht="13.5" customHeight="1">
      <c r="B85" s="1" t="str">
        <f t="shared" si="237"/>
        <v>Profit before tax</v>
      </c>
      <c r="C85" s="66">
        <f t="shared" ref="C85:H85" si="298">C22/C8</f>
        <v>7.6779724350958728E-2</v>
      </c>
      <c r="D85" s="66">
        <f t="shared" si="298"/>
        <v>7.9173693204020054E-2</v>
      </c>
      <c r="E85" s="66">
        <f t="shared" si="298"/>
        <v>9.4102420283008012E-2</v>
      </c>
      <c r="F85" s="66">
        <f t="shared" si="298"/>
        <v>7.768509872362811E-2</v>
      </c>
      <c r="G85" s="66">
        <f t="shared" si="298"/>
        <v>7.7995407130085834E-2</v>
      </c>
      <c r="H85" s="66">
        <f t="shared" si="298"/>
        <v>7.2908599370458613E-2</v>
      </c>
      <c r="I85" s="66">
        <f t="shared" ref="I85:N85" si="299">I22/I8</f>
        <v>5.1521818147062116E-2</v>
      </c>
      <c r="J85" s="66">
        <f t="shared" si="299"/>
        <v>2.296890275916556E-2</v>
      </c>
      <c r="K85" s="66">
        <f t="shared" si="299"/>
        <v>-1.0601880140887488E-2</v>
      </c>
      <c r="L85" s="66">
        <f t="shared" si="299"/>
        <v>5.7251948731223412E-2</v>
      </c>
      <c r="M85" s="66">
        <f>M22/M8</f>
        <v>-8.5456238253703107E-3</v>
      </c>
      <c r="N85" s="66">
        <f t="shared" si="299"/>
        <v>1.8799215877958811E-2</v>
      </c>
      <c r="O85" s="66">
        <f>O22/O8</f>
        <v>6.1170227383935599E-2</v>
      </c>
      <c r="P85" s="66">
        <f>P22/P8</f>
        <v>0.19549310465463637</v>
      </c>
      <c r="Q85" s="54"/>
      <c r="R85" s="66">
        <f t="shared" ref="R85:X85" si="300">R22/R8</f>
        <v>5.8955398791612247E-2</v>
      </c>
      <c r="S85" s="66">
        <f t="shared" si="300"/>
        <v>7.1227946583324944E-2</v>
      </c>
      <c r="T85" s="66">
        <f t="shared" si="300"/>
        <v>0.13066260691718551</v>
      </c>
      <c r="U85" s="66">
        <f t="shared" si="300"/>
        <v>0.11356943558351761</v>
      </c>
      <c r="V85" s="54">
        <f t="shared" si="300"/>
        <v>7.0509357184249721E-2</v>
      </c>
      <c r="W85" s="54">
        <f t="shared" si="300"/>
        <v>7.9186992577158485E-2</v>
      </c>
      <c r="X85" s="54">
        <f t="shared" si="300"/>
        <v>5.3247428395099945E-2</v>
      </c>
      <c r="Y85" s="66">
        <f t="shared" ref="Y85:AD85" si="301">Y22/Y8</f>
        <v>0.10272886746549406</v>
      </c>
      <c r="Z85" s="66">
        <f t="shared" si="301"/>
        <v>6.986702851480453E-2</v>
      </c>
      <c r="AA85" s="54">
        <f t="shared" si="301"/>
        <v>7.3115868163568923E-2</v>
      </c>
      <c r="AB85" s="54">
        <f t="shared" si="301"/>
        <v>5.0586087118840793E-2</v>
      </c>
      <c r="AC85" s="54">
        <f t="shared" si="301"/>
        <v>9.4255761362200138E-2</v>
      </c>
      <c r="AD85" s="66">
        <f t="shared" si="301"/>
        <v>1.9838812518827121E-2</v>
      </c>
      <c r="AE85" s="54">
        <f t="shared" ref="AE85:AJ85" si="302">AE22/AE8</f>
        <v>3.054216196725764E-2</v>
      </c>
      <c r="AF85" s="66">
        <f t="shared" si="302"/>
        <v>8.0964237143435949E-3</v>
      </c>
      <c r="AG85" s="54">
        <f t="shared" si="302"/>
        <v>3.1369782415386502E-2</v>
      </c>
      <c r="AH85" s="66">
        <f t="shared" si="302"/>
        <v>-8.4314688260203937E-3</v>
      </c>
      <c r="AI85" s="54">
        <f t="shared" si="302"/>
        <v>-0.13202725962613607</v>
      </c>
      <c r="AJ85" s="66">
        <f t="shared" si="302"/>
        <v>-1.1719015852982115E-2</v>
      </c>
      <c r="AK85" s="54">
        <f t="shared" ref="AK85:AP85" si="303">AK22/AK8</f>
        <v>5.3963789199044085E-2</v>
      </c>
      <c r="AL85" s="66">
        <f t="shared" si="303"/>
        <v>4.0980351617003578E-2</v>
      </c>
      <c r="AM85" s="54">
        <f t="shared" si="303"/>
        <v>4.9710714274157054E-2</v>
      </c>
      <c r="AN85" s="66">
        <f t="shared" si="303"/>
        <v>7.4672948749721912E-2</v>
      </c>
      <c r="AO85" s="54">
        <f t="shared" si="303"/>
        <v>5.9976218247509989E-2</v>
      </c>
      <c r="AP85" s="66">
        <f t="shared" si="303"/>
        <v>2.2286576228455809E-3</v>
      </c>
      <c r="AQ85" s="54">
        <f t="shared" ref="AQ85:AV85" si="304">AQ22/AQ8</f>
        <v>4.5434013309672207E-2</v>
      </c>
      <c r="AR85" s="66">
        <f t="shared" si="304"/>
        <v>-2.6644657052107015E-2</v>
      </c>
      <c r="AS85" s="54">
        <f t="shared" si="304"/>
        <v>-5.2677770227814134E-2</v>
      </c>
      <c r="AT85" s="66">
        <f t="shared" si="304"/>
        <v>-3.3415205675307855E-2</v>
      </c>
      <c r="AU85" s="54">
        <f t="shared" si="304"/>
        <v>6.4392504495466713E-2</v>
      </c>
      <c r="AV85" s="66">
        <f t="shared" si="304"/>
        <v>-1.506729618196267E-2</v>
      </c>
      <c r="AW85" s="54">
        <f t="shared" ref="AW85:BB85" si="305">AW22/AW8</f>
        <v>5.3570616990278611E-2</v>
      </c>
      <c r="AX85" s="66">
        <f t="shared" si="305"/>
        <v>2.4397628934259417E-2</v>
      </c>
      <c r="AY85" s="54">
        <f t="shared" si="305"/>
        <v>7.1256936822015435E-2</v>
      </c>
      <c r="AZ85" s="66">
        <f t="shared" si="305"/>
        <v>3.0244398312047508E-2</v>
      </c>
      <c r="BA85" s="54">
        <f t="shared" si="305"/>
        <v>0.10583519702147</v>
      </c>
      <c r="BB85" s="66">
        <f t="shared" si="305"/>
        <v>6.5129329349077281E-2</v>
      </c>
      <c r="BC85" s="54">
        <f>BC22/BC8</f>
        <v>0.22888713758328855</v>
      </c>
      <c r="BD85" s="66">
        <f>BD22/BD8</f>
        <v>6.5016167444421513E-2</v>
      </c>
      <c r="BE85" s="54">
        <f>BE22/BE8</f>
        <v>0.37351634652528415</v>
      </c>
      <c r="BF85" s="66">
        <f>BF22/BF8</f>
        <v>7.6344140338009653E-2</v>
      </c>
      <c r="BG85" s="142"/>
      <c r="BH85" s="66">
        <f>BH22/BH8</f>
        <v>4.4479044207830533E-2</v>
      </c>
      <c r="BI85" s="66">
        <f>BI22/BI8</f>
        <v>5.2372094400840306E-2</v>
      </c>
      <c r="BJ85" s="66">
        <f>BJ22/BJ8</f>
        <v>2.7606100791642205E-2</v>
      </c>
      <c r="BK85" s="54">
        <f>BK22/BK8</f>
        <v>8.1417152555995666E-3</v>
      </c>
      <c r="BL85" s="66">
        <f>BL22/BL8</f>
        <v>1.9838812518827135E-2</v>
      </c>
      <c r="BM85" s="54"/>
      <c r="BN85" s="66">
        <f t="shared" ref="BN85:BS85" si="306">BN22/BN8</f>
        <v>6.5186299088515268E-2</v>
      </c>
      <c r="BO85" s="66">
        <f t="shared" si="306"/>
        <v>7.4917218269904023E-2</v>
      </c>
      <c r="BP85" s="66">
        <f t="shared" si="306"/>
        <v>7.1529438499498638E-2</v>
      </c>
      <c r="BQ85" s="66">
        <f t="shared" si="306"/>
        <v>2.5282180646729609E-2</v>
      </c>
      <c r="BR85" s="66">
        <f t="shared" si="306"/>
        <v>-6.2300053900334731E-2</v>
      </c>
      <c r="BS85" s="66">
        <f t="shared" si="306"/>
        <v>4.5508929142357914E-2</v>
      </c>
      <c r="BT85" s="66">
        <f>BT22/BT8</f>
        <v>2.4136811907438934E-2</v>
      </c>
      <c r="BU85" s="66">
        <f>BU22/BU8</f>
        <v>1.4892302762350642E-2</v>
      </c>
      <c r="BV85" s="66">
        <f>BV22/BV8</f>
        <v>4.8082813050632792E-2</v>
      </c>
      <c r="BW85" s="66">
        <f>BW22/BW8</f>
        <v>0.14762522737003297</v>
      </c>
      <c r="BX85" s="54"/>
      <c r="BY85" s="66">
        <f>BY22/BY8</f>
        <v>4.8520945701696142E-2</v>
      </c>
      <c r="BZ85" s="66">
        <f>BZ22/BZ8</f>
        <v>2.5282180646729591E-2</v>
      </c>
      <c r="CA85" s="54"/>
      <c r="CG85" s="260"/>
    </row>
    <row r="86" spans="2:85" s="49" customFormat="1" ht="13.5" customHeight="1">
      <c r="B86" s="7" t="s">
        <v>346</v>
      </c>
      <c r="C86" s="66">
        <f t="shared" ref="C86:H86" si="307">C23/C22</f>
        <v>-0.18768488499529801</v>
      </c>
      <c r="D86" s="66">
        <f t="shared" si="307"/>
        <v>-0.2184501660760135</v>
      </c>
      <c r="E86" s="66">
        <f t="shared" si="307"/>
        <v>-0.19990624034400387</v>
      </c>
      <c r="F86" s="66">
        <f t="shared" si="307"/>
        <v>-0.24974690461160759</v>
      </c>
      <c r="G86" s="66">
        <f t="shared" si="307"/>
        <v>-0.24974690461160787</v>
      </c>
      <c r="H86" s="66">
        <f t="shared" si="307"/>
        <v>-0.24680271148165486</v>
      </c>
      <c r="I86" s="66">
        <f t="shared" ref="I86:N86" si="308">I23/I22</f>
        <v>-0.24615804736233865</v>
      </c>
      <c r="J86" s="66">
        <f t="shared" si="308"/>
        <v>-0.33569753863729468</v>
      </c>
      <c r="K86" s="66">
        <f t="shared" si="308"/>
        <v>5.9719710412128334E-2</v>
      </c>
      <c r="L86" s="66">
        <f t="shared" si="308"/>
        <v>-0.23207896878943896</v>
      </c>
      <c r="M86" s="66">
        <f>M23/M22</f>
        <v>-0.90367156593609999</v>
      </c>
      <c r="N86" s="66">
        <f t="shared" si="308"/>
        <v>-0.15871496152643808</v>
      </c>
      <c r="O86" s="66">
        <f>O23/O22</f>
        <v>-0.31817441564863969</v>
      </c>
      <c r="P86" s="66">
        <f>P23/P22</f>
        <v>-0.24157193953964051</v>
      </c>
      <c r="Q86" s="54"/>
      <c r="R86" s="66">
        <f t="shared" ref="R86:X86" si="309">R23/R22</f>
        <v>-0.18311706697208086</v>
      </c>
      <c r="S86" s="66">
        <f t="shared" si="309"/>
        <v>-0.21674991408103178</v>
      </c>
      <c r="T86" s="66">
        <f t="shared" si="309"/>
        <v>-8.7164094100929235E-2</v>
      </c>
      <c r="U86" s="66">
        <f t="shared" si="309"/>
        <v>-0.30873933171053503</v>
      </c>
      <c r="V86" s="54">
        <f t="shared" si="309"/>
        <v>-0.21404401154925379</v>
      </c>
      <c r="W86" s="54">
        <f t="shared" si="309"/>
        <v>-0.25142900167940141</v>
      </c>
      <c r="X86" s="54">
        <f t="shared" si="309"/>
        <v>-0.26289613390072036</v>
      </c>
      <c r="Y86" s="66">
        <f t="shared" ref="Y86:AD86" si="310">Y23/Y22</f>
        <v>-0.26345450415975269</v>
      </c>
      <c r="Z86" s="66">
        <f t="shared" si="310"/>
        <v>-0.25459537124089454</v>
      </c>
      <c r="AA86" s="54">
        <f t="shared" si="310"/>
        <v>-0.18361781288046283</v>
      </c>
      <c r="AB86" s="54">
        <f t="shared" si="310"/>
        <v>-0.24923167071501937</v>
      </c>
      <c r="AC86" s="54">
        <f t="shared" si="310"/>
        <v>-0.28449005337021716</v>
      </c>
      <c r="AD86" s="66">
        <f t="shared" si="310"/>
        <v>-0.37670898934372188</v>
      </c>
      <c r="AE86" s="54">
        <f t="shared" ref="AE86:AJ86" si="311">AE23/AE22</f>
        <v>-0.24340960776585446</v>
      </c>
      <c r="AF86" s="66">
        <f t="shared" si="311"/>
        <v>-0.64084363313047965</v>
      </c>
      <c r="AG86" s="54">
        <f t="shared" si="311"/>
        <v>-0.3272661018629946</v>
      </c>
      <c r="AH86" s="66">
        <f t="shared" si="311"/>
        <v>0.13712390846183686</v>
      </c>
      <c r="AI86" s="54">
        <f t="shared" si="311"/>
        <v>-0.25693544609573682</v>
      </c>
      <c r="AJ86" s="66">
        <f t="shared" si="311"/>
        <v>-2.7198765233890712E-2</v>
      </c>
      <c r="AK86" s="54">
        <f t="shared" ref="AK86:AP86" si="312">AK23/AK22</f>
        <v>-0.36303000320488971</v>
      </c>
      <c r="AL86" s="66">
        <f t="shared" si="312"/>
        <v>-0.24544077521928911</v>
      </c>
      <c r="AM86" s="54">
        <f t="shared" si="312"/>
        <v>-0.28733802491283211</v>
      </c>
      <c r="AN86" s="66">
        <f t="shared" si="312"/>
        <v>-0.25631613469756021</v>
      </c>
      <c r="AO86" s="54">
        <f t="shared" si="312"/>
        <v>-0.16484055151318164</v>
      </c>
      <c r="AP86" s="66">
        <f t="shared" si="312"/>
        <v>3.0659657636133559</v>
      </c>
      <c r="AQ86" s="54">
        <f t="shared" ref="AQ86:AV86" si="313">AQ23/AQ22</f>
        <v>-0.16951934491414064</v>
      </c>
      <c r="AR86" s="66">
        <f t="shared" si="313"/>
        <v>-0.44959801718950493</v>
      </c>
      <c r="AS86" s="54">
        <f t="shared" si="313"/>
        <v>-0.36367719502653406</v>
      </c>
      <c r="AT86" s="66">
        <f t="shared" si="313"/>
        <v>-0.27158189546736827</v>
      </c>
      <c r="AU86" s="54">
        <f t="shared" si="313"/>
        <v>-0.2160340363398669</v>
      </c>
      <c r="AV86" s="66">
        <f t="shared" si="313"/>
        <v>-0.40889436298967902</v>
      </c>
      <c r="AW86" s="54">
        <f t="shared" ref="AW86:BB86" si="314">AW23/AW22</f>
        <v>-0.21992512076037474</v>
      </c>
      <c r="AX86" s="66">
        <f t="shared" si="314"/>
        <v>-0.39734819220456652</v>
      </c>
      <c r="AY86" s="54">
        <f t="shared" si="314"/>
        <v>-0.39450259976048435</v>
      </c>
      <c r="AZ86" s="66">
        <f t="shared" si="314"/>
        <v>-0.299705291551004</v>
      </c>
      <c r="BA86" s="54">
        <f t="shared" si="314"/>
        <v>-0.267336419807231</v>
      </c>
      <c r="BB86" s="66">
        <f t="shared" si="314"/>
        <v>-0.25085992439168853</v>
      </c>
      <c r="BC86" s="54">
        <f>BC23/BC22</f>
        <v>-0.25780285684555204</v>
      </c>
      <c r="BD86" s="66">
        <f>BD23/BD22</f>
        <v>-0.26002914683855427</v>
      </c>
      <c r="BE86" s="54">
        <f>BE23/BE22</f>
        <v>-0.22982397579503894</v>
      </c>
      <c r="BF86" s="66">
        <f>BF23/BF22</f>
        <v>-0.29503983269431633</v>
      </c>
      <c r="BG86" s="142"/>
      <c r="BH86" s="66">
        <f>BH23/BH22</f>
        <v>-0.25907511518490195</v>
      </c>
      <c r="BI86" s="66">
        <f>BI23/BI22</f>
        <v>-0.15379306727975148</v>
      </c>
      <c r="BJ86" s="66">
        <f>BJ23/BJ22</f>
        <v>-0.24799733667457902</v>
      </c>
      <c r="BK86" s="54">
        <f>BK23/BK22</f>
        <v>-0.78470780597765299</v>
      </c>
      <c r="BL86" s="66">
        <f>BL23/BL22</f>
        <v>-0.3767089893437216</v>
      </c>
      <c r="BM86" s="54"/>
      <c r="BN86" s="66">
        <f t="shared" ref="BN86:BS86" si="315">BN23/BN22</f>
        <v>-0.20177544132985809</v>
      </c>
      <c r="BO86" s="66">
        <f t="shared" si="315"/>
        <v>-0.23411625783125525</v>
      </c>
      <c r="BP86" s="66">
        <f t="shared" si="315"/>
        <v>-0.21747111661690538</v>
      </c>
      <c r="BQ86" s="66">
        <f t="shared" si="315"/>
        <v>-0.29481323610263005</v>
      </c>
      <c r="BR86" s="66">
        <f t="shared" si="315"/>
        <v>-0.22684871262546555</v>
      </c>
      <c r="BS86" s="66">
        <f t="shared" si="315"/>
        <v>-0.26918010340347265</v>
      </c>
      <c r="BT86" s="66">
        <f>BT23/BT22</f>
        <v>-2.2258323815431112E-2</v>
      </c>
      <c r="BU86" s="66">
        <f>BU23/BU22</f>
        <v>-0.15295522737872499</v>
      </c>
      <c r="BV86" s="66">
        <f>BV23/BV22</f>
        <v>-0.39521666502153635</v>
      </c>
      <c r="BW86" s="66">
        <f>BW23/BW22</f>
        <v>-0.25628285548462848</v>
      </c>
      <c r="BX86" s="54"/>
      <c r="BY86" s="66">
        <f>BY23/BY22</f>
        <v>-0.20088276869104299</v>
      </c>
      <c r="BZ86" s="66">
        <f>BZ23/BZ22</f>
        <v>-0.29481323610263022</v>
      </c>
      <c r="CA86" s="54"/>
      <c r="CG86" s="260"/>
    </row>
    <row r="87" spans="2:85" s="49" customFormat="1" ht="13.5" customHeight="1">
      <c r="B87" s="1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54"/>
      <c r="R87" s="66"/>
      <c r="S87" s="66"/>
      <c r="T87" s="66"/>
      <c r="U87" s="66"/>
      <c r="V87" s="54"/>
      <c r="W87" s="54"/>
      <c r="Y87" s="66"/>
      <c r="Z87" s="66"/>
      <c r="AA87" s="54"/>
      <c r="AB87" s="54"/>
      <c r="AC87" s="54"/>
      <c r="AD87" s="66"/>
      <c r="AE87" s="54"/>
      <c r="AF87" s="66"/>
      <c r="AG87" s="54"/>
      <c r="AH87" s="66"/>
      <c r="AI87" s="54"/>
      <c r="AJ87" s="66"/>
      <c r="AK87" s="54"/>
      <c r="AL87" s="66"/>
      <c r="AM87" s="54"/>
      <c r="AN87" s="66"/>
      <c r="AO87" s="54"/>
      <c r="AP87" s="66"/>
      <c r="AQ87" s="54"/>
      <c r="AR87" s="66"/>
      <c r="AS87" s="54"/>
      <c r="AT87" s="66"/>
      <c r="AU87" s="54"/>
      <c r="AV87" s="66"/>
      <c r="AW87" s="54"/>
      <c r="AX87" s="66"/>
      <c r="AY87" s="54"/>
      <c r="AZ87" s="66"/>
      <c r="BA87" s="54"/>
      <c r="BB87" s="66"/>
      <c r="BC87" s="54"/>
      <c r="BD87" s="66"/>
      <c r="BE87" s="54"/>
      <c r="BF87" s="66"/>
      <c r="BG87" s="142"/>
      <c r="BH87" s="66"/>
      <c r="BI87" s="66"/>
      <c r="BJ87" s="66"/>
      <c r="BK87" s="54"/>
      <c r="BL87" s="66"/>
      <c r="BM87" s="54"/>
      <c r="BP87" s="66"/>
      <c r="BQ87" s="66"/>
      <c r="BR87" s="66"/>
      <c r="BS87" s="66"/>
      <c r="BT87" s="66"/>
      <c r="BU87" s="66"/>
      <c r="BV87" s="66"/>
      <c r="BW87" s="66"/>
      <c r="BX87" s="54"/>
      <c r="CA87" s="54"/>
      <c r="CG87" s="260"/>
    </row>
    <row r="88" spans="2:85" s="49" customFormat="1" ht="13.5" customHeight="1">
      <c r="B88" s="49" t="s">
        <v>347</v>
      </c>
      <c r="C88" s="66">
        <f t="shared" ref="C88:H88" si="316">-C139/C8</f>
        <v>7.7244069427303275E-2</v>
      </c>
      <c r="D88" s="66">
        <f t="shared" si="316"/>
        <v>6.1744154798657365E-2</v>
      </c>
      <c r="E88" s="66">
        <f t="shared" si="316"/>
        <v>5.7631987413055273E-2</v>
      </c>
      <c r="F88" s="66">
        <f t="shared" si="316"/>
        <v>6.467336382810436E-2</v>
      </c>
      <c r="G88" s="66">
        <f t="shared" si="316"/>
        <v>6.4931697650156411E-2</v>
      </c>
      <c r="H88" s="66">
        <f t="shared" si="316"/>
        <v>5.4602002058510617E-2</v>
      </c>
      <c r="I88" s="66">
        <f t="shared" ref="I88:N88" si="317">-I139/I8</f>
        <v>5.8070227735337446E-2</v>
      </c>
      <c r="J88" s="66">
        <f t="shared" si="317"/>
        <v>6.8385652607495642E-2</v>
      </c>
      <c r="K88" s="66">
        <f t="shared" si="317"/>
        <v>4.8637874602922529E-2</v>
      </c>
      <c r="L88" s="66">
        <f t="shared" si="317"/>
        <v>3.5543266340297495E-2</v>
      </c>
      <c r="M88" s="66">
        <f>-M139/M8</f>
        <v>3.9674384614669371E-2</v>
      </c>
      <c r="N88" s="66">
        <f t="shared" si="317"/>
        <v>4.0647979200924507E-2</v>
      </c>
      <c r="O88" s="66">
        <f>-O139/O8</f>
        <v>2.3890155687300338E-2</v>
      </c>
      <c r="P88" s="66">
        <f>-P139/P8</f>
        <v>2.6563360809849841E-2</v>
      </c>
      <c r="Q88" s="54"/>
      <c r="R88" s="54">
        <f t="shared" ref="R88:X88" si="318">-R139/R8</f>
        <v>4.5807231648126306E-2</v>
      </c>
      <c r="S88" s="54">
        <f t="shared" si="318"/>
        <v>5.0242495889220355E-2</v>
      </c>
      <c r="T88" s="54">
        <f t="shared" si="318"/>
        <v>6.8686519999636028E-2</v>
      </c>
      <c r="U88" s="54">
        <f t="shared" si="318"/>
        <v>6.4972091241162058E-2</v>
      </c>
      <c r="V88" s="54">
        <f t="shared" si="318"/>
        <v>5.8284504623564756E-2</v>
      </c>
      <c r="W88" s="54">
        <f t="shared" si="318"/>
        <v>6.2768469331267285E-2</v>
      </c>
      <c r="X88" s="54">
        <f t="shared" si="318"/>
        <v>7.0947807558605469E-2</v>
      </c>
      <c r="Y88" s="54">
        <f t="shared" ref="Y88:AD88" si="319">-Y139/Y8</f>
        <v>6.6441131689339059E-2</v>
      </c>
      <c r="Z88" s="54">
        <f t="shared" si="319"/>
        <v>5.3989127269522166E-2</v>
      </c>
      <c r="AA88" s="54">
        <f t="shared" si="319"/>
        <v>5.4232943713600559E-2</v>
      </c>
      <c r="AB88" s="54">
        <f t="shared" si="319"/>
        <v>5.8104029371299853E-2</v>
      </c>
      <c r="AC88" s="54">
        <f t="shared" si="319"/>
        <v>5.2480763539560105E-2</v>
      </c>
      <c r="AD88" s="54">
        <f t="shared" si="319"/>
        <v>5.49120415615936E-2</v>
      </c>
      <c r="AE88" s="54">
        <f t="shared" ref="AE88:AJ88" si="320">-AE139/AE8</f>
        <v>7.2120818417866037E-2</v>
      </c>
      <c r="AF88" s="54">
        <f t="shared" si="320"/>
        <v>7.1530666737533763E-2</v>
      </c>
      <c r="AG88" s="54">
        <f t="shared" si="320"/>
        <v>7.3981417409932318E-2</v>
      </c>
      <c r="AH88" s="54">
        <f t="shared" si="320"/>
        <v>7.3034163993971293E-2</v>
      </c>
      <c r="AI88" s="54">
        <f t="shared" si="320"/>
        <v>7.2830979152706046E-2</v>
      </c>
      <c r="AJ88" s="54">
        <f t="shared" si="320"/>
        <v>2.863464107890951E-2</v>
      </c>
      <c r="AK88" s="54">
        <f t="shared" ref="AK88:AP88" si="321">-AK139/AK8</f>
        <v>3.5030219289581742E-2</v>
      </c>
      <c r="AL88" s="54">
        <f t="shared" si="321"/>
        <v>3.481640914275054E-2</v>
      </c>
      <c r="AM88" s="54">
        <f t="shared" si="321"/>
        <v>2.6349625446073794E-2</v>
      </c>
      <c r="AN88" s="54">
        <f t="shared" si="321"/>
        <v>3.6761488741780285E-2</v>
      </c>
      <c r="AO88" s="54">
        <f t="shared" si="321"/>
        <v>4.2110802103091018E-2</v>
      </c>
      <c r="AP88" s="54">
        <f t="shared" si="321"/>
        <v>2.7368192528971623E-2</v>
      </c>
      <c r="AQ88" s="54">
        <f t="shared" ref="AQ88:AV88" si="322">-AQ139/AQ8</f>
        <v>3.6603407845154291E-2</v>
      </c>
      <c r="AR88" s="54">
        <f t="shared" si="322"/>
        <v>3.9829773411761256E-2</v>
      </c>
      <c r="AS88" s="54">
        <f t="shared" si="322"/>
        <v>5.3583472033856029E-2</v>
      </c>
      <c r="AT88" s="54">
        <f t="shared" si="322"/>
        <v>3.3480710260317854E-2</v>
      </c>
      <c r="AU88" s="54">
        <f t="shared" si="322"/>
        <v>4.1368595401177863E-2</v>
      </c>
      <c r="AV88" s="54">
        <f t="shared" si="322"/>
        <v>3.8865235637478179E-2</v>
      </c>
      <c r="AW88" s="54">
        <f t="shared" ref="AW88:BB88" si="323">-AW139/AW8</f>
        <v>4.7670260900168265E-2</v>
      </c>
      <c r="AX88" s="54">
        <f t="shared" si="323"/>
        <v>2.7857774075633324E-2</v>
      </c>
      <c r="AY88" s="54">
        <f t="shared" si="323"/>
        <v>2.5312226177338453E-2</v>
      </c>
      <c r="AZ88" s="54">
        <f t="shared" si="323"/>
        <v>1.7905922173235094E-2</v>
      </c>
      <c r="BA88" s="54">
        <f t="shared" si="323"/>
        <v>2.4347696127551874E-2</v>
      </c>
      <c r="BB88" s="54">
        <f t="shared" si="323"/>
        <v>1.3284914330554462E-2</v>
      </c>
      <c r="BC88" s="54">
        <f>-BC139/BC8</f>
        <v>1.9371808064948853E-2</v>
      </c>
      <c r="BD88" s="54">
        <f>-BD139/BD8</f>
        <v>2.3951583701786155E-2</v>
      </c>
      <c r="BE88" s="54">
        <f>-BE139/BE8</f>
        <v>4.4828465711216854E-2</v>
      </c>
      <c r="BF88" s="54">
        <f>-BF139/BF8</f>
        <v>1.7344484808386539E-2</v>
      </c>
      <c r="BG88" s="142"/>
      <c r="BH88" s="54">
        <f>-BH139/BH8</f>
        <v>5.7511316624681522E-2</v>
      </c>
      <c r="BI88" s="54">
        <f>-BI139/BI8</f>
        <v>5.7680904311913868E-2</v>
      </c>
      <c r="BJ88" s="54">
        <f>-BJ139/BJ8</f>
        <v>6.2020438908268166E-2</v>
      </c>
      <c r="BK88" s="54">
        <f>-BK139/BK8</f>
        <v>6.6811668943448643E-2</v>
      </c>
      <c r="BL88" s="54">
        <f>-BL139/BL8</f>
        <v>5.49120415615936E-2</v>
      </c>
      <c r="BM88" s="54"/>
      <c r="BN88" s="54">
        <f t="shared" ref="BN88:BS88" si="324">-BN139/BN8</f>
        <v>4.805906148376466E-2</v>
      </c>
      <c r="BO88" s="54">
        <f t="shared" si="324"/>
        <v>6.0562163530584585E-2</v>
      </c>
      <c r="BP88" s="54">
        <f t="shared" si="324"/>
        <v>5.4113886548184227E-2</v>
      </c>
      <c r="BQ88" s="54">
        <f t="shared" si="324"/>
        <v>6.3663854058321451E-2</v>
      </c>
      <c r="BR88" s="54">
        <f t="shared" si="324"/>
        <v>7.2945606933600124E-2</v>
      </c>
      <c r="BS88" s="54">
        <f t="shared" si="324"/>
        <v>3.0424554203094669E-2</v>
      </c>
      <c r="BT88" s="54">
        <f>-BT139/BT8</f>
        <v>3.2051096275093519E-2</v>
      </c>
      <c r="BU88" s="54">
        <f>-BU139/BU8</f>
        <v>3.7376559343504284E-2</v>
      </c>
      <c r="BV88" s="54">
        <f>-BV139/BV8</f>
        <v>2.6571118907943257E-2</v>
      </c>
      <c r="BW88" s="54">
        <f>-BW139/BW8</f>
        <v>1.6351294921450092E-2</v>
      </c>
      <c r="BX88" s="54"/>
      <c r="BY88" s="54">
        <f>-BY139/BY8</f>
        <v>5.7598159696701089E-2</v>
      </c>
      <c r="BZ88" s="54">
        <f>-BZ139/BZ8</f>
        <v>6.3663854058321451E-2</v>
      </c>
      <c r="CA88" s="54"/>
      <c r="CG88" s="260"/>
    </row>
    <row r="89" spans="2:85" s="49" customFormat="1" ht="13.5" customHeight="1">
      <c r="B89" s="49" t="s">
        <v>348</v>
      </c>
      <c r="C89" s="66">
        <f t="shared" ref="C89:H89" si="325">C104/C8</f>
        <v>2.6846093233296835E-2</v>
      </c>
      <c r="D89" s="66">
        <f t="shared" si="325"/>
        <v>2.9427683836120613E-2</v>
      </c>
      <c r="E89" s="66">
        <f t="shared" si="325"/>
        <v>3.1067311266464517E-2</v>
      </c>
      <c r="F89" s="66">
        <f t="shared" si="325"/>
        <v>3.2393484673974619E-2</v>
      </c>
      <c r="G89" s="66">
        <f t="shared" si="325"/>
        <v>3.2522878480173635E-2</v>
      </c>
      <c r="H89" s="66">
        <f t="shared" si="325"/>
        <v>3.5852293090660507E-2</v>
      </c>
      <c r="I89" s="66">
        <f t="shared" ref="I89:N89" si="326">I104/I8</f>
        <v>3.8129569358605862E-2</v>
      </c>
      <c r="J89" s="66">
        <f t="shared" si="326"/>
        <v>4.9774678824669967E-2</v>
      </c>
      <c r="K89" s="66">
        <f t="shared" si="326"/>
        <v>5.1260990528291764E-2</v>
      </c>
      <c r="L89" s="66">
        <f t="shared" si="326"/>
        <v>4.142963665130444E-2</v>
      </c>
      <c r="M89" s="66">
        <f>M104/M8</f>
        <v>4.4211715621523255E-2</v>
      </c>
      <c r="N89" s="66">
        <f t="shared" si="326"/>
        <v>4.891388473337447E-2</v>
      </c>
      <c r="O89" s="66">
        <f>O104/O8</f>
        <v>4.5165208412066997E-2</v>
      </c>
      <c r="P89" s="66">
        <f>P104/P8</f>
        <v>4.041821572669934E-2</v>
      </c>
      <c r="Q89" s="54"/>
      <c r="R89" s="66">
        <f t="shared" ref="R89:X89" si="327">R104/R8</f>
        <v>3.0968539853004837E-2</v>
      </c>
      <c r="S89" s="66">
        <f t="shared" si="327"/>
        <v>3.1360450261399539E-2</v>
      </c>
      <c r="T89" s="66">
        <f t="shared" si="327"/>
        <v>3.3020742396718851E-2</v>
      </c>
      <c r="U89" s="66">
        <f t="shared" si="327"/>
        <v>2.9224381952934281E-2</v>
      </c>
      <c r="V89" s="54">
        <f t="shared" si="327"/>
        <v>3.2901786128665941E-2</v>
      </c>
      <c r="W89" s="54">
        <f t="shared" si="327"/>
        <v>3.2570158391239348E-2</v>
      </c>
      <c r="X89" s="54">
        <f t="shared" si="327"/>
        <v>3.4527675633731755E-2</v>
      </c>
      <c r="Y89" s="66">
        <f t="shared" ref="Y89:AD89" si="328">Y104/Y8</f>
        <v>3.0039536881739791E-2</v>
      </c>
      <c r="Z89" s="66">
        <f t="shared" si="328"/>
        <v>3.5462442716641077E-2</v>
      </c>
      <c r="AA89" s="54">
        <f t="shared" si="328"/>
        <v>3.4776289904876939E-2</v>
      </c>
      <c r="AB89" s="54">
        <f t="shared" si="328"/>
        <v>3.8189780372271359E-2</v>
      </c>
      <c r="AC89" s="54">
        <f t="shared" si="328"/>
        <v>3.5159959039936017E-2</v>
      </c>
      <c r="AD89" s="66">
        <f t="shared" si="328"/>
        <v>5.1782318484328682E-2</v>
      </c>
      <c r="AE89" s="54">
        <f t="shared" ref="AE89:AJ89" si="329">AE104/AE8</f>
        <v>4.9793954609077658E-2</v>
      </c>
      <c r="AF89" s="66">
        <f t="shared" si="329"/>
        <v>5.3632045921875676E-2</v>
      </c>
      <c r="AG89" s="54">
        <f t="shared" si="329"/>
        <v>4.4815235317027004E-2</v>
      </c>
      <c r="AH89" s="66">
        <f t="shared" si="329"/>
        <v>5.6244287263373806E-2</v>
      </c>
      <c r="AI89" s="54">
        <f t="shared" si="329"/>
        <v>7.2956089885084549E-2</v>
      </c>
      <c r="AJ89" s="66">
        <f t="shared" si="329"/>
        <v>4.731902385927577E-2</v>
      </c>
      <c r="AK89" s="54">
        <f t="shared" ref="AK89:AP89" si="330">AK104/AK8</f>
        <v>3.9373444180335879E-2</v>
      </c>
      <c r="AL89" s="66">
        <f t="shared" si="330"/>
        <v>4.5409890607318482E-2</v>
      </c>
      <c r="AM89" s="54">
        <f t="shared" si="330"/>
        <v>4.3232168334847644E-2</v>
      </c>
      <c r="AN89" s="66">
        <f t="shared" si="330"/>
        <v>4.1464597805879744E-2</v>
      </c>
      <c r="AO89" s="54">
        <f t="shared" si="330"/>
        <v>3.717013691701667E-2</v>
      </c>
      <c r="AP89" s="66">
        <f t="shared" si="330"/>
        <v>4.3153922700680712E-2</v>
      </c>
      <c r="AQ89" s="54">
        <f t="shared" ref="AQ89:AV89" si="331">AQ104/AQ8</f>
        <v>3.2226120140348757E-2</v>
      </c>
      <c r="AR89" s="66">
        <f t="shared" si="331"/>
        <v>4.4883176225858565E-2</v>
      </c>
      <c r="AS89" s="54">
        <f t="shared" si="331"/>
        <v>5.5774481876666761E-2</v>
      </c>
      <c r="AT89" s="66">
        <f t="shared" si="331"/>
        <v>5.0475471605810993E-2</v>
      </c>
      <c r="AU89" s="54">
        <f t="shared" si="331"/>
        <v>3.9567090069300613E-2</v>
      </c>
      <c r="AV89" s="66">
        <f t="shared" si="331"/>
        <v>5.2642799325262807E-2</v>
      </c>
      <c r="AW89" s="54">
        <f t="shared" ref="AW89:BB89" si="332">AW104/AW8</f>
        <v>5.2293387121794779E-2</v>
      </c>
      <c r="AX89" s="66">
        <f t="shared" si="332"/>
        <v>4.8838347897686422E-2</v>
      </c>
      <c r="AY89" s="54">
        <f t="shared" si="332"/>
        <v>3.893545657255567E-2</v>
      </c>
      <c r="AZ89" s="66">
        <f t="shared" si="332"/>
        <v>4.7116593192395903E-2</v>
      </c>
      <c r="BA89" s="54">
        <f t="shared" si="332"/>
        <v>4.5735211138621924E-2</v>
      </c>
      <c r="BB89" s="66">
        <f t="shared" si="332"/>
        <v>4.1625909792893837E-2</v>
      </c>
      <c r="BC89" s="54">
        <f>BC104/BC8</f>
        <v>3.4761994458778568E-2</v>
      </c>
      <c r="BD89" s="66">
        <f>BD104/BD8</f>
        <v>4.321408109097187E-2</v>
      </c>
      <c r="BE89" s="54">
        <f>BE104/BE8</f>
        <v>4.1807830041668353E-2</v>
      </c>
      <c r="BF89" s="66">
        <f>BF104/BF8</f>
        <v>-4.141682046246431E-2</v>
      </c>
      <c r="BG89" s="142"/>
      <c r="BH89" s="66">
        <f>BH104/BH8</f>
        <v>3.7969846796562394E-2</v>
      </c>
      <c r="BI89" s="66">
        <f>BI104/BI8</f>
        <v>3.6771236194271806E-2</v>
      </c>
      <c r="BJ89" s="66">
        <f>BJ104/BJ8</f>
        <v>4.0796920934173399E-2</v>
      </c>
      <c r="BK89" s="54">
        <f>BK104/BK8</f>
        <v>4.476107786943051E-2</v>
      </c>
      <c r="BL89" s="66">
        <f>BL104/BL8</f>
        <v>5.1782318484328682E-2</v>
      </c>
      <c r="BM89" s="54"/>
      <c r="BN89" s="54">
        <f t="shared" ref="BN89:BS89" si="333">BN104/BN8</f>
        <v>3.1167516847958966E-2</v>
      </c>
      <c r="BO89" s="66">
        <f t="shared" si="333"/>
        <v>3.2733333672145259E-2</v>
      </c>
      <c r="BP89" s="66">
        <f t="shared" si="333"/>
        <v>3.5111342813715279E-2</v>
      </c>
      <c r="BQ89" s="66">
        <f t="shared" si="333"/>
        <v>5.0771102640413471E-2</v>
      </c>
      <c r="BR89" s="66">
        <f t="shared" si="333"/>
        <v>6.3528039852721152E-2</v>
      </c>
      <c r="BS89" s="66">
        <f t="shared" si="333"/>
        <v>4.4280271538001327E-2</v>
      </c>
      <c r="BT89" s="66">
        <f>BT104/BT8</f>
        <v>3.7612758169628772E-2</v>
      </c>
      <c r="BU89" s="66">
        <f>BU104/BU8</f>
        <v>4.5087790693988251E-2</v>
      </c>
      <c r="BV89" s="66">
        <f>BV104/BV8</f>
        <v>4.3832900423259574E-2</v>
      </c>
      <c r="BW89" s="66">
        <f>BW104/BW8</f>
        <v>3.8168090800728367E-2</v>
      </c>
      <c r="BX89" s="54"/>
      <c r="BY89" s="66">
        <f>BY104/BY8</f>
        <v>3.735605797405471E-2</v>
      </c>
      <c r="BZ89" s="66">
        <f>BZ104/BZ8</f>
        <v>5.0771102640413471E-2</v>
      </c>
      <c r="CA89" s="54"/>
      <c r="CG89" s="260"/>
    </row>
    <row r="90" spans="2:85" s="49" customFormat="1" ht="13.5" customHeight="1"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54"/>
      <c r="R90" s="66"/>
      <c r="S90" s="66"/>
      <c r="T90" s="66"/>
      <c r="U90" s="66"/>
      <c r="V90" s="54"/>
      <c r="W90" s="54"/>
      <c r="X90" s="54"/>
      <c r="Y90" s="66"/>
      <c r="Z90" s="54"/>
      <c r="AA90" s="54"/>
      <c r="AB90" s="54"/>
      <c r="AC90" s="66"/>
      <c r="AD90" s="54"/>
      <c r="AE90" s="54"/>
      <c r="AF90" s="54"/>
      <c r="AG90" s="66"/>
      <c r="AH90" s="54"/>
      <c r="AI90" s="54"/>
      <c r="AJ90" s="54"/>
      <c r="AK90" s="66"/>
      <c r="AL90" s="54"/>
      <c r="AM90" s="54"/>
      <c r="AN90" s="54"/>
      <c r="AO90" s="66"/>
      <c r="AP90" s="54"/>
      <c r="AQ90" s="54"/>
      <c r="AR90" s="54"/>
      <c r="AS90" s="66"/>
      <c r="AT90" s="54"/>
      <c r="AU90" s="54"/>
      <c r="AV90" s="54"/>
      <c r="AW90" s="66"/>
      <c r="AX90" s="54"/>
      <c r="AY90" s="54"/>
      <c r="AZ90" s="54"/>
      <c r="BA90" s="66"/>
      <c r="BB90" s="54"/>
      <c r="BC90" s="54"/>
      <c r="BD90" s="54"/>
      <c r="BE90" s="66"/>
      <c r="BF90" s="54"/>
      <c r="BG90" s="142"/>
      <c r="BH90" s="54"/>
      <c r="BI90" s="54"/>
      <c r="BJ90" s="54"/>
      <c r="BK90" s="66"/>
      <c r="BL90" s="54"/>
      <c r="BM90" s="54"/>
      <c r="BN90" s="54"/>
      <c r="BO90" s="66"/>
      <c r="BP90" s="66"/>
      <c r="BQ90" s="66"/>
      <c r="BR90" s="66"/>
      <c r="BS90" s="66"/>
      <c r="BT90" s="66"/>
      <c r="BU90" s="66"/>
      <c r="BV90" s="66"/>
      <c r="BW90" s="66"/>
      <c r="BX90" s="54"/>
      <c r="BY90" s="66"/>
      <c r="BZ90" s="66"/>
      <c r="CA90" s="54"/>
      <c r="CG90" s="260"/>
    </row>
    <row r="91" spans="2:85" s="5" customFormat="1" ht="13.5" customHeight="1">
      <c r="B91" s="441" t="s">
        <v>349</v>
      </c>
      <c r="C91" s="435"/>
      <c r="D91" s="435"/>
      <c r="E91" s="435"/>
      <c r="F91" s="435"/>
      <c r="G91" s="435"/>
      <c r="H91" s="435"/>
      <c r="I91" s="435"/>
      <c r="J91" s="435"/>
      <c r="K91" s="435"/>
      <c r="L91" s="435"/>
      <c r="M91" s="435"/>
      <c r="N91" s="435"/>
      <c r="O91" s="435"/>
      <c r="P91" s="435"/>
      <c r="Q91" s="54"/>
      <c r="R91" s="435"/>
      <c r="S91" s="435"/>
      <c r="T91" s="435"/>
      <c r="U91" s="435"/>
      <c r="V91" s="435"/>
      <c r="W91" s="435"/>
      <c r="X91" s="436"/>
      <c r="Y91" s="435"/>
      <c r="Z91" s="436"/>
      <c r="AA91" s="435"/>
      <c r="AB91" s="436"/>
      <c r="AC91" s="435"/>
      <c r="AD91" s="436"/>
      <c r="AE91" s="435"/>
      <c r="AF91" s="436"/>
      <c r="AG91" s="435"/>
      <c r="AH91" s="436"/>
      <c r="AI91" s="435"/>
      <c r="AJ91" s="436"/>
      <c r="AK91" s="435"/>
      <c r="AL91" s="436"/>
      <c r="AM91" s="435"/>
      <c r="AN91" s="436"/>
      <c r="AO91" s="435"/>
      <c r="AP91" s="436"/>
      <c r="AQ91" s="435"/>
      <c r="AR91" s="436"/>
      <c r="AS91" s="435"/>
      <c r="AT91" s="436"/>
      <c r="AU91" s="435"/>
      <c r="AV91" s="436"/>
      <c r="AW91" s="435"/>
      <c r="AX91" s="436"/>
      <c r="AY91" s="435"/>
      <c r="AZ91" s="436"/>
      <c r="BA91" s="435"/>
      <c r="BB91" s="436"/>
      <c r="BC91" s="435"/>
      <c r="BD91" s="436"/>
      <c r="BE91" s="435"/>
      <c r="BF91" s="436"/>
      <c r="BG91" s="142"/>
      <c r="BH91" s="436"/>
      <c r="BI91" s="436"/>
      <c r="BJ91" s="436"/>
      <c r="BK91" s="435"/>
      <c r="BL91" s="436"/>
      <c r="BM91" s="436"/>
      <c r="BN91" s="436"/>
      <c r="BO91" s="436"/>
      <c r="BP91" s="436"/>
      <c r="BQ91" s="436"/>
      <c r="BR91" s="436"/>
      <c r="BS91" s="436"/>
      <c r="BT91" s="436"/>
      <c r="BU91" s="436"/>
      <c r="BV91" s="436"/>
      <c r="BW91" s="436"/>
      <c r="BY91" s="83"/>
      <c r="BZ91" s="83"/>
      <c r="CG91" s="260"/>
    </row>
    <row r="92" spans="2:85" s="49" customFormat="1" ht="13.5" customHeight="1">
      <c r="B92" s="1" t="str">
        <f>B76</f>
        <v>COGS</v>
      </c>
      <c r="C92" s="66">
        <f t="shared" ref="C92:K92" si="334">C548/(C29+C32+C37)</f>
        <v>-0.431834359712231</v>
      </c>
      <c r="D92" s="66">
        <f t="shared" si="334"/>
        <v>-0.43389009863214739</v>
      </c>
      <c r="E92" s="66">
        <f t="shared" si="334"/>
        <v>-0.47346422502566193</v>
      </c>
      <c r="F92" s="66">
        <f t="shared" si="334"/>
        <v>-0.47078698198882851</v>
      </c>
      <c r="G92" s="66">
        <f t="shared" si="334"/>
        <v>-0.46951268691880677</v>
      </c>
      <c r="H92" s="66">
        <f t="shared" si="334"/>
        <v>-0.44733431365775722</v>
      </c>
      <c r="I92" s="66">
        <f t="shared" si="334"/>
        <v>-0.44100251864710549</v>
      </c>
      <c r="J92" s="66">
        <f t="shared" si="334"/>
        <v>-0.45346282635558827</v>
      </c>
      <c r="K92" s="66">
        <f t="shared" si="334"/>
        <v>-0.49328110988455542</v>
      </c>
      <c r="L92" s="66">
        <f>L548/(L29+L32+L37)</f>
        <v>-0.28248255143244194</v>
      </c>
      <c r="M92" s="66">
        <f>M548/(M29+M32+M37)</f>
        <v>-0.58666934399185577</v>
      </c>
      <c r="N92" s="66">
        <f>N548/(N29+N32+N37)</f>
        <v>-0.64691939590468117</v>
      </c>
      <c r="O92" s="66">
        <f>O548/(O29+O32+O37)</f>
        <v>-0.48135756542156188</v>
      </c>
      <c r="P92" s="66">
        <f>P548/(P29+P32+P37)</f>
        <v>-0.41340345615552743</v>
      </c>
      <c r="Q92" s="54"/>
      <c r="R92" s="66">
        <f t="shared" ref="R92:AN92" si="335">R548/(R29+R32+R37)</f>
        <v>-0.45137748212007006</v>
      </c>
      <c r="S92" s="66">
        <f t="shared" si="335"/>
        <v>-0.49224135602414149</v>
      </c>
      <c r="T92" s="66">
        <f t="shared" si="335"/>
        <v>-0.45321280062581498</v>
      </c>
      <c r="U92" s="66">
        <f t="shared" si="335"/>
        <v>-0.49537784918341127</v>
      </c>
      <c r="V92" s="54">
        <f t="shared" si="335"/>
        <v>-0.48307524623182085</v>
      </c>
      <c r="W92" s="54">
        <f t="shared" si="335"/>
        <v>-0.49537366951467787</v>
      </c>
      <c r="X92" s="54">
        <f t="shared" si="335"/>
        <v>-0.44972716934614987</v>
      </c>
      <c r="Y92" s="66">
        <f t="shared" si="335"/>
        <v>-0.45376949349445556</v>
      </c>
      <c r="Z92" s="54">
        <f t="shared" si="335"/>
        <v>-0.42946647602044308</v>
      </c>
      <c r="AA92" s="54">
        <f t="shared" si="335"/>
        <v>-0.43163206471361698</v>
      </c>
      <c r="AB92" s="54">
        <f t="shared" si="335"/>
        <v>-0.49217796441289191</v>
      </c>
      <c r="AC92" s="54">
        <f t="shared" si="335"/>
        <v>-0.43426751027921939</v>
      </c>
      <c r="AD92" s="54">
        <f t="shared" si="335"/>
        <v>-0.43707251876186121</v>
      </c>
      <c r="AE92" s="54">
        <f t="shared" si="335"/>
        <v>-0.41063435982351099</v>
      </c>
      <c r="AF92" s="54">
        <f t="shared" si="335"/>
        <v>-0.44124864856881402</v>
      </c>
      <c r="AG92" s="54">
        <f t="shared" si="335"/>
        <v>-0.52238405833743795</v>
      </c>
      <c r="AH92" s="54">
        <f t="shared" si="335"/>
        <v>-0.50144718317094805</v>
      </c>
      <c r="AI92" s="54">
        <f t="shared" si="335"/>
        <v>-0.68395621857385136</v>
      </c>
      <c r="AJ92" s="54">
        <f t="shared" si="335"/>
        <v>-0.48092583332697858</v>
      </c>
      <c r="AK92" s="54">
        <f t="shared" si="335"/>
        <v>-0.28251870476965268</v>
      </c>
      <c r="AL92" s="54">
        <f t="shared" si="335"/>
        <v>-0.19288869016323124</v>
      </c>
      <c r="AM92" s="54">
        <f t="shared" si="335"/>
        <v>-0.26258247603435153</v>
      </c>
      <c r="AN92" s="54">
        <f t="shared" si="335"/>
        <v>-0.28651625084549309</v>
      </c>
      <c r="AO92" s="54">
        <f t="shared" ref="AO92:AT92" si="336">AO548/(AO29+AO32+AO37)</f>
        <v>-0.3635505418612035</v>
      </c>
      <c r="AP92" s="54">
        <f t="shared" si="336"/>
        <v>-0.43539609569880539</v>
      </c>
      <c r="AQ92" s="54">
        <f t="shared" si="336"/>
        <v>-0.55954630774167402</v>
      </c>
      <c r="AR92" s="54">
        <f t="shared" si="336"/>
        <v>-0.60559222918468292</v>
      </c>
      <c r="AS92" s="54">
        <f t="shared" si="336"/>
        <v>-0.71085345804079025</v>
      </c>
      <c r="AT92" s="54">
        <f t="shared" si="336"/>
        <v>-0.69198421714216851</v>
      </c>
      <c r="AU92" s="54">
        <f t="shared" ref="AU92:AZ92" si="337">AU548/(AU29+AU32+AU37)</f>
        <v>-0.691487254863273</v>
      </c>
      <c r="AV92" s="54">
        <f t="shared" si="337"/>
        <v>-0.57120228377275772</v>
      </c>
      <c r="AW92" s="54">
        <f t="shared" si="337"/>
        <v>-0.63464803082951549</v>
      </c>
      <c r="AX92" s="54">
        <f t="shared" si="337"/>
        <v>-0.53154034589063215</v>
      </c>
      <c r="AY92" s="54">
        <f t="shared" si="337"/>
        <v>-0.53331497771546454</v>
      </c>
      <c r="AZ92" s="54">
        <f t="shared" si="337"/>
        <v>-0.42415440387837561</v>
      </c>
      <c r="BA92" s="54">
        <f t="shared" ref="BA92:BF92" si="338">BA548/(BA29+BA32+BA37)</f>
        <v>-0.43343416793460088</v>
      </c>
      <c r="BB92" s="54">
        <f t="shared" si="338"/>
        <v>-0.36966949073686572</v>
      </c>
      <c r="BC92" s="54">
        <f t="shared" si="338"/>
        <v>-0.40655736297950446</v>
      </c>
      <c r="BD92" s="54">
        <f t="shared" si="338"/>
        <v>-0.41326646153357993</v>
      </c>
      <c r="BE92" s="54">
        <f t="shared" si="338"/>
        <v>-0.45950551722162164</v>
      </c>
      <c r="BF92" s="54">
        <f t="shared" si="338"/>
        <v>-0.3876869672314594</v>
      </c>
      <c r="BG92" s="142"/>
      <c r="BH92" s="54">
        <f>BH548/(BH29+BH32+BH37)</f>
        <v>0</v>
      </c>
      <c r="BI92" s="54">
        <f>BI548/(BI29+BI32+BI37)</f>
        <v>0</v>
      </c>
      <c r="BJ92" s="54">
        <f>BJ548/(BJ29+BJ32+BJ37)</f>
        <v>0</v>
      </c>
      <c r="BK92" s="54">
        <f>BK548/(BK29+BK32+BK37)</f>
        <v>0</v>
      </c>
      <c r="BL92" s="54">
        <f>BL548/(BL29+BL32+BL37)</f>
        <v>0</v>
      </c>
      <c r="BM92" s="54"/>
      <c r="BN92" s="66">
        <f t="shared" ref="BN92:BS92" si="339">BN548/(BN29+BN32+BN37)</f>
        <v>-0.47224254544861072</v>
      </c>
      <c r="BO92" s="66">
        <f t="shared" si="339"/>
        <v>-0.48934298575001239</v>
      </c>
      <c r="BP92" s="66">
        <f t="shared" si="339"/>
        <v>-0.43056712333316105</v>
      </c>
      <c r="BQ92" s="66">
        <f t="shared" si="339"/>
        <v>-0.42356111421128145</v>
      </c>
      <c r="BR92" s="66">
        <f t="shared" si="339"/>
        <v>-0.58546438070785811</v>
      </c>
      <c r="BS92" s="66">
        <f t="shared" si="339"/>
        <v>-0.22752075397497373</v>
      </c>
      <c r="BT92" s="66">
        <f>BT548/(BT29+BT32+BT37)</f>
        <v>-0.50240800093374693</v>
      </c>
      <c r="BU92" s="66">
        <f>BU548/(BU29+BU32+BU37)</f>
        <v>-0.69173687294214659</v>
      </c>
      <c r="BV92" s="66">
        <f>BV548/(BV29+BV32+BV37)</f>
        <v>-0.53241529046098479</v>
      </c>
      <c r="BW92" s="66">
        <f>BW548/(BW29+BW32+BW37)</f>
        <v>-0.38843426284383892</v>
      </c>
      <c r="BX92" s="54"/>
      <c r="BY92" s="66">
        <f>BY548/(BY29+BY32+BY37)</f>
        <v>0</v>
      </c>
      <c r="BZ92" s="66">
        <f>BZ548/(BZ29+BZ32+BZ37)</f>
        <v>-0.42356111421128145</v>
      </c>
      <c r="CA92" s="54"/>
      <c r="CG92" s="260"/>
    </row>
    <row r="93" spans="2:85" s="49" customFormat="1" ht="13.5" customHeight="1">
      <c r="B93" s="1" t="str">
        <f>B40</f>
        <v>Remuneration and personnel costs</v>
      </c>
      <c r="C93" s="66">
        <f>C40/(C29+C32+C37)</f>
        <v>-0.1510040000554049</v>
      </c>
      <c r="D93" s="66">
        <f>D40/(D29+D32+D37)</f>
        <v>-0.14584875723904936</v>
      </c>
      <c r="E93" s="66">
        <f>E40/(E29+E32+E37)</f>
        <v>-0.13918865524698226</v>
      </c>
      <c r="F93" s="66">
        <f t="shared" ref="F93:K93" si="340">F40/(F29+F32+F37)</f>
        <v>-0.13872128985321153</v>
      </c>
      <c r="G93" s="66">
        <f t="shared" si="340"/>
        <v>-0.13824909455685511</v>
      </c>
      <c r="H93" s="66">
        <f t="shared" si="340"/>
        <v>-0.14641928235731269</v>
      </c>
      <c r="I93" s="66">
        <f t="shared" si="340"/>
        <v>-0.11332078176830218</v>
      </c>
      <c r="J93" s="66">
        <f t="shared" si="340"/>
        <v>-0.11016107752906464</v>
      </c>
      <c r="K93" s="66">
        <f t="shared" si="340"/>
        <v>-0.11764544460055898</v>
      </c>
      <c r="L93" s="66">
        <f>L40/(L29+L32+L37)</f>
        <v>-0.11629217905953963</v>
      </c>
      <c r="M93" s="66">
        <f>M40/(M29+M32+M37)</f>
        <v>-7.9037277476276757E-2</v>
      </c>
      <c r="N93" s="66">
        <f>N40/(N29+N32+N37)</f>
        <v>-8.0893100731667431E-2</v>
      </c>
      <c r="O93" s="66">
        <f>O40/(O29+O32+O37)</f>
        <v>-8.9207056377495944E-2</v>
      </c>
      <c r="P93" s="66">
        <f>P40/(P29+P32+P37)</f>
        <v>-8.8208878111973421E-2</v>
      </c>
      <c r="Q93" s="54"/>
      <c r="R93" s="66">
        <f t="shared" ref="R93:X93" si="341">R40/(R29+R32+R37)</f>
        <v>-0.14241219111804884</v>
      </c>
      <c r="S93" s="66">
        <f t="shared" si="341"/>
        <v>-0.13765553604663244</v>
      </c>
      <c r="T93" s="66">
        <f t="shared" si="341"/>
        <v>-0.14222497270604434</v>
      </c>
      <c r="U93" s="66">
        <f t="shared" si="341"/>
        <v>-0.13476385514537287</v>
      </c>
      <c r="V93" s="54">
        <f t="shared" si="341"/>
        <v>-0.1402671728123881</v>
      </c>
      <c r="W93" s="54">
        <f t="shared" si="341"/>
        <v>-0.13336411389551628</v>
      </c>
      <c r="X93" s="54">
        <f t="shared" si="341"/>
        <v>-0.14287302860158141</v>
      </c>
      <c r="Y93" s="66">
        <f t="shared" ref="Y93:AD93" si="342">Y40/(Y29+Y32+Y37)</f>
        <v>-0.13863480330336742</v>
      </c>
      <c r="Z93" s="54">
        <f t="shared" si="342"/>
        <v>-0.14688460101386963</v>
      </c>
      <c r="AA93" s="54">
        <f t="shared" si="342"/>
        <v>-0.14329036613322343</v>
      </c>
      <c r="AB93" s="54">
        <f t="shared" si="342"/>
        <v>-0.14727360417121341</v>
      </c>
      <c r="AC93" s="54">
        <f t="shared" si="342"/>
        <v>-0.14808324283607385</v>
      </c>
      <c r="AD93" s="54">
        <f t="shared" si="342"/>
        <v>-0.11174243976883033</v>
      </c>
      <c r="AE93" s="54">
        <f t="shared" ref="AE93:AJ93" si="343">AE40/(AE29+AE32+AE37)</f>
        <v>-0.10417268760007056</v>
      </c>
      <c r="AF93" s="54">
        <f t="shared" si="343"/>
        <v>-0.11193923924157351</v>
      </c>
      <c r="AG93" s="54">
        <f t="shared" si="343"/>
        <v>-0.11277404745950109</v>
      </c>
      <c r="AH93" s="54">
        <f t="shared" si="343"/>
        <v>-0.11605678823507092</v>
      </c>
      <c r="AI93" s="54">
        <f t="shared" si="343"/>
        <v>-0.10886430147077822</v>
      </c>
      <c r="AJ93" s="54">
        <f t="shared" si="343"/>
        <v>-0.11596304220078719</v>
      </c>
      <c r="AK93" s="54">
        <f t="shared" ref="AK93:AP93" si="344">AK40/(AK29+AK32+AK37)</f>
        <v>-0.13118542791661639</v>
      </c>
      <c r="AL93" s="54">
        <f t="shared" si="344"/>
        <v>-0.12940499887575374</v>
      </c>
      <c r="AM93" s="54">
        <f t="shared" si="344"/>
        <v>-0.11604130248511528</v>
      </c>
      <c r="AN93" s="54">
        <f t="shared" si="344"/>
        <v>-0.11611429543764681</v>
      </c>
      <c r="AO93" s="54">
        <f t="shared" si="344"/>
        <v>-0.10650018506387701</v>
      </c>
      <c r="AP93" s="54">
        <f t="shared" si="344"/>
        <v>-9.1901733323572793E-2</v>
      </c>
      <c r="AQ93" s="54">
        <f t="shared" ref="AQ93:AV93" si="345">AQ40/(AQ29+AQ32+AQ37)</f>
        <v>-7.9438723531031916E-2</v>
      </c>
      <c r="AR93" s="54">
        <f t="shared" si="345"/>
        <v>-8.067912752498442E-2</v>
      </c>
      <c r="AS93" s="54">
        <f t="shared" si="345"/>
        <v>-6.706812165665306E-2</v>
      </c>
      <c r="AT93" s="54">
        <f t="shared" si="345"/>
        <v>-7.8685037221265117E-2</v>
      </c>
      <c r="AU93" s="54">
        <f t="shared" si="345"/>
        <v>-8.1960639777110114E-2</v>
      </c>
      <c r="AV93" s="54">
        <f t="shared" si="345"/>
        <v>-7.7929590805282861E-2</v>
      </c>
      <c r="AW93" s="54">
        <f t="shared" ref="AW93:BB93" si="346">AW40/(AW29+AW32+AW37)</f>
        <v>-8.5107783461969636E-2</v>
      </c>
      <c r="AX93" s="54">
        <f t="shared" si="346"/>
        <v>-8.2414582552611776E-2</v>
      </c>
      <c r="AY93" s="54">
        <f t="shared" si="346"/>
        <v>-8.5376742060609481E-2</v>
      </c>
      <c r="AZ93" s="54">
        <f t="shared" si="346"/>
        <v>-9.5058462874436075E-2</v>
      </c>
      <c r="BA93" s="54">
        <f t="shared" si="346"/>
        <v>-9.4329118478684873E-2</v>
      </c>
      <c r="BB93" s="54">
        <f t="shared" si="346"/>
        <v>-8.4882239249699107E-2</v>
      </c>
      <c r="BC93" s="54">
        <f>BC40/(BC29+BC32+BC37)</f>
        <v>-8.5793933352568241E-2</v>
      </c>
      <c r="BD93" s="54">
        <f>BD40/(BD29+BD32+BD37)</f>
        <v>-9.0774987449350183E-2</v>
      </c>
      <c r="BE93" s="54">
        <f>BE40/(BE29+BE32+BE37)</f>
        <v>-9.1037386358281777E-2</v>
      </c>
      <c r="BF93" s="54">
        <f>BF40/(BF29+BF32+BF37)</f>
        <v>-7.6802403720684004E-2</v>
      </c>
      <c r="BG93" s="142"/>
      <c r="BH93" s="54">
        <f>BH40/(BH29+BH32+BH37)</f>
        <v>-0.11564876746208166</v>
      </c>
      <c r="BI93" s="54">
        <f>BI40/(BI29+BI32+BI37)</f>
        <v>-0.11379438102709649</v>
      </c>
      <c r="BJ93" s="54">
        <f>BJ40/(BJ29+BJ32+BJ37)</f>
        <v>-0.11456469057443015</v>
      </c>
      <c r="BK93" s="54">
        <f>BK40/(BK29+BK32+BK37)</f>
        <v>-8.7720310476702548E-2</v>
      </c>
      <c r="BL93" s="54">
        <f>BL40/(BL29+BL32+BL37)</f>
        <v>-0.11174243976883033</v>
      </c>
      <c r="BM93" s="54"/>
      <c r="BN93" s="66">
        <f t="shared" ref="BN93:BS93" si="347">BN40/(BN29+BN32+BN37)</f>
        <v>-0.13998344661061146</v>
      </c>
      <c r="BO93" s="66">
        <f t="shared" si="347"/>
        <v>-0.13674911410074883</v>
      </c>
      <c r="BP93" s="66">
        <f t="shared" si="347"/>
        <v>-0.14505785294525925</v>
      </c>
      <c r="BQ93" s="66">
        <f t="shared" si="347"/>
        <v>-0.1078738654048499</v>
      </c>
      <c r="BR93" s="66">
        <f t="shared" si="347"/>
        <v>-0.11274575993489298</v>
      </c>
      <c r="BS93" s="66">
        <f t="shared" si="347"/>
        <v>-0.12276434389659693</v>
      </c>
      <c r="BT93" s="66">
        <f>BT40/(BT29+BT32+BT37)</f>
        <v>-8.5174640252869735E-2</v>
      </c>
      <c r="BU93" s="66">
        <f>BU40/(BU29+BU32+BU37)</f>
        <v>-8.0315344647345965E-2</v>
      </c>
      <c r="BV93" s="66">
        <f>BV40/(BV29+BV32+BV37)</f>
        <v>-8.3875012452366213E-2</v>
      </c>
      <c r="BW93" s="66">
        <f>BW40/(BW29+BW32+BW37)</f>
        <v>-8.5346015852455714E-2</v>
      </c>
      <c r="BX93" s="54"/>
      <c r="BY93" s="66">
        <f>BY40/(BY29+BY32+BY37)</f>
        <v>-0.11470813513960364</v>
      </c>
      <c r="BZ93" s="66">
        <f>BZ40/(BZ29+BZ32+BZ37)</f>
        <v>-0.1078738654048499</v>
      </c>
      <c r="CA93" s="54"/>
      <c r="CG93" s="260"/>
    </row>
    <row r="94" spans="2:85" s="49" customFormat="1" ht="13.5" customHeight="1">
      <c r="B94" s="1" t="str">
        <f>B41</f>
        <v>Administrative expenses</v>
      </c>
      <c r="C94" s="66">
        <f>C41/(C$29+C$32+C$37)</f>
        <v>-0.18292837540043858</v>
      </c>
      <c r="D94" s="66">
        <f>D41/(D$29+D$32+D$37)</f>
        <v>-0.18025228183972178</v>
      </c>
      <c r="E94" s="66">
        <f>E41/(E$29+E$32+E$37)</f>
        <v>-0.18184009855316016</v>
      </c>
      <c r="F94" s="66">
        <f t="shared" ref="F94:K94" si="348">F41/(F$29+F$32+F$37)</f>
        <v>-0.1934925350994034</v>
      </c>
      <c r="G94" s="66">
        <f t="shared" si="348"/>
        <v>-0.1899490073314036</v>
      </c>
      <c r="H94" s="66">
        <f t="shared" si="348"/>
        <v>-0.20585263775649057</v>
      </c>
      <c r="I94" s="66">
        <f t="shared" si="348"/>
        <v>-0.14110952124648926</v>
      </c>
      <c r="J94" s="66">
        <f t="shared" si="348"/>
        <v>-0.14575681009682503</v>
      </c>
      <c r="K94" s="66">
        <f t="shared" si="348"/>
        <v>-0.17392761310981267</v>
      </c>
      <c r="L94" s="66">
        <f>L41/(L$29+L$32+L$37)</f>
        <v>-0.24799708670933276</v>
      </c>
      <c r="M94" s="66">
        <f>M41/(M$29+M$32+M$37)</f>
        <v>-0.21272586789983075</v>
      </c>
      <c r="N94" s="66">
        <f>N41/(N$29+N$32+N$37)</f>
        <v>-0.21437777272872002</v>
      </c>
      <c r="O94" s="66">
        <f>O41/(O$29+O$32+O$37)</f>
        <v>-0.24117771132864219</v>
      </c>
      <c r="P94" s="66">
        <f>P41/(P$29+P$32+P$37)</f>
        <v>-0.24934090362690756</v>
      </c>
      <c r="Q94" s="54"/>
      <c r="R94" s="66">
        <f t="shared" ref="R94:X94" si="349">R41/(R$29+R$32+R$37)</f>
        <v>-0.18264266696857456</v>
      </c>
      <c r="S94" s="66">
        <f t="shared" si="349"/>
        <v>-0.18312438587270055</v>
      </c>
      <c r="T94" s="66">
        <f t="shared" si="349"/>
        <v>-0.18572735614221783</v>
      </c>
      <c r="U94" s="66">
        <f t="shared" si="349"/>
        <v>-0.17611748905768193</v>
      </c>
      <c r="V94" s="54">
        <f t="shared" si="349"/>
        <v>-0.1860566646369394</v>
      </c>
      <c r="W94" s="54">
        <f t="shared" si="349"/>
        <v>-0.18752657066116443</v>
      </c>
      <c r="X94" s="54">
        <f t="shared" si="349"/>
        <v>-0.19764706177319846</v>
      </c>
      <c r="Y94" s="66">
        <f t="shared" ref="Y94:AD94" si="350">Y41/(Y$29+Y$32+Y$37)</f>
        <v>-0.20302649940833686</v>
      </c>
      <c r="Z94" s="54">
        <f t="shared" si="350"/>
        <v>-0.20703366749403426</v>
      </c>
      <c r="AA94" s="54">
        <f t="shared" si="350"/>
        <v>-0.21059518569651639</v>
      </c>
      <c r="AB94" s="54">
        <f t="shared" si="350"/>
        <v>-0.20121984628995329</v>
      </c>
      <c r="AC94" s="54">
        <f t="shared" si="350"/>
        <v>-0.20489141456191032</v>
      </c>
      <c r="AD94" s="54">
        <f t="shared" si="350"/>
        <v>-0.13349229103703772</v>
      </c>
      <c r="AE94" s="54">
        <f t="shared" ref="AE94:AJ94" si="351">AE41/(AE$29+AE$32+AE$37)</f>
        <v>-0.1513720981882534</v>
      </c>
      <c r="AF94" s="54">
        <f t="shared" si="351"/>
        <v>-0.1478966046365103</v>
      </c>
      <c r="AG94" s="54">
        <f t="shared" si="351"/>
        <v>-0.14961452069603659</v>
      </c>
      <c r="AH94" s="54">
        <f t="shared" si="351"/>
        <v>-0.14749498017601029</v>
      </c>
      <c r="AI94" s="54">
        <f t="shared" si="351"/>
        <v>-0.14782654148075042</v>
      </c>
      <c r="AJ94" s="54">
        <f t="shared" si="351"/>
        <v>-0.18475442825408636</v>
      </c>
      <c r="AK94" s="54">
        <f t="shared" ref="AK94:AP94" si="352">AK41/(AK$29+AK$32+AK$37)</f>
        <v>-0.22671273536882591</v>
      </c>
      <c r="AL94" s="54">
        <f t="shared" si="352"/>
        <v>-0.21756148261722685</v>
      </c>
      <c r="AM94" s="54">
        <f t="shared" si="352"/>
        <v>-0.25121179042420705</v>
      </c>
      <c r="AN94" s="54">
        <f t="shared" si="352"/>
        <v>-0.27428588702322515</v>
      </c>
      <c r="AO94" s="54">
        <f t="shared" si="352"/>
        <v>-0.24732412249094068</v>
      </c>
      <c r="AP94" s="54">
        <f t="shared" si="352"/>
        <v>-0.21605147211579745</v>
      </c>
      <c r="AQ94" s="54">
        <f t="shared" ref="AQ94:AV94" si="353">AQ41/(AQ$29+AQ$32+AQ$37)</f>
        <v>-0.22340004937412822</v>
      </c>
      <c r="AR94" s="54">
        <f t="shared" si="353"/>
        <v>-0.20112154137580665</v>
      </c>
      <c r="AS94" s="54">
        <f t="shared" si="353"/>
        <v>-0.21162798724201873</v>
      </c>
      <c r="AT94" s="54">
        <f t="shared" si="353"/>
        <v>-0.1954897881019064</v>
      </c>
      <c r="AU94" s="54">
        <f t="shared" si="353"/>
        <v>-0.2083974472450503</v>
      </c>
      <c r="AV94" s="54">
        <f t="shared" si="353"/>
        <v>-0.22484057381730702</v>
      </c>
      <c r="AW94" s="54">
        <f t="shared" ref="AW94:BB94" si="354">AW41/(AW$29+AW$32+AW$37)</f>
        <v>-0.22869877754427811</v>
      </c>
      <c r="AX94" s="54">
        <f t="shared" si="354"/>
        <v>-0.21305284899391469</v>
      </c>
      <c r="AY94" s="54">
        <f t="shared" si="354"/>
        <v>-0.22774714879556862</v>
      </c>
      <c r="AZ94" s="54">
        <f t="shared" si="354"/>
        <v>-0.24677407068397836</v>
      </c>
      <c r="BA94" s="54">
        <f t="shared" si="354"/>
        <v>-0.27783532356978002</v>
      </c>
      <c r="BB94" s="54">
        <f t="shared" si="354"/>
        <v>-0.22968148288345044</v>
      </c>
      <c r="BC94" s="54">
        <f>BC41/(BC$29+BC$32+BC$37)</f>
        <v>-0.2238122043096315</v>
      </c>
      <c r="BD94" s="54">
        <f>BD41/(BD$29+BD$32+BD$37)</f>
        <v>-0.25032232768294443</v>
      </c>
      <c r="BE94" s="54">
        <f>BE41/(BE$29+BE$32+BE$37)</f>
        <v>-0.29009950476491275</v>
      </c>
      <c r="BF94" s="54">
        <f>BF41/(BF$29+BF$32+BF$37)</f>
        <v>-0.1831445370471082</v>
      </c>
      <c r="BG94" s="142"/>
      <c r="BH94" s="54">
        <f>BH41/(BH$29+BH$32+BH$37)</f>
        <v>-0.13840609567653606</v>
      </c>
      <c r="BI94" s="54">
        <f>BI41/(BI$29+BI$32+BI$37)</f>
        <v>-0.14321930654765053</v>
      </c>
      <c r="BJ94" s="54">
        <f>BJ41/(BJ$29+BJ$32+BJ$37)</f>
        <v>-0.13967773410036011</v>
      </c>
      <c r="BK94" s="54">
        <f>BK41/(BK$29+BK$32+BK$37)</f>
        <v>-8.9853019701845574E-2</v>
      </c>
      <c r="BL94" s="54">
        <f>BL41/(BL$29+BL$32+BL$37)</f>
        <v>-0.13349229103703772</v>
      </c>
      <c r="BM94" s="54"/>
      <c r="BN94" s="66">
        <f t="shared" ref="BN94:BS94" si="355">BN41/(BN$29+BN$32+BN$37)</f>
        <v>-0.18288863227927268</v>
      </c>
      <c r="BO94" s="66">
        <f t="shared" si="355"/>
        <v>-0.18680578408617035</v>
      </c>
      <c r="BP94" s="66">
        <f t="shared" si="355"/>
        <v>-0.20884378750948954</v>
      </c>
      <c r="BQ94" s="66">
        <f t="shared" si="355"/>
        <v>-0.14262989052986758</v>
      </c>
      <c r="BR94" s="66">
        <f t="shared" si="355"/>
        <v>-0.14764761290224465</v>
      </c>
      <c r="BS94" s="66">
        <f t="shared" si="355"/>
        <v>-0.23428291039862428</v>
      </c>
      <c r="BT94" s="66">
        <f>BT41/(BT$29+BT$32+BT$37)</f>
        <v>-0.22001797490901756</v>
      </c>
      <c r="BU94" s="66">
        <f>BU41/(BU$29+BU$32+BU$37)</f>
        <v>-0.20191408781337106</v>
      </c>
      <c r="BV94" s="66">
        <f>BV41/(BV$29+BV$32+BV$37)</f>
        <v>-0.22029756175443616</v>
      </c>
      <c r="BW94" s="66">
        <f>BW41/(BW$29+BW$32+BW$37)</f>
        <v>-0.22669579495475645</v>
      </c>
      <c r="BX94" s="54"/>
      <c r="BY94" s="66">
        <f>BY41/(BY$29+BY$32+BY$37)</f>
        <v>-0.1408475834025337</v>
      </c>
      <c r="BZ94" s="66">
        <f>BZ41/(BZ$29+BZ$32+BZ$37)</f>
        <v>-0.14262989052986758</v>
      </c>
      <c r="CA94" s="54"/>
      <c r="CG94" s="260"/>
    </row>
    <row r="95" spans="2:85" s="49" customFormat="1" ht="13.5" customHeight="1">
      <c r="B95" s="1" t="s">
        <v>350</v>
      </c>
      <c r="C95" s="66">
        <f>C38/C241</f>
        <v>-4.1012062157148192E-2</v>
      </c>
      <c r="D95" s="66">
        <f>D38/D241</f>
        <v>-4.6416382543987049E-2</v>
      </c>
      <c r="E95" s="66">
        <f>E38/E241</f>
        <v>-5.5870210320864422E-2</v>
      </c>
      <c r="F95" s="66">
        <f t="shared" ref="F95:K95" si="356">F38/F241</f>
        <v>-6.9185777367466533E-2</v>
      </c>
      <c r="G95" s="66">
        <f t="shared" si="356"/>
        <v>-6.9089673203568611E-2</v>
      </c>
      <c r="H95" s="66">
        <f t="shared" si="356"/>
        <v>-6.2998771018134267E-2</v>
      </c>
      <c r="I95" s="66">
        <f t="shared" si="356"/>
        <v>-6.2971660533846785E-2</v>
      </c>
      <c r="J95" s="66">
        <f t="shared" si="356"/>
        <v>-6.4710133980310822E-2</v>
      </c>
      <c r="K95" s="66">
        <f t="shared" si="356"/>
        <v>-8.9380754453253011E-2</v>
      </c>
      <c r="L95" s="66">
        <f>L38/L241</f>
        <v>-2.4470967720590295E-2</v>
      </c>
      <c r="M95" s="66">
        <f>M38/M241</f>
        <v>-9.2303496726915638E-2</v>
      </c>
      <c r="N95" s="66">
        <f>N38/N241</f>
        <v>-0.12046874607539694</v>
      </c>
      <c r="O95" s="66">
        <f>O38/O241</f>
        <v>-7.7071219631409629E-2</v>
      </c>
      <c r="P95" s="66">
        <f>P38/P241</f>
        <v>-6.2258125608033718E-2</v>
      </c>
      <c r="Q95" s="54"/>
      <c r="R95" s="66">
        <f t="shared" ref="R95:X95" si="357">R38/R241</f>
        <v>-1.3128485702832466E-2</v>
      </c>
      <c r="S95" s="66">
        <f t="shared" si="357"/>
        <v>-1.512682245097801E-2</v>
      </c>
      <c r="T95" s="66">
        <f t="shared" si="357"/>
        <v>-1.2927330477042424E-2</v>
      </c>
      <c r="U95" s="66">
        <f t="shared" si="357"/>
        <v>-1.6212990973270298E-2</v>
      </c>
      <c r="V95" s="54">
        <f t="shared" si="357"/>
        <v>-1.6323822796056757E-2</v>
      </c>
      <c r="W95" s="54">
        <f t="shared" si="357"/>
        <v>-1.940669391850447E-2</v>
      </c>
      <c r="X95" s="54">
        <f t="shared" si="357"/>
        <v>-1.6429488005876219E-2</v>
      </c>
      <c r="Y95" s="66">
        <f t="shared" ref="Y95:AD95" si="358">Y38/Y241</f>
        <v>-1.697980872429691E-2</v>
      </c>
      <c r="Z95" s="54">
        <f t="shared" si="358"/>
        <v>-1.4958665105949051E-2</v>
      </c>
      <c r="AA95" s="54">
        <f t="shared" si="358"/>
        <v>-1.5008963082213649E-2</v>
      </c>
      <c r="AB95" s="54">
        <f t="shared" si="358"/>
        <v>-1.9918954552235447E-2</v>
      </c>
      <c r="AC95" s="54">
        <f t="shared" si="358"/>
        <v>-1.566048532858913E-2</v>
      </c>
      <c r="AD95" s="54">
        <f t="shared" si="358"/>
        <v>-1.63388416428067E-2</v>
      </c>
      <c r="AE95" s="54">
        <f t="shared" ref="AE95:AJ95" si="359">AE38/AE241</f>
        <v>-1.4536873771272376E-2</v>
      </c>
      <c r="AF95" s="54">
        <f t="shared" si="359"/>
        <v>-1.6636550240345015E-2</v>
      </c>
      <c r="AG95" s="54">
        <f t="shared" si="359"/>
        <v>-2.1165282584015135E-2</v>
      </c>
      <c r="AH95" s="54">
        <f t="shared" si="359"/>
        <v>-2.0728394052021096E-2</v>
      </c>
      <c r="AI95" s="54">
        <f t="shared" si="359"/>
        <v>-3.3828157941963609E-2</v>
      </c>
      <c r="AJ95" s="54">
        <f t="shared" si="359"/>
        <v>-2.1228382710392141E-2</v>
      </c>
      <c r="AK95" s="54">
        <f t="shared" ref="AK95:AP95" si="360">AK38/AK241</f>
        <v>-7.2811319384354081E-3</v>
      </c>
      <c r="AL95" s="54">
        <f t="shared" si="360"/>
        <v>-2.8561791555914286E-3</v>
      </c>
      <c r="AM95" s="54">
        <f t="shared" si="360"/>
        <v>-6.9884161672160326E-3</v>
      </c>
      <c r="AN95" s="54">
        <f t="shared" si="360"/>
        <v>-6.8435925060403692E-3</v>
      </c>
      <c r="AO95" s="54">
        <f t="shared" si="360"/>
        <v>-1.0437599450214528E-2</v>
      </c>
      <c r="AP95" s="54">
        <f t="shared" si="360"/>
        <v>-1.5308248852810361E-2</v>
      </c>
      <c r="AQ95" s="54">
        <f t="shared" ref="AQ95:AV95" si="361">AQ38/AQ241</f>
        <v>-2.0020303396747843E-2</v>
      </c>
      <c r="AR95" s="54">
        <f t="shared" si="361"/>
        <v>-2.3299714039095174E-2</v>
      </c>
      <c r="AS95" s="54">
        <f t="shared" si="361"/>
        <v>-3.2808230764332577E-2</v>
      </c>
      <c r="AT95" s="54">
        <f t="shared" si="361"/>
        <v>-3.3174933755645911E-2</v>
      </c>
      <c r="AU95" s="54">
        <f t="shared" si="361"/>
        <v>-3.2865460903649092E-2</v>
      </c>
      <c r="AV95" s="54">
        <f t="shared" si="361"/>
        <v>-2.6975024937968082E-2</v>
      </c>
      <c r="AW95" s="54">
        <f t="shared" ref="AW95:BB95" si="362">AW38/AW241</f>
        <v>-2.855667626342388E-2</v>
      </c>
      <c r="AX95" s="54">
        <f t="shared" si="362"/>
        <v>-2.2649986943444216E-2</v>
      </c>
      <c r="AY95" s="54">
        <f t="shared" si="362"/>
        <v>-2.2914851084247356E-2</v>
      </c>
      <c r="AZ95" s="54">
        <f t="shared" si="362"/>
        <v>-1.7950380073035357E-2</v>
      </c>
      <c r="BA95" s="54">
        <f t="shared" si="362"/>
        <v>-1.721750143620205E-2</v>
      </c>
      <c r="BB95" s="54">
        <f t="shared" si="362"/>
        <v>-1.4545927332384335E-2</v>
      </c>
      <c r="BC95" s="54">
        <f>BC38/BC241</f>
        <v>-1.5955995733569359E-2</v>
      </c>
      <c r="BD95" s="54">
        <f>BD38/BD241</f>
        <v>-1.6845017430373609E-2</v>
      </c>
      <c r="BE95" s="54">
        <f>BE38/BE241</f>
        <v>-1.9669231409466071E-2</v>
      </c>
      <c r="BF95" s="54">
        <f>BF38/BF241</f>
        <v>-1.4230656117597395E-2</v>
      </c>
      <c r="BG95" s="142"/>
      <c r="BH95" s="54"/>
      <c r="BI95" s="54"/>
      <c r="BJ95" s="54"/>
      <c r="BK95" s="54"/>
      <c r="BL95" s="54">
        <f>BL38/BL241</f>
        <v>-1.63388416428067E-2</v>
      </c>
      <c r="BM95" s="54"/>
      <c r="BN95" s="66">
        <f t="shared" ref="BN95:BS95" si="363">BN38/BN241</f>
        <v>-2.7843651919977255E-2</v>
      </c>
      <c r="BO95" s="66">
        <f t="shared" si="363"/>
        <v>-3.5779445393905492E-2</v>
      </c>
      <c r="BP95" s="66">
        <f t="shared" si="363"/>
        <v>-2.9343813898759476E-2</v>
      </c>
      <c r="BQ95" s="66">
        <f t="shared" si="363"/>
        <v>-3.05154115417944E-2</v>
      </c>
      <c r="BR95" s="66">
        <f t="shared" si="363"/>
        <v>-5.6938194588139562E-2</v>
      </c>
      <c r="BS95" s="66">
        <f t="shared" si="363"/>
        <v>-9.7751634003569211E-3</v>
      </c>
      <c r="BT95" s="66">
        <f>BT38/BT241</f>
        <v>-3.3946988106272308E-2</v>
      </c>
      <c r="BU95" s="66">
        <f>BU38/BU241</f>
        <v>-6.6361055875888128E-2</v>
      </c>
      <c r="BV95" s="66">
        <f>BV38/BV241</f>
        <v>-4.6593631466111327E-2</v>
      </c>
      <c r="BW95" s="66">
        <f>BW38/BW241</f>
        <v>-3.0006898361527926E-2</v>
      </c>
      <c r="BX95" s="54"/>
      <c r="BY95" s="66"/>
      <c r="BZ95" s="66"/>
      <c r="CA95" s="54"/>
      <c r="CG95" s="260"/>
    </row>
    <row r="96" spans="2:85" s="49" customFormat="1" ht="13.5" customHeight="1">
      <c r="B96" s="1" t="s">
        <v>296</v>
      </c>
      <c r="C96" s="66">
        <f>C47/(C$29+C$32+C$37)</f>
        <v>0.18790526589861467</v>
      </c>
      <c r="D96" s="66">
        <f>D47/(D$29+D$32+D$37)</f>
        <v>0.19885257049695415</v>
      </c>
      <c r="E96" s="66">
        <f>E47/(E$29+E$32+E$37)</f>
        <v>0.16487044071118995</v>
      </c>
      <c r="F96" s="66">
        <f t="shared" ref="F96:K96" si="364">F47/(F$29+F$32+F$37)</f>
        <v>0.15234051017833222</v>
      </c>
      <c r="G96" s="66">
        <f t="shared" si="364"/>
        <v>0.15182195623158859</v>
      </c>
      <c r="H96" s="66">
        <f t="shared" si="364"/>
        <v>0.1457448435924785</v>
      </c>
      <c r="I96" s="66">
        <f t="shared" si="364"/>
        <v>0.25168982775377963</v>
      </c>
      <c r="J96" s="66">
        <f t="shared" si="364"/>
        <v>0.23279077675528823</v>
      </c>
      <c r="K96" s="66">
        <f t="shared" si="364"/>
        <v>0.14237445995033676</v>
      </c>
      <c r="L96" s="66">
        <f>L47/(L$29+L$32+L$37)</f>
        <v>0.27462580909352363</v>
      </c>
      <c r="M96" s="66">
        <f>M47/(M$29+M$32+M$37)</f>
        <v>7.825280884573424E-2</v>
      </c>
      <c r="N96" s="66">
        <f>N47/(N$29+N$32+N$37)</f>
        <v>1.2218012236228346E-2</v>
      </c>
      <c r="O96" s="66">
        <f>O47/(O$29+O$32+O$37)</f>
        <v>0.14296293487127057</v>
      </c>
      <c r="P96" s="66">
        <f>P47/(P$29+P$32+P$37)</f>
        <v>0.2047841915384187</v>
      </c>
      <c r="Q96" s="54"/>
      <c r="R96" s="66">
        <f t="shared" ref="R96:X96" si="365">R47/(R$29+R$32+R$37)</f>
        <v>0.18529841780525055</v>
      </c>
      <c r="S96" s="66">
        <f t="shared" si="365"/>
        <v>0.14943953962683729</v>
      </c>
      <c r="T96" s="66">
        <f t="shared" si="365"/>
        <v>0.17446615684656205</v>
      </c>
      <c r="U96" s="66">
        <f t="shared" si="365"/>
        <v>0.15161933555440785</v>
      </c>
      <c r="V96" s="54">
        <f t="shared" si="365"/>
        <v>0.14985845199850717</v>
      </c>
      <c r="W96" s="54">
        <f t="shared" si="365"/>
        <v>0.14052977653291501</v>
      </c>
      <c r="X96" s="54">
        <f t="shared" si="365"/>
        <v>0.16476776045883618</v>
      </c>
      <c r="Y96" s="66">
        <f t="shared" ref="Y96:AD96" si="366">Y47/(Y$29+Y$32+Y$37)</f>
        <v>0.1548026238752615</v>
      </c>
      <c r="Z96" s="54">
        <f t="shared" si="366"/>
        <v>0.16037015207326294</v>
      </c>
      <c r="AA96" s="54">
        <f t="shared" si="366"/>
        <v>0.16766343472405681</v>
      </c>
      <c r="AB96" s="54">
        <f t="shared" si="366"/>
        <v>0.10169181017184296</v>
      </c>
      <c r="AC96" s="54">
        <f t="shared" si="366"/>
        <v>0.15516576394874446</v>
      </c>
      <c r="AD96" s="54">
        <f t="shared" si="366"/>
        <v>0.25664161591250434</v>
      </c>
      <c r="AE96" s="54">
        <f t="shared" ref="AE96:AJ96" si="367">AE47/(AE$29+AE$32+AE$37)</f>
        <v>0.2832172523007348</v>
      </c>
      <c r="AF96" s="54">
        <f t="shared" si="367"/>
        <v>0.23698610903328149</v>
      </c>
      <c r="AG96" s="54">
        <f t="shared" si="367"/>
        <v>0.15738758530738142</v>
      </c>
      <c r="AH96" s="54">
        <f t="shared" si="367"/>
        <v>0.17343361083259967</v>
      </c>
      <c r="AI96" s="54">
        <f t="shared" si="367"/>
        <v>3.2171724993208162E-5</v>
      </c>
      <c r="AJ96" s="54">
        <f t="shared" si="367"/>
        <v>0.13444008384324729</v>
      </c>
      <c r="AK96" s="54">
        <f t="shared" ref="AK96:AP96" si="368">AK47/(AK$29+AK$32+AK$37)</f>
        <v>0.26833008782482776</v>
      </c>
      <c r="AL96" s="54">
        <f t="shared" si="368"/>
        <v>0.37649391531280835</v>
      </c>
      <c r="AM96" s="54">
        <f t="shared" si="368"/>
        <v>0.28364343743669923</v>
      </c>
      <c r="AN96" s="54">
        <f t="shared" si="368"/>
        <v>0.24858746045085919</v>
      </c>
      <c r="AO96" s="54">
        <f t="shared" si="368"/>
        <v>0.21057106817514765</v>
      </c>
      <c r="AP96" s="54">
        <f t="shared" si="368"/>
        <v>0.19913494393325437</v>
      </c>
      <c r="AQ96" s="54">
        <f t="shared" ref="AQ96:AV96" si="369">AQ47/(AQ$29+AQ$32+AQ$37)</f>
        <v>0.10750464453140124</v>
      </c>
      <c r="AR96" s="54">
        <f t="shared" si="369"/>
        <v>7.2159341638900143E-2</v>
      </c>
      <c r="AS96" s="54">
        <f t="shared" si="369"/>
        <v>-3.6640163205691627E-2</v>
      </c>
      <c r="AT96" s="54">
        <f t="shared" si="369"/>
        <v>-1.3095910843663151E-3</v>
      </c>
      <c r="AU96" s="54">
        <f t="shared" si="369"/>
        <v>-1.7004836050042198E-2</v>
      </c>
      <c r="AV96" s="54">
        <f t="shared" si="369"/>
        <v>8.5567974036388994E-2</v>
      </c>
      <c r="AW96" s="54">
        <f t="shared" ref="AW96:BB96" si="370">AW47/(AW$29+AW$32+AW$37)</f>
        <v>-2.0343878863108612E-2</v>
      </c>
      <c r="AX96" s="54">
        <f t="shared" si="370"/>
        <v>0.12280305732127388</v>
      </c>
      <c r="AY96" s="54">
        <f t="shared" si="370"/>
        <v>0.12597618952725964</v>
      </c>
      <c r="AZ96" s="54">
        <f t="shared" si="370"/>
        <v>0.18489141550114158</v>
      </c>
      <c r="BA96" s="54">
        <f t="shared" si="370"/>
        <v>0.14019640722734128</v>
      </c>
      <c r="BB96" s="54">
        <f t="shared" si="370"/>
        <v>0.26823978062930875</v>
      </c>
      <c r="BC96" s="54">
        <f>BC47/(BC$29+BC$32+BC$37)</f>
        <v>0.23971670157346014</v>
      </c>
      <c r="BD96" s="54">
        <f>BD47/(BD$29+BD$32+BD$37)</f>
        <v>0.20481459316350478</v>
      </c>
      <c r="BE96" s="54">
        <f>BE47/(BE$29+BE$32+BE$37)</f>
        <v>0.11463909351509668</v>
      </c>
      <c r="BF96" s="54">
        <f>BF47/(BF$29+BF$32+BF$37)</f>
        <v>0.30885334378036666</v>
      </c>
      <c r="BG96" s="142"/>
      <c r="BH96" s="54">
        <f>BH47/(BH$29+BH$32+BH$37)</f>
        <v>0.28203458970297002</v>
      </c>
      <c r="BI96" s="54">
        <f>BI47/(BI$29+BI$32+BI$37)</f>
        <v>0.26135647514372767</v>
      </c>
      <c r="BJ96" s="54">
        <f>BJ47/(BJ$29+BJ$32+BJ$37)</f>
        <v>0.21647908589793552</v>
      </c>
      <c r="BK96" s="54">
        <f>BK47/(BK$29+BK$32+BK$37)</f>
        <v>0.3377621240501113</v>
      </c>
      <c r="BL96" s="54">
        <f>BL47/(BL$29+BL$32+BL$37)</f>
        <v>0.25664161591250434</v>
      </c>
      <c r="BM96" s="54"/>
      <c r="BN96" s="66">
        <f t="shared" ref="BN96:BS96" si="371">BN47/(BN$29+BN$32+BN$37)</f>
        <v>0.16698890153571083</v>
      </c>
      <c r="BO96" s="66">
        <f t="shared" si="371"/>
        <v>0.1451042077735927</v>
      </c>
      <c r="BP96" s="66">
        <f t="shared" si="371"/>
        <v>0.16407691872557828</v>
      </c>
      <c r="BQ96" s="66">
        <f t="shared" si="371"/>
        <v>0.27022327926764916</v>
      </c>
      <c r="BR96" s="66">
        <f t="shared" si="371"/>
        <v>9.360905348656659E-2</v>
      </c>
      <c r="BS96" s="66">
        <f t="shared" si="371"/>
        <v>0.33035488534674251</v>
      </c>
      <c r="BT96" s="66">
        <f>BT47/(BT$29+BT$32+BT$37)</f>
        <v>0.14967614044731203</v>
      </c>
      <c r="BU96" s="66">
        <f>BU47/(BU$29+BU$32+BU$37)</f>
        <v>-9.1213063292576585E-3</v>
      </c>
      <c r="BV96" s="66">
        <f>BV47/(BV$29+BV$32+BV$37)</f>
        <v>0.12436750283373973</v>
      </c>
      <c r="BW96" s="66">
        <f>BW47/(BW$29+BW$32+BW$37)</f>
        <v>0.25373015874730975</v>
      </c>
      <c r="BX96" s="54"/>
      <c r="BY96" s="66">
        <f>BY47/(BY$29+BY$32+BY$37)</f>
        <v>0.27154567404042518</v>
      </c>
      <c r="BZ96" s="66">
        <f>BZ47/(BZ$29+BZ$32+BZ$37)</f>
        <v>0.27022327926764916</v>
      </c>
      <c r="CA96" s="54"/>
      <c r="CG96" s="260"/>
    </row>
    <row r="97" spans="1:86" s="49" customFormat="1" ht="13.5" customHeight="1">
      <c r="B97" s="1" t="s">
        <v>346</v>
      </c>
      <c r="C97" s="66">
        <f>C48/C47</f>
        <v>-0.24856341111411942</v>
      </c>
      <c r="D97" s="66">
        <f>D48/D47</f>
        <v>-0.26765902688471249</v>
      </c>
      <c r="E97" s="66">
        <f>E48/E47</f>
        <v>-0.26729168286294214</v>
      </c>
      <c r="F97" s="66">
        <f t="shared" ref="F97:K97" si="372">F48/F47</f>
        <v>-0.28841468379080637</v>
      </c>
      <c r="G97" s="66">
        <f t="shared" si="372"/>
        <v>-0.28841468379080637</v>
      </c>
      <c r="H97" s="66">
        <f t="shared" si="372"/>
        <v>-0.29028445862734636</v>
      </c>
      <c r="I97" s="66">
        <f t="shared" si="372"/>
        <v>-0.26267353173204594</v>
      </c>
      <c r="J97" s="66">
        <f t="shared" si="372"/>
        <v>-0.26159643026074331</v>
      </c>
      <c r="K97" s="66">
        <f t="shared" si="372"/>
        <v>-0.23300932068766081</v>
      </c>
      <c r="L97" s="66">
        <f>L48/L47</f>
        <v>-0.2290367952700462</v>
      </c>
      <c r="M97" s="66">
        <f>M48/M47</f>
        <v>-1.0381922510432436E-2</v>
      </c>
      <c r="N97" s="66">
        <f>N48/N47</f>
        <v>0.75919646798543816</v>
      </c>
      <c r="O97" s="66">
        <f>O48/O47</f>
        <v>-0.21747290715076201</v>
      </c>
      <c r="P97" s="66">
        <f>P48/P47</f>
        <v>-0.2511670881247795</v>
      </c>
      <c r="Q97" s="54"/>
      <c r="R97" s="66">
        <f t="shared" ref="R97:X97" si="373">R48/R47</f>
        <v>-0.26647966551521934</v>
      </c>
      <c r="S97" s="66">
        <f t="shared" si="373"/>
        <v>-0.25869528555984356</v>
      </c>
      <c r="T97" s="66">
        <f t="shared" si="373"/>
        <v>-0.27461371788206829</v>
      </c>
      <c r="U97" s="66">
        <f t="shared" si="373"/>
        <v>-0.26808459607919261</v>
      </c>
      <c r="V97" s="54">
        <f t="shared" si="373"/>
        <v>-0.29068325162446718</v>
      </c>
      <c r="W97" s="54">
        <f t="shared" si="373"/>
        <v>-0.26798354694398691</v>
      </c>
      <c r="X97" s="54">
        <f t="shared" si="373"/>
        <v>-0.30163525433832428</v>
      </c>
      <c r="Y97" s="66">
        <f t="shared" ref="Y97:AD97" si="374">Y48/Y47</f>
        <v>-0.29157355266282753</v>
      </c>
      <c r="Z97" s="54">
        <f t="shared" si="374"/>
        <v>-0.28235589776210085</v>
      </c>
      <c r="AA97" s="54">
        <f t="shared" si="374"/>
        <v>-0.29013768461815481</v>
      </c>
      <c r="AB97" s="54">
        <f t="shared" si="374"/>
        <v>-0.30200445949524485</v>
      </c>
      <c r="AC97" s="54">
        <f t="shared" si="374"/>
        <v>-0.29031968081747234</v>
      </c>
      <c r="AD97" s="54">
        <f t="shared" si="374"/>
        <v>-0.28426056170052372</v>
      </c>
      <c r="AE97" s="54">
        <f t="shared" ref="AE97:AJ97" si="375">AE48/AE47</f>
        <v>-0.26773985422668295</v>
      </c>
      <c r="AF97" s="54">
        <f t="shared" si="375"/>
        <v>-0.27893992932252648</v>
      </c>
      <c r="AG97" s="54">
        <f t="shared" si="375"/>
        <v>-0.19082283740188358</v>
      </c>
      <c r="AH97" s="54">
        <f t="shared" si="375"/>
        <v>-0.25111464282839618</v>
      </c>
      <c r="AI97" s="54">
        <f t="shared" si="375"/>
        <v>273.10848126301681</v>
      </c>
      <c r="AJ97" s="54">
        <f t="shared" si="375"/>
        <v>-0.26563630102960711</v>
      </c>
      <c r="AK97" s="54">
        <f t="shared" ref="AK97:AP97" si="376">AK48/AK47</f>
        <v>-0.23790226247185162</v>
      </c>
      <c r="AL97" s="54">
        <f t="shared" si="376"/>
        <v>-0.23589393377650489</v>
      </c>
      <c r="AM97" s="54">
        <f t="shared" si="376"/>
        <v>-0.25710933701299749</v>
      </c>
      <c r="AN97" s="54">
        <f t="shared" si="376"/>
        <v>-0.22350428220957</v>
      </c>
      <c r="AO97" s="54">
        <f t="shared" si="376"/>
        <v>-0.19610849492685933</v>
      </c>
      <c r="AP97" s="54">
        <f t="shared" si="376"/>
        <v>-0.17671054006823778</v>
      </c>
      <c r="AQ97" s="54">
        <f t="shared" ref="AQ97:AV97" si="377">AQ48/AQ47</f>
        <v>-1.587410584443354E-2</v>
      </c>
      <c r="AR97" s="54">
        <f t="shared" si="377"/>
        <v>-1.6451128906812815E-2</v>
      </c>
      <c r="AS97" s="54">
        <f t="shared" si="377"/>
        <v>-0.74028084501693847</v>
      </c>
      <c r="AT97" s="54">
        <f t="shared" si="377"/>
        <v>-9.4330512443677677</v>
      </c>
      <c r="AU97" s="54">
        <f t="shared" si="377"/>
        <v>-1.2648036958168338</v>
      </c>
      <c r="AV97" s="54">
        <f t="shared" si="377"/>
        <v>-0.21002805977750996</v>
      </c>
      <c r="AW97" s="54">
        <f t="shared" ref="AW97:BB97" si="378">AW48/AW47</f>
        <v>-1.0795409061494492</v>
      </c>
      <c r="AX97" s="54">
        <f t="shared" si="378"/>
        <v>-0.23645524997057354</v>
      </c>
      <c r="AY97" s="54">
        <f t="shared" si="378"/>
        <v>-0.17339220035649092</v>
      </c>
      <c r="AZ97" s="54">
        <f t="shared" si="378"/>
        <v>-0.23754803854368145</v>
      </c>
      <c r="BA97" s="54">
        <f t="shared" si="378"/>
        <v>-0.21443250525692192</v>
      </c>
      <c r="BB97" s="54">
        <f t="shared" si="378"/>
        <v>-0.23307048974322542</v>
      </c>
      <c r="BC97" s="54">
        <f>BC48/BC47</f>
        <v>-0.26268810622717481</v>
      </c>
      <c r="BD97" s="54">
        <f>BD48/BD47</f>
        <v>-0.26617184253946019</v>
      </c>
      <c r="BE97" s="54">
        <f>BE48/BE47</f>
        <v>-0.24139059940802107</v>
      </c>
      <c r="BF97" s="54">
        <f>BF48/BF47</f>
        <v>-0.28510023282420455</v>
      </c>
      <c r="BG97" s="142"/>
      <c r="BH97" s="54">
        <f>BH48/BH47</f>
        <v>-0.25949879655729147</v>
      </c>
      <c r="BI97" s="54">
        <f>BI48/BI47</f>
        <v>-0.26225173576736532</v>
      </c>
      <c r="BJ97" s="54">
        <f>BJ48/BJ47</f>
        <v>-0.26512610018283306</v>
      </c>
      <c r="BK97" s="54">
        <f>BK48/BK47</f>
        <v>-0.25351081143910242</v>
      </c>
      <c r="BL97" s="54">
        <f>BL48/BL47</f>
        <v>-0.28426056170052372</v>
      </c>
      <c r="BM97" s="54"/>
      <c r="BN97" s="66">
        <f t="shared" ref="BN97:BS97" si="379">BN48/BN47</f>
        <v>-0.26292267988668067</v>
      </c>
      <c r="BO97" s="66">
        <f t="shared" si="379"/>
        <v>-0.2794793300732108</v>
      </c>
      <c r="BP97" s="66">
        <f t="shared" si="379"/>
        <v>-0.28639739606480541</v>
      </c>
      <c r="BQ97" s="66">
        <f t="shared" si="379"/>
        <v>-0.27541154784964361</v>
      </c>
      <c r="BR97" s="66">
        <f t="shared" si="379"/>
        <v>-0.20786578536176481</v>
      </c>
      <c r="BS97" s="66">
        <f t="shared" si="379"/>
        <v>-0.24494558087062734</v>
      </c>
      <c r="BT97" s="66">
        <f>BT48/BT47</f>
        <v>-0.11435664500310186</v>
      </c>
      <c r="BU97" s="66">
        <f>BU48/BU47</f>
        <v>-1.8538645603005195</v>
      </c>
      <c r="BV97" s="66">
        <f>BV48/BV47</f>
        <v>-0.20496117934418639</v>
      </c>
      <c r="BW97" s="66">
        <f>BW48/BW47</f>
        <v>-0.24730478587264942</v>
      </c>
      <c r="BX97" s="54"/>
      <c r="BY97" s="66">
        <f>BY48/BY47</f>
        <v>-0.26084281941144549</v>
      </c>
      <c r="BZ97" s="66">
        <f>BZ48/BZ47</f>
        <v>-0.27541154784964361</v>
      </c>
      <c r="CA97" s="54"/>
      <c r="CG97" s="260"/>
    </row>
    <row r="98" spans="1:86" s="49" customFormat="1" ht="13.5" customHeight="1">
      <c r="B98" s="1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54"/>
      <c r="R98" s="66"/>
      <c r="S98" s="66"/>
      <c r="T98" s="66"/>
      <c r="U98" s="66"/>
      <c r="V98" s="54"/>
      <c r="W98" s="54"/>
      <c r="X98" s="54"/>
      <c r="Y98" s="66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142"/>
      <c r="BH98" s="54"/>
      <c r="BI98" s="54"/>
      <c r="BJ98" s="54"/>
      <c r="BK98" s="54"/>
      <c r="BL98" s="54"/>
      <c r="BM98" s="54"/>
      <c r="CG98" s="260"/>
    </row>
    <row r="99" spans="1:86" s="49" customFormat="1" ht="13.5" customHeight="1">
      <c r="B99" s="49" t="s">
        <v>347</v>
      </c>
      <c r="C99" s="66">
        <f>-C180/(C29+C32+C37)</f>
        <v>3.7475719505516362E-2</v>
      </c>
      <c r="D99" s="66">
        <f>-D180/(D29+D32+D37)</f>
        <v>4.2339959051816235E-2</v>
      </c>
      <c r="E99" s="66">
        <f>-E180/(E29+E32+E37)</f>
        <v>4.4896759563090659E-2</v>
      </c>
      <c r="F99" s="66">
        <f t="shared" ref="F99:K99" si="380">-F180/(F29+F32+F37)</f>
        <v>4.6803511060153478E-2</v>
      </c>
      <c r="G99" s="66">
        <f t="shared" si="380"/>
        <v>4.6644195948544027E-2</v>
      </c>
      <c r="H99" s="66">
        <f t="shared" si="380"/>
        <v>4.3891310924336409E-2</v>
      </c>
      <c r="I99" s="66">
        <f t="shared" si="380"/>
        <v>2.6209971385753102E-2</v>
      </c>
      <c r="J99" s="66">
        <f t="shared" si="380"/>
        <v>2.2528014260976337E-2</v>
      </c>
      <c r="K99" s="66">
        <f t="shared" si="380"/>
        <v>2.8610433252224319E-2</v>
      </c>
      <c r="L99" s="66">
        <f>-L180/(L29+L32+L37)</f>
        <v>2.2198259274527985E-2</v>
      </c>
      <c r="M99" s="66">
        <f>-M180/(M29+M32+M37)</f>
        <v>9.407244058631142E-3</v>
      </c>
      <c r="N99" s="66">
        <f>-N180/(N29+N32+N37)</f>
        <v>9.479273424549968E-3</v>
      </c>
      <c r="O99" s="66">
        <f>-O180/(O29+O32+O37)</f>
        <v>1.2067781532612372E-2</v>
      </c>
      <c r="P99" s="66">
        <f>-P180/(P29+P32+P37)</f>
        <v>1.5483309012503143E-2</v>
      </c>
      <c r="Q99" s="54"/>
      <c r="R99" s="66">
        <f t="shared" ref="R99:X99" si="381">-R180/(R29+R32+R37)</f>
        <v>3.1886591822938216E-2</v>
      </c>
      <c r="S99" s="66">
        <f t="shared" si="381"/>
        <v>4.284910081994428E-2</v>
      </c>
      <c r="T99" s="66">
        <f t="shared" si="381"/>
        <v>4.5278346117092604E-2</v>
      </c>
      <c r="U99" s="66">
        <f t="shared" si="381"/>
        <v>5.8334352969527117E-2</v>
      </c>
      <c r="V99" s="54">
        <f t="shared" si="381"/>
        <v>3.1296338894412301E-2</v>
      </c>
      <c r="W99" s="54">
        <f t="shared" si="381"/>
        <v>3.7476725172624972E-2</v>
      </c>
      <c r="X99" s="54">
        <f t="shared" si="381"/>
        <v>4.5193657998036527E-2</v>
      </c>
      <c r="Y99" s="66">
        <f t="shared" ref="Y99:AD99" si="382">-Y180/(Y29+Y32+Y37)</f>
        <v>7.3621447613681126E-2</v>
      </c>
      <c r="Z99" s="54">
        <f t="shared" si="382"/>
        <v>2.7775385963360308E-2</v>
      </c>
      <c r="AA99" s="54">
        <f t="shared" si="382"/>
        <v>4.1357022957975734E-2</v>
      </c>
      <c r="AB99" s="54">
        <f t="shared" si="382"/>
        <v>5.0609703958040389E-2</v>
      </c>
      <c r="AC99" s="54">
        <f t="shared" si="382"/>
        <v>5.423557954764216E-2</v>
      </c>
      <c r="AD99" s="54">
        <f t="shared" si="382"/>
        <v>1.7228509283785547E-2</v>
      </c>
      <c r="AE99" s="54">
        <f t="shared" ref="AE99:AJ99" si="383">-AE180/(AE29+AE32+AE37)</f>
        <v>2.366834147194578E-2</v>
      </c>
      <c r="AF99" s="54">
        <f t="shared" si="383"/>
        <v>1.437025988761856E-2</v>
      </c>
      <c r="AG99" s="54">
        <f t="shared" si="383"/>
        <v>3.4349702955562396E-2</v>
      </c>
      <c r="AH99" s="54">
        <f t="shared" si="383"/>
        <v>3.521374161452584E-2</v>
      </c>
      <c r="AI99" s="54">
        <f t="shared" si="383"/>
        <v>2.462589749318941E-2</v>
      </c>
      <c r="AJ99" s="54">
        <f t="shared" si="383"/>
        <v>2.5029089981036402E-2</v>
      </c>
      <c r="AK99" s="54">
        <f t="shared" ref="AK99:AP99" si="384">-AK180/(AK29+AK32+AK37)</f>
        <v>2.8004260015502394E-2</v>
      </c>
      <c r="AL99" s="54">
        <f t="shared" si="384"/>
        <v>1.9852647248062905E-2</v>
      </c>
      <c r="AM99" s="54">
        <f t="shared" si="384"/>
        <v>2.7791265797911573E-2</v>
      </c>
      <c r="AN99" s="54">
        <f t="shared" si="384"/>
        <v>2.5216293214495471E-2</v>
      </c>
      <c r="AO99" s="54">
        <f t="shared" si="384"/>
        <v>1.7247340915146164E-2</v>
      </c>
      <c r="AP99" s="54">
        <f t="shared" si="384"/>
        <v>1.4200426486676144E-2</v>
      </c>
      <c r="AQ99" s="54">
        <f t="shared" ref="AQ99:AV99" si="385">-AQ180/(AQ29+AQ32+AQ37)</f>
        <v>2.2690159433560248E-2</v>
      </c>
      <c r="AR99" s="54">
        <f t="shared" si="385"/>
        <v>9.347661981475068E-3</v>
      </c>
      <c r="AS99" s="54">
        <f t="shared" si="385"/>
        <v>-6.3913110285093444E-3</v>
      </c>
      <c r="AT99" s="54">
        <f t="shared" si="385"/>
        <v>8.1537870540473716E-3</v>
      </c>
      <c r="AU99" s="54">
        <f t="shared" si="385"/>
        <v>1.39723987891826E-2</v>
      </c>
      <c r="AV99" s="54">
        <f t="shared" si="385"/>
        <v>1.1800727175042472E-2</v>
      </c>
      <c r="AW99" s="54">
        <f t="shared" ref="AW99:BB99" si="386">-AW180/(AW29+AW32+AW37)</f>
        <v>3.9269020959766341E-3</v>
      </c>
      <c r="AX99" s="54">
        <f t="shared" si="386"/>
        <v>6.2444741191068978E-3</v>
      </c>
      <c r="AY99" s="54">
        <f t="shared" si="386"/>
        <v>1.0012629579072441E-2</v>
      </c>
      <c r="AZ99" s="54">
        <f t="shared" si="386"/>
        <v>6.7243984652176885E-3</v>
      </c>
      <c r="BA99" s="54">
        <f t="shared" si="386"/>
        <v>2.5170365072717946E-2</v>
      </c>
      <c r="BB99" s="54">
        <f t="shared" si="386"/>
        <v>1.0376878641605726E-2</v>
      </c>
      <c r="BC99" s="54">
        <f>-BC180/(BC29+BC32+BC37)</f>
        <v>1.7024872955621842E-2</v>
      </c>
      <c r="BD99" s="54">
        <f>-BD180/(BD29+BD32+BD37)</f>
        <v>1.2437823403542351E-2</v>
      </c>
      <c r="BE99" s="54">
        <f>-BE180/(BE29+BE32+BE37)</f>
        <v>2.1557229960687249E-2</v>
      </c>
      <c r="BF99" s="54">
        <f>-BF180/(BF29+BF32+BF37)</f>
        <v>4.6570065888892356E-2</v>
      </c>
      <c r="BG99" s="142"/>
      <c r="BH99" s="54">
        <f>-BH180/(BH29+BH32+BH37)</f>
        <v>1.6404109617874203E-2</v>
      </c>
      <c r="BI99" s="54">
        <f>-BI180/(BI29+BI32+BI37)</f>
        <v>2.4523008600255948E-2</v>
      </c>
      <c r="BJ99" s="54">
        <f>-BJ180/(BJ29+BJ32+BJ37)</f>
        <v>3.0560472931150572E-2</v>
      </c>
      <c r="BK99" s="54">
        <f>-BK180/(BK29+BK32+BK37)</f>
        <v>1.5180692668987455E-2</v>
      </c>
      <c r="BL99" s="54">
        <f>-BL180/(BL29+BL32+BL37)</f>
        <v>1.7228509283785547E-2</v>
      </c>
      <c r="BM99" s="54"/>
      <c r="BN99" s="54">
        <f t="shared" ref="BN99:BS99" si="387">-BN180/(BN29+BN32+BN37)</f>
        <v>3.7484040684472551E-2</v>
      </c>
      <c r="BO99" s="54">
        <f t="shared" si="387"/>
        <v>3.4446096422081615E-2</v>
      </c>
      <c r="BP99" s="54">
        <f t="shared" si="387"/>
        <v>3.4678170553782181E-2</v>
      </c>
      <c r="BQ99" s="54">
        <f t="shared" si="387"/>
        <v>2.0519630202415887E-2</v>
      </c>
      <c r="BR99" s="54">
        <f t="shared" si="387"/>
        <v>3.033967612473485E-2</v>
      </c>
      <c r="BS99" s="54">
        <f t="shared" si="387"/>
        <v>2.3797485955833083E-2</v>
      </c>
      <c r="BT99" s="54">
        <f>-BT180/(BT29+BT32+BT37)</f>
        <v>1.878288486789997E-2</v>
      </c>
      <c r="BU99" s="54">
        <f>-BU180/(BU29+BU32+BU37)</f>
        <v>1.1049781229025982E-2</v>
      </c>
      <c r="BV99" s="54">
        <f>-BV180/(BV29+BV32+BV37)</f>
        <v>8.102283222836246E-3</v>
      </c>
      <c r="BW99" s="54">
        <f>-BW180/(BW29+BW32+BW37)</f>
        <v>1.3758697399012108E-2</v>
      </c>
      <c r="BX99" s="54"/>
      <c r="BY99" s="54">
        <f>-BY180/(BY29+BY32+BY37)</f>
        <v>2.0522398374566486E-2</v>
      </c>
      <c r="BZ99" s="54">
        <f>-BZ180/(BZ29+BZ32+BZ37)</f>
        <v>2.0519630202415887E-2</v>
      </c>
      <c r="CA99" s="54"/>
      <c r="CG99" s="260"/>
    </row>
    <row r="100" spans="1:86" s="49" customFormat="1" ht="13.5" customHeight="1">
      <c r="B100" s="49" t="s">
        <v>348</v>
      </c>
      <c r="C100" s="66">
        <f>C161/(C29+C32+C37)</f>
        <v>2.7994674925700017E-2</v>
      </c>
      <c r="D100" s="66">
        <f>D161/(D29+D32+D37)</f>
        <v>2.5086269602236162E-2</v>
      </c>
      <c r="E100" s="66">
        <f>E161/(E29+E32+E37)</f>
        <v>2.436067534288051E-2</v>
      </c>
      <c r="F100" s="66">
        <f t="shared" ref="F100:K100" si="388">F161/(F29+F32+F37)</f>
        <v>2.7293434934383669E-2</v>
      </c>
      <c r="G100" s="66">
        <f t="shared" si="388"/>
        <v>2.7200530437813144E-2</v>
      </c>
      <c r="H100" s="66">
        <f t="shared" si="388"/>
        <v>2.8133123411868577E-2</v>
      </c>
      <c r="I100" s="66">
        <f t="shared" si="388"/>
        <v>1.6799870955963803E-2</v>
      </c>
      <c r="J100" s="66">
        <f t="shared" si="388"/>
        <v>2.5785965740332102E-2</v>
      </c>
      <c r="K100" s="66">
        <f t="shared" si="388"/>
        <v>3.1577488236868637E-2</v>
      </c>
      <c r="L100" s="66">
        <f>L161/(L29+L32+L37)</f>
        <v>3.45726711332398E-2</v>
      </c>
      <c r="M100" s="66">
        <f>M161/(M29+M32+M37)</f>
        <v>2.3402505656232066E-2</v>
      </c>
      <c r="N100" s="66">
        <f>N161/(N29+N32+N37)</f>
        <v>2.1354114779099254E-2</v>
      </c>
      <c r="O100" s="66">
        <f>O161/(O29+O32+O37)</f>
        <v>2.1808396854489969E-2</v>
      </c>
      <c r="P100" s="66">
        <f>P161/(P29+P32+P37)</f>
        <v>1.9750339454289275E-2</v>
      </c>
      <c r="Q100" s="54"/>
      <c r="R100" s="66">
        <f t="shared" ref="R100:X100" si="389">R161/(R29+R32+R37)</f>
        <v>2.4525332071506367E-2</v>
      </c>
      <c r="S100" s="66">
        <f t="shared" si="389"/>
        <v>2.3965310057596043E-2</v>
      </c>
      <c r="T100" s="66">
        <f t="shared" si="389"/>
        <v>2.4607604573224889E-2</v>
      </c>
      <c r="U100" s="66">
        <f t="shared" si="389"/>
        <v>2.434715182511767E-2</v>
      </c>
      <c r="V100" s="54">
        <f t="shared" si="389"/>
        <v>2.528067399228668E-2</v>
      </c>
      <c r="W100" s="54">
        <f t="shared" si="389"/>
        <v>2.7203042164176648E-2</v>
      </c>
      <c r="X100" s="54">
        <f t="shared" si="389"/>
        <v>2.8217201125035157E-2</v>
      </c>
      <c r="Y100" s="66">
        <f t="shared" ref="Y100:AD100" si="390">Y161/(Y29+Y32+Y37)</f>
        <v>2.8487128849342586E-2</v>
      </c>
      <c r="Z100" s="54">
        <f t="shared" si="390"/>
        <v>3.0421881378658967E-2</v>
      </c>
      <c r="AA100" s="54">
        <f t="shared" si="390"/>
        <v>2.1076814686038971E-2</v>
      </c>
      <c r="AB100" s="54">
        <f t="shared" si="390"/>
        <v>3.1677662924629209E-2</v>
      </c>
      <c r="AC100" s="54">
        <f t="shared" si="390"/>
        <v>2.9184848768812936E-2</v>
      </c>
      <c r="AD100" s="54">
        <f t="shared" si="390"/>
        <v>2.718084825404191E-2</v>
      </c>
      <c r="AE100" s="54">
        <f t="shared" ref="AE100:AJ100" si="391">AE161/(AE29+AE32+AE37)</f>
        <v>2.0926464533010149E-2</v>
      </c>
      <c r="AF100" s="54">
        <f t="shared" si="391"/>
        <v>2.6536024070076616E-2</v>
      </c>
      <c r="AG100" s="54">
        <f t="shared" si="391"/>
        <v>2.8481626887826551E-2</v>
      </c>
      <c r="AH100" s="54">
        <f t="shared" si="391"/>
        <v>2.838592118350923E-2</v>
      </c>
      <c r="AI100" s="54">
        <f t="shared" si="391"/>
        <v>3.3125080777897956E-2</v>
      </c>
      <c r="AJ100" s="54">
        <f t="shared" si="391"/>
        <v>3.5161795966459353E-2</v>
      </c>
      <c r="AK100" s="54">
        <f t="shared" ref="AK100:AP100" si="392">AK161/(AK29+AK32+AK37)</f>
        <v>3.0439723523785347E-2</v>
      </c>
      <c r="AL100" s="54">
        <f t="shared" si="392"/>
        <v>3.5975496774093979E-2</v>
      </c>
      <c r="AM100" s="54">
        <f t="shared" si="392"/>
        <v>3.6454253362861865E-2</v>
      </c>
      <c r="AN100" s="54">
        <f t="shared" si="392"/>
        <v>3.4239860400770532E-2</v>
      </c>
      <c r="AO100" s="54">
        <f t="shared" si="392"/>
        <v>3.232820741674719E-2</v>
      </c>
      <c r="AP100" s="54">
        <f t="shared" si="392"/>
        <v>2.745711419156141E-2</v>
      </c>
      <c r="AQ100" s="54">
        <f t="shared" ref="AQ100:AV100" si="393">AQ161/(AQ29+AQ32+AQ37)</f>
        <v>2.4192799000216494E-2</v>
      </c>
      <c r="AR100" s="54">
        <f t="shared" si="393"/>
        <v>2.3365775304284412E-2</v>
      </c>
      <c r="AS100" s="54">
        <f t="shared" si="393"/>
        <v>1.9560704427106525E-2</v>
      </c>
      <c r="AT100" s="54">
        <f t="shared" si="393"/>
        <v>2.0247212151323413E-2</v>
      </c>
      <c r="AU100" s="54">
        <f t="shared" si="393"/>
        <v>2.1035711610333085E-2</v>
      </c>
      <c r="AV100" s="54">
        <f t="shared" si="393"/>
        <v>2.2307604918330788E-2</v>
      </c>
      <c r="AW100" s="54">
        <f t="shared" ref="AW100:BB100" si="394">AW161/(AW29+AW32+AW37)</f>
        <v>2.1810813751518388E-2</v>
      </c>
      <c r="AX100" s="54">
        <f t="shared" si="394"/>
        <v>2.1491858201672192E-2</v>
      </c>
      <c r="AY100" s="54">
        <f t="shared" si="394"/>
        <v>2.0767900372811759E-2</v>
      </c>
      <c r="AZ100" s="54">
        <f t="shared" si="394"/>
        <v>2.0476263734522281E-2</v>
      </c>
      <c r="BA100" s="54">
        <f t="shared" si="394"/>
        <v>2.4440691956170373E-2</v>
      </c>
      <c r="BB100" s="54">
        <f t="shared" si="394"/>
        <v>1.8429364108331438E-2</v>
      </c>
      <c r="BC100" s="54">
        <f>BC161/(BC29+BC32+BC37)</f>
        <v>1.8697321903632089E-2</v>
      </c>
      <c r="BD100" s="54">
        <f>BD161/(BD29+BD32+BD37)</f>
        <v>1.9494384807491012E-2</v>
      </c>
      <c r="BE100" s="54">
        <f>BE161/(BE29+BE32+BE37)</f>
        <v>2.2175086203899901E-2</v>
      </c>
      <c r="BF100" s="54">
        <f>BF161/(BF29+BF32+BF37)</f>
        <v>1.8335010048883753E-2</v>
      </c>
      <c r="BG100" s="142"/>
      <c r="BH100" s="54">
        <f>BH161/(BH29+BH32+BH37)</f>
        <v>1.7967123319528412E-2</v>
      </c>
      <c r="BI100" s="54">
        <f>BI161/(BI29+BI32+BI37)</f>
        <v>1.2497684891505769E-2</v>
      </c>
      <c r="BJ100" s="54">
        <f>BJ161/(BJ29+BJ32+BJ37)</f>
        <v>1.9128433573388705E-2</v>
      </c>
      <c r="BK100" s="54">
        <f>BK161/(BK29+BK32+BK37)</f>
        <v>8.1689220147641451E-3</v>
      </c>
      <c r="BL100" s="54">
        <f>BL161/(BL29+BL32+BL37)</f>
        <v>2.718084825404191E-2</v>
      </c>
      <c r="BM100" s="54"/>
      <c r="BN100" s="54">
        <f t="shared" ref="BN100:BS100" si="395">BN161/(BN29+BN32+BN37)</f>
        <v>2.4239385251754373E-2</v>
      </c>
      <c r="BO100" s="66">
        <f t="shared" si="395"/>
        <v>2.6260385186343854E-2</v>
      </c>
      <c r="BP100" s="66">
        <f t="shared" si="395"/>
        <v>2.5672307937117545E-2</v>
      </c>
      <c r="BQ100" s="66">
        <f t="shared" si="395"/>
        <v>2.3984502061159325E-2</v>
      </c>
      <c r="BR100" s="66">
        <f t="shared" si="395"/>
        <v>3.0567571570963778E-2</v>
      </c>
      <c r="BS100" s="66">
        <f t="shared" si="395"/>
        <v>3.6213399314833583E-2</v>
      </c>
      <c r="BT100" s="66">
        <f>BT161/(BT29+BT32+BT37)</f>
        <v>2.5695151995444879E-2</v>
      </c>
      <c r="BU100" s="66">
        <f>BU161/(BU29+BU32+BU37)</f>
        <v>2.0639657969022007E-2</v>
      </c>
      <c r="BV100" s="66">
        <f>BV161/(BV29+BV32+BV37)</f>
        <v>2.1134926153761051E-2</v>
      </c>
      <c r="BW100" s="66">
        <f>BW161/(BW29+BW32+BW37)</f>
        <v>1.8565673595905829E-2</v>
      </c>
      <c r="BX100" s="54"/>
      <c r="BY100" s="66">
        <f>BY161/(BY29+BY32+BY37)</f>
        <v>1.5192766004278435E-2</v>
      </c>
      <c r="BZ100" s="66">
        <f>BZ161/(BZ29+BZ32+BZ37)</f>
        <v>2.3984502061159325E-2</v>
      </c>
      <c r="CA100" s="54"/>
      <c r="CG100" s="260"/>
    </row>
    <row r="101" spans="1:86" s="49" customFormat="1" ht="13.5" customHeight="1"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BG101" s="142"/>
      <c r="CG101" s="260"/>
    </row>
    <row r="102" spans="1:86" ht="13.5" customHeight="1">
      <c r="A102" s="28"/>
      <c r="B102" s="17" t="s">
        <v>351</v>
      </c>
      <c r="C102" s="46">
        <v>41975</v>
      </c>
      <c r="D102" s="46">
        <v>42341</v>
      </c>
      <c r="E102" s="46">
        <v>42708</v>
      </c>
      <c r="F102" s="253">
        <v>43073</v>
      </c>
      <c r="G102" s="253">
        <v>43073</v>
      </c>
      <c r="H102" s="253">
        <f t="shared" ref="H102:M102" si="396">H3</f>
        <v>43438</v>
      </c>
      <c r="I102" s="253">
        <f t="shared" si="396"/>
        <v>43438</v>
      </c>
      <c r="J102" s="253">
        <f t="shared" si="396"/>
        <v>43803</v>
      </c>
      <c r="K102" s="253">
        <f t="shared" si="396"/>
        <v>44169</v>
      </c>
      <c r="L102" s="253">
        <f t="shared" si="396"/>
        <v>44534</v>
      </c>
      <c r="M102" s="253">
        <f t="shared" si="396"/>
        <v>44899</v>
      </c>
      <c r="N102" s="253">
        <f>N3</f>
        <v>45264</v>
      </c>
      <c r="O102" s="253">
        <f>O3</f>
        <v>45630</v>
      </c>
      <c r="P102" s="253">
        <f>P3</f>
        <v>45995</v>
      </c>
      <c r="Q102" s="329"/>
      <c r="R102" s="46">
        <v>42437</v>
      </c>
      <c r="S102" s="46">
        <v>42527</v>
      </c>
      <c r="T102" s="46">
        <v>42622</v>
      </c>
      <c r="U102" s="46">
        <v>42714</v>
      </c>
      <c r="V102" s="46">
        <v>42801</v>
      </c>
      <c r="W102" s="46">
        <v>42892</v>
      </c>
      <c r="X102" s="46">
        <v>42987</v>
      </c>
      <c r="Y102" s="46">
        <v>43079</v>
      </c>
      <c r="Z102" s="46">
        <f t="shared" ref="Z102:AE102" si="397">Z3</f>
        <v>43166</v>
      </c>
      <c r="AA102" s="46">
        <f t="shared" si="397"/>
        <v>43257</v>
      </c>
      <c r="AB102" s="46">
        <f t="shared" si="397"/>
        <v>43352</v>
      </c>
      <c r="AC102" s="46">
        <f t="shared" si="397"/>
        <v>43444</v>
      </c>
      <c r="AD102" s="253">
        <f t="shared" si="397"/>
        <v>43531</v>
      </c>
      <c r="AE102" s="253">
        <f t="shared" si="397"/>
        <v>43622</v>
      </c>
      <c r="AF102" s="253">
        <f t="shared" ref="AF102:AK102" si="398">AF3</f>
        <v>43738</v>
      </c>
      <c r="AG102" s="120">
        <f t="shared" si="398"/>
        <v>43809</v>
      </c>
      <c r="AH102" s="253">
        <f t="shared" si="398"/>
        <v>43897</v>
      </c>
      <c r="AI102" s="253">
        <f t="shared" si="398"/>
        <v>43988</v>
      </c>
      <c r="AJ102" s="253">
        <f t="shared" si="398"/>
        <v>44104</v>
      </c>
      <c r="AK102" s="120">
        <f t="shared" si="398"/>
        <v>44175</v>
      </c>
      <c r="AL102" s="253">
        <f t="shared" ref="AL102:AQ102" si="399">AL3</f>
        <v>44262</v>
      </c>
      <c r="AM102" s="253">
        <f t="shared" si="399"/>
        <v>44348</v>
      </c>
      <c r="AN102" s="253">
        <f t="shared" si="399"/>
        <v>44469</v>
      </c>
      <c r="AO102" s="120">
        <f t="shared" si="399"/>
        <v>44540</v>
      </c>
      <c r="AP102" s="253">
        <f t="shared" si="399"/>
        <v>44651</v>
      </c>
      <c r="AQ102" s="253">
        <f t="shared" si="399"/>
        <v>44713</v>
      </c>
      <c r="AR102" s="253">
        <f t="shared" ref="AR102:AW102" si="400">AR3</f>
        <v>44834</v>
      </c>
      <c r="AS102" s="120">
        <f t="shared" si="400"/>
        <v>44905</v>
      </c>
      <c r="AT102" s="253">
        <f t="shared" si="400"/>
        <v>45016</v>
      </c>
      <c r="AU102" s="253">
        <f t="shared" si="400"/>
        <v>45078</v>
      </c>
      <c r="AV102" s="253">
        <f t="shared" si="400"/>
        <v>45199</v>
      </c>
      <c r="AW102" s="120">
        <f t="shared" si="400"/>
        <v>45270</v>
      </c>
      <c r="AX102" s="253">
        <f t="shared" ref="AX102:BC102" si="401">AX3</f>
        <v>45382</v>
      </c>
      <c r="AY102" s="253">
        <f t="shared" si="401"/>
        <v>45444</v>
      </c>
      <c r="AZ102" s="253">
        <f t="shared" si="401"/>
        <v>45565</v>
      </c>
      <c r="BA102" s="120">
        <f t="shared" si="401"/>
        <v>45636</v>
      </c>
      <c r="BB102" s="253">
        <f t="shared" si="401"/>
        <v>45747</v>
      </c>
      <c r="BC102" s="253">
        <f t="shared" si="401"/>
        <v>45809</v>
      </c>
      <c r="BD102" s="253">
        <f>BD3</f>
        <v>45930</v>
      </c>
      <c r="BE102" s="120">
        <f>BE3</f>
        <v>46001</v>
      </c>
      <c r="BF102" s="253">
        <f>BF3</f>
        <v>46112</v>
      </c>
      <c r="BG102" s="142"/>
      <c r="BH102" s="46">
        <f>BH3</f>
        <v>43166</v>
      </c>
      <c r="BI102" s="46">
        <f>BI3</f>
        <v>43281</v>
      </c>
      <c r="BJ102" s="46">
        <f>BJ3</f>
        <v>43373</v>
      </c>
      <c r="BK102" s="46">
        <f>BK3</f>
        <v>43444</v>
      </c>
      <c r="BL102" s="253">
        <f>BL3</f>
        <v>43531</v>
      </c>
      <c r="BM102" s="329"/>
      <c r="BN102" s="82">
        <v>42530</v>
      </c>
      <c r="BO102" s="82">
        <v>42896</v>
      </c>
      <c r="BP102" s="82">
        <f t="shared" ref="BP102:BU102" si="402">BP3</f>
        <v>43261</v>
      </c>
      <c r="BQ102" s="315">
        <f t="shared" si="402"/>
        <v>43646</v>
      </c>
      <c r="BR102" s="315">
        <f t="shared" si="402"/>
        <v>44012</v>
      </c>
      <c r="BS102" s="315">
        <f t="shared" si="402"/>
        <v>44377</v>
      </c>
      <c r="BT102" s="315">
        <f t="shared" si="402"/>
        <v>44742</v>
      </c>
      <c r="BU102" s="315">
        <f t="shared" si="402"/>
        <v>45107</v>
      </c>
      <c r="BV102" s="315">
        <f>BV3</f>
        <v>45473</v>
      </c>
      <c r="BW102" s="315">
        <f>BW3</f>
        <v>45838</v>
      </c>
      <c r="BX102" s="337"/>
      <c r="BY102" s="315">
        <f>BY3</f>
        <v>43281</v>
      </c>
      <c r="BZ102" s="315">
        <f>BZ3</f>
        <v>43646</v>
      </c>
      <c r="CA102" s="119"/>
      <c r="CC102" s="206">
        <v>42064</v>
      </c>
      <c r="CD102" s="206">
        <v>42156</v>
      </c>
      <c r="CE102" s="206">
        <v>42248</v>
      </c>
      <c r="CG102" s="260"/>
    </row>
    <row r="103" spans="1:86" s="5" customFormat="1" ht="13.5" customHeight="1">
      <c r="B103" s="16" t="s">
        <v>352</v>
      </c>
      <c r="C103" s="8">
        <f>C18</f>
        <v>715259.95899999933</v>
      </c>
      <c r="D103" s="8">
        <f>D18</f>
        <v>780405.76999999955</v>
      </c>
      <c r="E103" s="8">
        <f>E18</f>
        <v>936752.27700000012</v>
      </c>
      <c r="F103" s="8">
        <f t="shared" ref="F103:K103" si="403">F18</f>
        <v>823039.88800000062</v>
      </c>
      <c r="G103" s="8">
        <f t="shared" si="403"/>
        <v>823039.8879999998</v>
      </c>
      <c r="H103" s="8">
        <f t="shared" si="403"/>
        <v>793946.29600000079</v>
      </c>
      <c r="I103" s="8">
        <f t="shared" si="403"/>
        <v>586885.48699999996</v>
      </c>
      <c r="J103" s="8">
        <f t="shared" si="403"/>
        <v>411164.21999999986</v>
      </c>
      <c r="K103" s="8">
        <f t="shared" si="403"/>
        <v>152993.90499999953</v>
      </c>
      <c r="L103" s="8">
        <f>L18</f>
        <v>776116.88600000006</v>
      </c>
      <c r="M103" s="8">
        <f>M18</f>
        <v>303254.03700000059</v>
      </c>
      <c r="N103" s="8">
        <f>N18</f>
        <v>487551.58799999958</v>
      </c>
      <c r="O103" s="8">
        <f>O18</f>
        <v>920128.68799999985</v>
      </c>
      <c r="P103" s="8">
        <f>P18</f>
        <v>2451227.0959999999</v>
      </c>
      <c r="Q103" s="8"/>
      <c r="R103" s="8">
        <f t="shared" ref="R103:X103" si="404">R18</f>
        <v>162523.57600000006</v>
      </c>
      <c r="S103" s="8">
        <f t="shared" si="404"/>
        <v>188619.12900000007</v>
      </c>
      <c r="T103" s="8">
        <f t="shared" si="404"/>
        <v>293069.25300000003</v>
      </c>
      <c r="U103" s="8">
        <f t="shared" si="404"/>
        <v>292540.31900000025</v>
      </c>
      <c r="V103" s="8">
        <f t="shared" si="404"/>
        <v>183257.40899999987</v>
      </c>
      <c r="W103" s="8">
        <f t="shared" si="404"/>
        <v>206420.83300000016</v>
      </c>
      <c r="X103" s="8">
        <f t="shared" si="404"/>
        <v>145659.82900000009</v>
      </c>
      <c r="Y103" s="8">
        <f t="shared" ref="Y103:AD103" si="405">Y18</f>
        <v>287701.81700000056</v>
      </c>
      <c r="Z103" s="8">
        <f t="shared" si="405"/>
        <v>190260.90299999996</v>
      </c>
      <c r="AA103" s="8">
        <f t="shared" si="405"/>
        <v>196907.68200000006</v>
      </c>
      <c r="AB103" s="8">
        <f t="shared" si="405"/>
        <v>149553.98200000048</v>
      </c>
      <c r="AC103" s="8">
        <f t="shared" si="405"/>
        <v>257223.72900000113</v>
      </c>
      <c r="AD103" s="8">
        <f t="shared" si="405"/>
        <v>86659.383999999991</v>
      </c>
      <c r="AE103" s="8">
        <f t="shared" ref="AE103:AJ103" si="406">AE18</f>
        <v>122601.56699999973</v>
      </c>
      <c r="AF103" s="8">
        <f t="shared" si="406"/>
        <v>71150.907999999981</v>
      </c>
      <c r="AG103" s="8">
        <f>AG18</f>
        <v>130752.36100000022</v>
      </c>
      <c r="AH103" s="8">
        <f t="shared" si="406"/>
        <v>34957.887000000032</v>
      </c>
      <c r="AI103" s="8">
        <f t="shared" si="406"/>
        <v>-140396.69299999994</v>
      </c>
      <c r="AJ103" s="8">
        <f t="shared" si="406"/>
        <v>31351.423000000817</v>
      </c>
      <c r="AK103" s="8">
        <f t="shared" ref="AK103:AP103" si="407">AK18</f>
        <v>227081.28799999921</v>
      </c>
      <c r="AL103" s="8">
        <f t="shared" si="407"/>
        <v>139620.63700000005</v>
      </c>
      <c r="AM103" s="8">
        <f t="shared" si="407"/>
        <v>171725.71399999998</v>
      </c>
      <c r="AN103" s="8">
        <f t="shared" si="407"/>
        <v>206689.51099999953</v>
      </c>
      <c r="AO103" s="8">
        <f t="shared" si="407"/>
        <v>258081.02400000009</v>
      </c>
      <c r="AP103" s="8">
        <f t="shared" si="407"/>
        <v>96662.023999999801</v>
      </c>
      <c r="AQ103" s="8">
        <f t="shared" ref="AQ103:AV103" si="408">AQ18</f>
        <v>184156.65000000043</v>
      </c>
      <c r="AR103" s="8">
        <f t="shared" si="408"/>
        <v>45704.764999999556</v>
      </c>
      <c r="AS103" s="8">
        <f t="shared" si="408"/>
        <v>-23269.402000000038</v>
      </c>
      <c r="AT103" s="8">
        <f t="shared" si="408"/>
        <v>8759.4620000001523</v>
      </c>
      <c r="AU103" s="8">
        <f t="shared" si="408"/>
        <v>221741.47499999971</v>
      </c>
      <c r="AV103" s="8">
        <f t="shared" si="408"/>
        <v>28939.463000000535</v>
      </c>
      <c r="AW103" s="8">
        <f t="shared" ref="AW103:BB103" si="409">AW18</f>
        <v>228111.18800000017</v>
      </c>
      <c r="AX103" s="8">
        <f t="shared" si="409"/>
        <v>131449.14100000018</v>
      </c>
      <c r="AY103" s="8">
        <f t="shared" si="409"/>
        <v>267307.74099999928</v>
      </c>
      <c r="AZ103" s="8">
        <f t="shared" si="409"/>
        <v>142042.71600000042</v>
      </c>
      <c r="BA103" s="8">
        <f t="shared" si="409"/>
        <v>379329.09000000043</v>
      </c>
      <c r="BB103" s="8">
        <f t="shared" si="409"/>
        <v>242699.47399999987</v>
      </c>
      <c r="BC103" s="8">
        <f>BC18</f>
        <v>676964.00700000057</v>
      </c>
      <c r="BD103" s="8">
        <f>BD18</f>
        <v>213502.21799999959</v>
      </c>
      <c r="BE103" s="8">
        <f>BE18</f>
        <v>1318061.3969999996</v>
      </c>
      <c r="BF103" s="8">
        <f>BF18</f>
        <v>261157.30999999991</v>
      </c>
      <c r="BG103" s="142"/>
      <c r="BH103" s="8">
        <f>BH18</f>
        <v>133643.3000000001</v>
      </c>
      <c r="BI103" s="8">
        <f>BI18</f>
        <v>146704.05300000001</v>
      </c>
      <c r="BJ103" s="8">
        <f>BJ18</f>
        <v>100067.94899999967</v>
      </c>
      <c r="BK103" s="8">
        <f>BK18</f>
        <v>50162.919999999503</v>
      </c>
      <c r="BL103" s="8">
        <f>BL18</f>
        <v>86659.38400000002</v>
      </c>
      <c r="BM103" s="8"/>
      <c r="BN103" s="8">
        <f t="shared" ref="BN103:BS103" si="410">BN18</f>
        <v>351142.70500000013</v>
      </c>
      <c r="BO103" s="8">
        <f t="shared" si="410"/>
        <v>389678.24200000003</v>
      </c>
      <c r="BP103" s="8">
        <f t="shared" si="410"/>
        <v>387168.58499999996</v>
      </c>
      <c r="BQ103" s="8">
        <f t="shared" si="410"/>
        <v>209260.95099999971</v>
      </c>
      <c r="BR103" s="8">
        <f t="shared" si="410"/>
        <v>-105438.80599999989</v>
      </c>
      <c r="BS103" s="8">
        <f t="shared" si="410"/>
        <v>311346.35100000008</v>
      </c>
      <c r="BT103" s="8">
        <f>BT18</f>
        <v>280818.67400000023</v>
      </c>
      <c r="BU103" s="8">
        <f>BU18</f>
        <v>230500.93699999986</v>
      </c>
      <c r="BV103" s="8">
        <f>BV18</f>
        <v>398756.88199999952</v>
      </c>
      <c r="BW103" s="8">
        <f>BW18</f>
        <v>919663.48100000026</v>
      </c>
      <c r="BX103" s="8"/>
      <c r="BY103" s="8">
        <f>BY18</f>
        <v>280347.35300000018</v>
      </c>
      <c r="BZ103" s="8">
        <f>BZ18</f>
        <v>209260.95099999965</v>
      </c>
      <c r="CA103" s="8"/>
      <c r="CC103" s="5">
        <f>CC18</f>
        <v>150597.11499999999</v>
      </c>
      <c r="CD103" s="5">
        <f>CD18</f>
        <v>326170.14600000001</v>
      </c>
      <c r="CE103" s="5">
        <f>CE18</f>
        <v>478149.54</v>
      </c>
      <c r="CG103" s="260"/>
      <c r="CH103" s="8"/>
    </row>
    <row r="104" spans="1:86" ht="13.5" customHeight="1">
      <c r="B104" s="7" t="s">
        <v>353</v>
      </c>
      <c r="C104" s="145">
        <v>188953</v>
      </c>
      <c r="D104" s="145">
        <v>228159</v>
      </c>
      <c r="E104" s="145">
        <v>245379</v>
      </c>
      <c r="F104" s="145">
        <f>286771+F42</f>
        <v>267008.00300000003</v>
      </c>
      <c r="G104" s="145">
        <f>286771+G42</f>
        <v>267008.00300000003</v>
      </c>
      <c r="H104" s="145">
        <f>325331+H42</f>
        <v>304155.701</v>
      </c>
      <c r="I104" s="145">
        <f>325331+I42</f>
        <v>304155.701</v>
      </c>
      <c r="J104" s="145">
        <f>435861+J42</f>
        <v>400864.49900000001</v>
      </c>
      <c r="K104" s="145">
        <f>462001+K42</f>
        <v>424494.82299999997</v>
      </c>
      <c r="L104" s="145">
        <f>467483+L42</f>
        <v>428191.19299999997</v>
      </c>
      <c r="M104" s="145">
        <f>505107+M42</f>
        <v>462484.00800000003</v>
      </c>
      <c r="N104" s="145">
        <f>457595</f>
        <v>457595</v>
      </c>
      <c r="O104" s="145">
        <v>466200</v>
      </c>
      <c r="P104" s="145">
        <v>458439</v>
      </c>
      <c r="Q104" s="145"/>
      <c r="R104" s="145">
        <v>58518.036</v>
      </c>
      <c r="S104" s="6">
        <f>BN104-R104</f>
        <v>61114.845999999998</v>
      </c>
      <c r="T104" s="145">
        <f>181367.066-S104-R104</f>
        <v>61734.184000000001</v>
      </c>
      <c r="U104" s="6">
        <f>E104-T104-S104-R104</f>
        <v>64011.934000000001</v>
      </c>
      <c r="V104" s="145">
        <v>64225.375999999997</v>
      </c>
      <c r="W104" s="6">
        <f>BO104-V104</f>
        <v>65634.175000000017</v>
      </c>
      <c r="X104" s="145">
        <f>196912.076-W104-V104</f>
        <v>67052.524999999994</v>
      </c>
      <c r="Y104" s="151">
        <f>F104-X104-W104-V104</f>
        <v>70095.927000000025</v>
      </c>
      <c r="Z104" s="145">
        <v>71288.648000000001</v>
      </c>
      <c r="AA104" s="6">
        <f>BP104-Z104</f>
        <v>73257.534</v>
      </c>
      <c r="AB104" s="145">
        <f>221101.827-AA104-Z104</f>
        <v>76555.645000000004</v>
      </c>
      <c r="AC104" s="151">
        <f>H104-AB104-AA104-Z104</f>
        <v>83053.873999999996</v>
      </c>
      <c r="AD104" s="145">
        <f>108622+AD42</f>
        <v>99779.376000000004</v>
      </c>
      <c r="AE104" s="6">
        <f>BQ104-AD104</f>
        <v>99293.178999999989</v>
      </c>
      <c r="AF104" s="145">
        <f>109994+AF42</f>
        <v>100906.348</v>
      </c>
      <c r="AG104" s="151">
        <f>J104-AF104-AE104-AD104</f>
        <v>100885.59600000001</v>
      </c>
      <c r="AH104" s="145">
        <f>116136+AH42</f>
        <v>106172.26300000001</v>
      </c>
      <c r="AI104" s="6">
        <f>BR104-AH104</f>
        <v>106396.54199999999</v>
      </c>
      <c r="AJ104" s="145">
        <f>114369+AJ42</f>
        <v>104925.47100000001</v>
      </c>
      <c r="AK104" s="151">
        <f>K104-AJ104-AI104-AH104</f>
        <v>107000.54699999996</v>
      </c>
      <c r="AL104" s="145">
        <f>110117+AL42</f>
        <v>100722.7</v>
      </c>
      <c r="AM104" s="6">
        <f>BS104-AL104</f>
        <v>103350.33500000001</v>
      </c>
      <c r="AN104" s="145">
        <f>118242+AN42</f>
        <v>108674.251</v>
      </c>
      <c r="AO104" s="151">
        <f>L104-AN104-AM104-AL104</f>
        <v>115443.90699999996</v>
      </c>
      <c r="AP104" s="145">
        <f>120513+AP42</f>
        <v>109876.213</v>
      </c>
      <c r="AQ104" s="6">
        <f>BT104-AP104</f>
        <v>84406.26400000001</v>
      </c>
      <c r="AR104" s="145">
        <v>111856</v>
      </c>
      <c r="AS104" s="151">
        <f>M104-AR104-AQ104-AP104</f>
        <v>156345.53100000002</v>
      </c>
      <c r="AT104" s="145">
        <f>124391+AT42</f>
        <v>114817.88099999999</v>
      </c>
      <c r="AU104" s="25">
        <f>BU104-AT104</f>
        <v>87835.671000000002</v>
      </c>
      <c r="AV104" s="145">
        <v>116153</v>
      </c>
      <c r="AW104" s="151">
        <f>N104-AV104-AU104-AT104</f>
        <v>138788.448</v>
      </c>
      <c r="AX104" s="145">
        <v>116847</v>
      </c>
      <c r="AY104" s="25">
        <f>BV104-AX104</f>
        <v>95208.410999999993</v>
      </c>
      <c r="AZ104" s="145">
        <v>113219</v>
      </c>
      <c r="BA104" s="151">
        <f>O104-AZ104-AY104-AX104</f>
        <v>140925.58900000001</v>
      </c>
      <c r="BB104" s="145">
        <v>110441</v>
      </c>
      <c r="BC104" s="25">
        <f>BW104-BB104</f>
        <v>93630.341000000015</v>
      </c>
      <c r="BD104" s="145">
        <v>113666</v>
      </c>
      <c r="BE104" s="151">
        <f>P104-BD104-BC104-BB104</f>
        <v>140701.65899999999</v>
      </c>
      <c r="BF104" s="145">
        <v>-114560</v>
      </c>
      <c r="BG104" s="142"/>
      <c r="BH104" s="145">
        <f>77075+BH42</f>
        <v>71654.516999999993</v>
      </c>
      <c r="BI104" s="203">
        <f>BY104-BH104</f>
        <v>72829.679000000004</v>
      </c>
      <c r="BJ104" s="145">
        <f>82731+BJ42</f>
        <v>76617.656000000003</v>
      </c>
      <c r="BK104" s="151">
        <f>I104-Z104-AB104-AA104</f>
        <v>83053.873999999996</v>
      </c>
      <c r="BL104" s="145">
        <f>108622+BL42</f>
        <v>99779.376000000004</v>
      </c>
      <c r="BM104" s="145"/>
      <c r="BN104" s="145">
        <v>119632.882</v>
      </c>
      <c r="BO104" s="145">
        <v>129859.55100000001</v>
      </c>
      <c r="BP104" s="145">
        <v>144546.182</v>
      </c>
      <c r="BQ104" s="145">
        <f>215031+BQ42</f>
        <v>199072.55499999999</v>
      </c>
      <c r="BR104" s="145">
        <f>232451+BR42</f>
        <v>212568.80499999999</v>
      </c>
      <c r="BS104" s="145">
        <f>222870+BS42</f>
        <v>204073.035</v>
      </c>
      <c r="BT104" s="145">
        <f>215911+BT42</f>
        <v>194282.47700000001</v>
      </c>
      <c r="BU104" s="145">
        <f>222082+BU42</f>
        <v>202653.552</v>
      </c>
      <c r="BV104" s="145">
        <f>231673+BV42</f>
        <v>212055.41099999999</v>
      </c>
      <c r="BW104" s="145">
        <f>221855+BW42</f>
        <v>204071.34100000001</v>
      </c>
      <c r="BX104" s="145"/>
      <c r="BY104" s="145">
        <f>153786+BY42</f>
        <v>144484.196</v>
      </c>
      <c r="BZ104" s="145">
        <f>215031+BZ42</f>
        <v>199072.55499999999</v>
      </c>
      <c r="CA104" s="145"/>
      <c r="CC104" s="59">
        <v>46925.392999999996</v>
      </c>
      <c r="CD104" s="1">
        <v>92432.278999999995</v>
      </c>
      <c r="CE104" s="1">
        <v>139643.04399999999</v>
      </c>
      <c r="CG104" s="260"/>
      <c r="CH104" s="6"/>
    </row>
    <row r="105" spans="1:86" s="5" customFormat="1" ht="13.5" customHeight="1">
      <c r="B105" s="5" t="s">
        <v>354</v>
      </c>
      <c r="C105" s="8">
        <f>SUM(C103+C104)</f>
        <v>904212.95899999933</v>
      </c>
      <c r="D105" s="8">
        <f>SUM(D103+D104)</f>
        <v>1008564.7699999996</v>
      </c>
      <c r="E105" s="8">
        <f>SUM(E103+E104)</f>
        <v>1182131.2770000002</v>
      </c>
      <c r="F105" s="8">
        <f t="shared" ref="F105:O105" si="411">SUM(F103+F104)</f>
        <v>1090047.8910000008</v>
      </c>
      <c r="G105" s="8">
        <f t="shared" si="411"/>
        <v>1090047.8909999998</v>
      </c>
      <c r="H105" s="8">
        <f t="shared" si="411"/>
        <v>1098101.9970000009</v>
      </c>
      <c r="I105" s="8">
        <f t="shared" si="411"/>
        <v>891041.18799999997</v>
      </c>
      <c r="J105" s="8">
        <f t="shared" si="411"/>
        <v>812028.71899999981</v>
      </c>
      <c r="K105" s="8">
        <f t="shared" si="411"/>
        <v>577488.72799999954</v>
      </c>
      <c r="L105" s="8">
        <f t="shared" si="411"/>
        <v>1204308.0789999999</v>
      </c>
      <c r="M105" s="8">
        <f t="shared" si="411"/>
        <v>765738.04500000062</v>
      </c>
      <c r="N105" s="8">
        <f t="shared" si="411"/>
        <v>945146.58799999952</v>
      </c>
      <c r="O105" s="8">
        <f t="shared" si="411"/>
        <v>1386328.6879999998</v>
      </c>
      <c r="P105" s="8">
        <f>SUM(P103+P104)</f>
        <v>2909666.0959999999</v>
      </c>
      <c r="Q105" s="8"/>
      <c r="R105" s="8">
        <f t="shared" ref="R105:X105" si="412">SUM(R103+R104)</f>
        <v>221041.61200000005</v>
      </c>
      <c r="S105" s="8">
        <f t="shared" si="412"/>
        <v>249733.97500000006</v>
      </c>
      <c r="T105" s="8">
        <f t="shared" si="412"/>
        <v>354803.43700000003</v>
      </c>
      <c r="U105" s="8">
        <f t="shared" si="412"/>
        <v>356552.25300000026</v>
      </c>
      <c r="V105" s="8">
        <f t="shared" si="412"/>
        <v>247482.78499999986</v>
      </c>
      <c r="W105" s="8">
        <f t="shared" si="412"/>
        <v>272055.00800000015</v>
      </c>
      <c r="X105" s="8">
        <f t="shared" si="412"/>
        <v>212712.35400000008</v>
      </c>
      <c r="Y105" s="8">
        <f t="shared" ref="Y105:AD105" si="413">SUM(Y103+Y104)</f>
        <v>357797.74400000059</v>
      </c>
      <c r="Z105" s="8">
        <f t="shared" si="413"/>
        <v>261549.55099999998</v>
      </c>
      <c r="AA105" s="8">
        <f t="shared" si="413"/>
        <v>270165.21600000007</v>
      </c>
      <c r="AB105" s="8">
        <f t="shared" si="413"/>
        <v>226109.6270000005</v>
      </c>
      <c r="AC105" s="8">
        <f t="shared" si="413"/>
        <v>340277.60300000111</v>
      </c>
      <c r="AD105" s="8">
        <f t="shared" si="413"/>
        <v>186438.76</v>
      </c>
      <c r="AE105" s="8">
        <f t="shared" ref="AE105:AJ105" si="414">SUM(AE103+AE104)</f>
        <v>221894.74599999972</v>
      </c>
      <c r="AF105" s="8">
        <f t="shared" si="414"/>
        <v>172057.25599999999</v>
      </c>
      <c r="AG105" s="8">
        <f t="shared" si="414"/>
        <v>231637.95700000023</v>
      </c>
      <c r="AH105" s="8">
        <f t="shared" si="414"/>
        <v>141130.15000000002</v>
      </c>
      <c r="AI105" s="8">
        <f t="shared" si="414"/>
        <v>-34000.150999999954</v>
      </c>
      <c r="AJ105" s="8">
        <f t="shared" si="414"/>
        <v>136276.89400000082</v>
      </c>
      <c r="AK105" s="8">
        <f t="shared" ref="AK105:AP105" si="415">SUM(AK103+AK104)</f>
        <v>334081.83499999915</v>
      </c>
      <c r="AL105" s="8">
        <f t="shared" si="415"/>
        <v>240343.33700000006</v>
      </c>
      <c r="AM105" s="8">
        <f t="shared" si="415"/>
        <v>275076.049</v>
      </c>
      <c r="AN105" s="8">
        <f t="shared" si="415"/>
        <v>315363.76199999952</v>
      </c>
      <c r="AO105" s="8">
        <f t="shared" si="415"/>
        <v>373524.93100000004</v>
      </c>
      <c r="AP105" s="8">
        <f t="shared" si="415"/>
        <v>206538.23699999979</v>
      </c>
      <c r="AQ105" s="8">
        <f t="shared" ref="AQ105:AV105" si="416">SUM(AQ103+AQ104)</f>
        <v>268562.91400000046</v>
      </c>
      <c r="AR105" s="8">
        <f t="shared" si="416"/>
        <v>157560.76499999955</v>
      </c>
      <c r="AS105" s="8">
        <f t="shared" si="416"/>
        <v>133076.12899999999</v>
      </c>
      <c r="AT105" s="8">
        <f t="shared" si="416"/>
        <v>123577.34300000014</v>
      </c>
      <c r="AU105" s="8">
        <f t="shared" si="416"/>
        <v>309577.14599999972</v>
      </c>
      <c r="AV105" s="8">
        <f t="shared" si="416"/>
        <v>145092.46300000054</v>
      </c>
      <c r="AW105" s="8">
        <f t="shared" ref="AW105:BB105" si="417">SUM(AW103+AW104)</f>
        <v>366899.63600000017</v>
      </c>
      <c r="AX105" s="8">
        <f t="shared" si="417"/>
        <v>248296.14100000018</v>
      </c>
      <c r="AY105" s="8">
        <f t="shared" si="417"/>
        <v>362516.1519999993</v>
      </c>
      <c r="AZ105" s="8">
        <f t="shared" si="417"/>
        <v>255261.71600000042</v>
      </c>
      <c r="BA105" s="8">
        <f t="shared" si="417"/>
        <v>520254.67900000047</v>
      </c>
      <c r="BB105" s="8">
        <f t="shared" si="417"/>
        <v>353140.47399999987</v>
      </c>
      <c r="BC105" s="8">
        <f>SUM(BC103+BC104)</f>
        <v>770594.34800000058</v>
      </c>
      <c r="BD105" s="8">
        <f>SUM(BD103+BD104)</f>
        <v>327168.21799999959</v>
      </c>
      <c r="BE105" s="8">
        <f>SUM(BE103+BE104)</f>
        <v>1458763.0559999996</v>
      </c>
      <c r="BF105" s="8">
        <f>SUM(BF103+BF104)</f>
        <v>146597.30999999991</v>
      </c>
      <c r="BG105" s="142"/>
      <c r="BH105" s="8">
        <f>SUM(BH103+BH104)</f>
        <v>205297.8170000001</v>
      </c>
      <c r="BI105" s="8">
        <f>SUM(BI103+BI104)</f>
        <v>219533.73200000002</v>
      </c>
      <c r="BJ105" s="8">
        <f>SUM(BJ103+BJ104)</f>
        <v>176685.60499999969</v>
      </c>
      <c r="BK105" s="8">
        <f>SUM(BK103+BK104)</f>
        <v>133216.7939999995</v>
      </c>
      <c r="BL105" s="8">
        <f>SUM(BL103+BL104)</f>
        <v>186438.76</v>
      </c>
      <c r="BM105" s="8"/>
      <c r="BN105" s="8">
        <f t="shared" ref="BN105:BS105" si="418">SUM(BN103+BN104)</f>
        <v>470775.58700000012</v>
      </c>
      <c r="BO105" s="8">
        <f t="shared" si="418"/>
        <v>519537.79300000006</v>
      </c>
      <c r="BP105" s="8">
        <f t="shared" si="418"/>
        <v>531714.76699999999</v>
      </c>
      <c r="BQ105" s="8">
        <f t="shared" si="418"/>
        <v>408333.5059999997</v>
      </c>
      <c r="BR105" s="8">
        <f t="shared" si="418"/>
        <v>107129.9990000001</v>
      </c>
      <c r="BS105" s="8">
        <f t="shared" si="418"/>
        <v>515419.38600000006</v>
      </c>
      <c r="BT105" s="8">
        <f>SUM(BT103+BT104)</f>
        <v>475101.15100000025</v>
      </c>
      <c r="BU105" s="8">
        <f>SUM(BU103+BU104)</f>
        <v>433154.48899999983</v>
      </c>
      <c r="BV105" s="8">
        <f>SUM(BV103+BV104)</f>
        <v>610812.29299999948</v>
      </c>
      <c r="BW105" s="8">
        <f>SUM(BW103+BW104)</f>
        <v>1123734.8220000002</v>
      </c>
      <c r="BX105" s="8"/>
      <c r="BY105" s="8">
        <f>SUM(BY103+BY104)</f>
        <v>424831.54900000017</v>
      </c>
      <c r="BZ105" s="8">
        <f>SUM(BZ103+BZ104)</f>
        <v>408333.50599999964</v>
      </c>
      <c r="CA105" s="8"/>
      <c r="CC105" s="205">
        <f>SUM(CC103+CC104)</f>
        <v>197522.50799999997</v>
      </c>
      <c r="CD105" s="205">
        <f>SUM(CD103+CD104)</f>
        <v>418602.42499999999</v>
      </c>
      <c r="CE105" s="205">
        <f>SUM(CE103+CE104)</f>
        <v>617792.58400000003</v>
      </c>
      <c r="CG105" s="260"/>
      <c r="CH105" s="6"/>
    </row>
    <row r="106" spans="1:86" s="49" customFormat="1" ht="13.5" customHeight="1">
      <c r="B106" s="20" t="s">
        <v>283</v>
      </c>
      <c r="C106" s="173">
        <f>C105/(2095260.492-79320.118-1241427.742-118483.907+9329.11+134050.782)-1</f>
        <v>0.1311023421204871</v>
      </c>
      <c r="D106" s="21">
        <f>+D105/C105-1</f>
        <v>0.1154062325266898</v>
      </c>
      <c r="E106" s="21">
        <f>+E105/D105-1</f>
        <v>0.17209257368765796</v>
      </c>
      <c r="F106" s="21">
        <f>+F105/E105-1</f>
        <v>-7.7896074481412669E-2</v>
      </c>
      <c r="G106" s="21">
        <f>+G105/F105-1</f>
        <v>-8.8817841970012523E-16</v>
      </c>
      <c r="H106" s="21">
        <f>+H105/G105-1</f>
        <v>7.3887634355334075E-3</v>
      </c>
      <c r="I106" s="21">
        <f>+I105/G105-1</f>
        <v>-0.18256693549256164</v>
      </c>
      <c r="J106" s="21">
        <f t="shared" ref="J106:P106" si="419">+J105/I105-1</f>
        <v>-8.8674317263996327E-2</v>
      </c>
      <c r="K106" s="21">
        <f t="shared" si="419"/>
        <v>-0.28883213796777096</v>
      </c>
      <c r="L106" s="21">
        <f t="shared" si="419"/>
        <v>1.0854226595397733</v>
      </c>
      <c r="M106" s="21">
        <f t="shared" si="419"/>
        <v>-0.36416764252230793</v>
      </c>
      <c r="N106" s="21">
        <f t="shared" si="419"/>
        <v>0.23429493176089844</v>
      </c>
      <c r="O106" s="21">
        <f t="shared" si="419"/>
        <v>0.46678695728413344</v>
      </c>
      <c r="P106" s="21">
        <f t="shared" si="419"/>
        <v>1.0988284532996695</v>
      </c>
      <c r="Q106" s="220"/>
      <c r="R106" s="21">
        <f>R105/CC105-1</f>
        <v>0.11907050106917483</v>
      </c>
      <c r="S106" s="21">
        <f>S105/(CD105-CC105)-1</f>
        <v>0.12960950225071799</v>
      </c>
      <c r="T106" s="21">
        <f>T105/(CE105-CD105)-1</f>
        <v>0.78122974940744916</v>
      </c>
      <c r="U106" s="21">
        <f>U105/(D105-CE105)-1</f>
        <v>-8.7570032428048283E-2</v>
      </c>
      <c r="V106" s="64">
        <f t="shared" ref="V106:AC106" si="420">+V105/R105-1</f>
        <v>0.11962079339160714</v>
      </c>
      <c r="W106" s="64">
        <f t="shared" si="420"/>
        <v>8.9379240449762865E-2</v>
      </c>
      <c r="X106" s="64">
        <f t="shared" si="420"/>
        <v>-0.40047831611056217</v>
      </c>
      <c r="Y106" s="64">
        <f>+Y105/U105-1</f>
        <v>3.4931513951206306E-3</v>
      </c>
      <c r="Z106" s="64">
        <f>+Z105/V105-1</f>
        <v>5.6839371675893036E-2</v>
      </c>
      <c r="AA106" s="64">
        <f t="shared" si="420"/>
        <v>-6.9463599067438597E-3</v>
      </c>
      <c r="AB106" s="64">
        <f t="shared" si="420"/>
        <v>6.2983050810487606E-2</v>
      </c>
      <c r="AC106" s="64">
        <f t="shared" si="420"/>
        <v>-4.8966605558025678E-2</v>
      </c>
      <c r="AD106" s="35">
        <f>AD105/BH105-1</f>
        <v>-9.1861946101453595E-2</v>
      </c>
      <c r="AE106" s="64">
        <f>+AE105/BI105-1</f>
        <v>1.07546752769625E-2</v>
      </c>
      <c r="AF106" s="35">
        <f>AF105/BJ105-1</f>
        <v>-2.6195393790001797E-2</v>
      </c>
      <c r="AG106" s="64">
        <f>+AG105/AC105-1</f>
        <v>-0.31926769508835562</v>
      </c>
      <c r="AH106" s="35">
        <f>AH105/BL105-1</f>
        <v>-0.24302140820932294</v>
      </c>
      <c r="AI106" s="64">
        <f>+AI105/AE105-1</f>
        <v>-1.1532264806305959</v>
      </c>
      <c r="AJ106" s="35">
        <f>AJ105/AF105-1</f>
        <v>-0.20795613525301826</v>
      </c>
      <c r="AK106" s="64">
        <f>+AK105/AG105-1</f>
        <v>0.44225859754063901</v>
      </c>
      <c r="AL106" s="64">
        <f>+AL105/AH105-1</f>
        <v>0.70299072877057123</v>
      </c>
      <c r="AM106" s="64">
        <f>-AM105/AI105-1</f>
        <v>7.0904360983573387</v>
      </c>
      <c r="AN106" s="35">
        <f>AN105/AJ105-1</f>
        <v>1.3141396369071754</v>
      </c>
      <c r="AO106" s="64">
        <f>+AO105/AK105-1</f>
        <v>0.11806417430627736</v>
      </c>
      <c r="AP106" s="64">
        <f>+AP105/AL105-1</f>
        <v>-0.14065336872642431</v>
      </c>
      <c r="AQ106" s="64">
        <f>-AQ105/AM105-1</f>
        <v>-1.9763224205681407</v>
      </c>
      <c r="AR106" s="35">
        <f>AR105/AN105-1</f>
        <v>-0.5003840517351521</v>
      </c>
      <c r="AS106" s="64">
        <f>+AS105/AO105-1</f>
        <v>-0.64372892421469996</v>
      </c>
      <c r="AT106" s="64">
        <f>+AT105/AP105-1</f>
        <v>-0.40167329403513663</v>
      </c>
      <c r="AU106" s="64">
        <f>-AU105/AQ105-1</f>
        <v>-2.1527174075866604</v>
      </c>
      <c r="AV106" s="35">
        <f>AV105/AR105-1</f>
        <v>-7.9133291844572073E-2</v>
      </c>
      <c r="AW106" s="64">
        <f>+AW105/AS105-1</f>
        <v>1.7570657394159714</v>
      </c>
      <c r="AX106" s="64">
        <f>+AX105/AT105-1</f>
        <v>1.0092367659984394</v>
      </c>
      <c r="AY106" s="64">
        <f>-AY105/AU105-1</f>
        <v>-2.1710042446091924</v>
      </c>
      <c r="AZ106" s="35">
        <f>AZ105/AV105-1</f>
        <v>0.75930376204310113</v>
      </c>
      <c r="BA106" s="64">
        <f>+BA105/AW105-1</f>
        <v>0.41797545691759752</v>
      </c>
      <c r="BB106" s="64">
        <f>+BB105/AX105-1</f>
        <v>0.42225518519033134</v>
      </c>
      <c r="BC106" s="64">
        <f>-BC105/AY105-1</f>
        <v>-3.1256827971626544</v>
      </c>
      <c r="BD106" s="35">
        <f>BD105/AZ105-1</f>
        <v>0.28169716605681305</v>
      </c>
      <c r="BE106" s="64">
        <f>+BE105/BA105-1</f>
        <v>1.8039402909435407</v>
      </c>
      <c r="BF106" s="64">
        <f>+BF105/BB105-1</f>
        <v>-0.58487536605617185</v>
      </c>
      <c r="BG106" s="142"/>
      <c r="BH106" s="35">
        <f>BH105/V105-1</f>
        <v>-0.17045617132520863</v>
      </c>
      <c r="BI106" s="35">
        <f>BI105/W105-1</f>
        <v>-0.19305388416154468</v>
      </c>
      <c r="BJ106" s="35">
        <f>BJ105/X105-1</f>
        <v>-0.16936839032866124</v>
      </c>
      <c r="BK106" s="64">
        <f>+BK105/Y105-1</f>
        <v>-0.6276757016109098</v>
      </c>
      <c r="BL106" s="35">
        <f>BL105/BH105-1</f>
        <v>-9.1861946101453595E-2</v>
      </c>
      <c r="BM106" s="54"/>
      <c r="BN106" s="21">
        <f>BN105/CD105-1</f>
        <v>0.12463654982409644</v>
      </c>
      <c r="BO106" s="21">
        <f>+BO105/BN105-1</f>
        <v>0.10357845085114814</v>
      </c>
      <c r="BP106" s="21">
        <f>+BP105/BO105-1</f>
        <v>2.3438090864738914E-2</v>
      </c>
      <c r="BQ106" s="21">
        <f>+BQ105/BY105-1</f>
        <v>-3.883431689297745E-2</v>
      </c>
      <c r="BR106" s="21">
        <f>+BR105/BZ105-1</f>
        <v>-0.73764092971591655</v>
      </c>
      <c r="BS106" s="21">
        <f>(BS105/BR105)-1</f>
        <v>3.8111583199025292</v>
      </c>
      <c r="BT106" s="21">
        <f>(BT105/BS105)-1</f>
        <v>-7.8224133773656335E-2</v>
      </c>
      <c r="BU106" s="21">
        <f>(BU105/BT105)-1</f>
        <v>-8.8289960804579071E-2</v>
      </c>
      <c r="BV106" s="21">
        <f>(BV105/BU105)-1</f>
        <v>0.41014882336819025</v>
      </c>
      <c r="BW106" s="21">
        <f>(BW105/BV105)-1</f>
        <v>0.83973838588085048</v>
      </c>
      <c r="BX106" s="220"/>
      <c r="BY106" s="21">
        <f>+BY105/BO105-1</f>
        <v>-0.18228942201323139</v>
      </c>
      <c r="BZ106" s="21">
        <f>+BZ105/BY105-1</f>
        <v>-3.8834316892977561E-2</v>
      </c>
      <c r="CA106" s="220"/>
      <c r="CC106" s="22"/>
      <c r="CD106" s="22"/>
      <c r="CE106" s="22"/>
      <c r="CG106" s="260"/>
      <c r="CH106" s="6"/>
    </row>
    <row r="107" spans="1:86" s="49" customFormat="1" ht="13.5" customHeight="1">
      <c r="B107" s="20" t="s">
        <v>355</v>
      </c>
      <c r="C107" s="21">
        <f>C105/C8</f>
        <v>0.12846890708307987</v>
      </c>
      <c r="D107" s="21">
        <f>D105/D8</f>
        <v>0.13008351710784888</v>
      </c>
      <c r="E107" s="21">
        <f>E105/E8</f>
        <v>0.14966904397027536</v>
      </c>
      <c r="F107" s="21">
        <f t="shared" ref="F107:K107" si="421">F105/F8</f>
        <v>0.13224491121716259</v>
      </c>
      <c r="G107" s="21">
        <f t="shared" si="421"/>
        <v>0.13277315547939794</v>
      </c>
      <c r="H107" s="21">
        <f t="shared" si="421"/>
        <v>0.12943855568199142</v>
      </c>
      <c r="I107" s="21">
        <f t="shared" si="421"/>
        <v>0.11170271235264653</v>
      </c>
      <c r="J107" s="21">
        <f t="shared" si="421"/>
        <v>0.1008282568934426</v>
      </c>
      <c r="K107" s="21">
        <f t="shared" si="421"/>
        <v>6.9736172533258992E-2</v>
      </c>
      <c r="L107" s="21">
        <f>L105/L8</f>
        <v>0.11652282191894694</v>
      </c>
      <c r="M107" s="21">
        <f>M105/M8</f>
        <v>7.3201650436572938E-2</v>
      </c>
      <c r="N107" s="21">
        <f>N105/N8</f>
        <v>0.10102993096859482</v>
      </c>
      <c r="O107" s="21">
        <f>O105/O8</f>
        <v>0.1343067870466482</v>
      </c>
      <c r="P107" s="21">
        <f>P105/P8</f>
        <v>0.25653033873817688</v>
      </c>
      <c r="Q107" s="8"/>
      <c r="R107" s="21">
        <f t="shared" ref="R107:X107" si="422">R105/R8</f>
        <v>0.11697822480567246</v>
      </c>
      <c r="S107" s="21">
        <f t="shared" si="422"/>
        <v>0.12814840278856465</v>
      </c>
      <c r="T107" s="21">
        <f t="shared" si="422"/>
        <v>0.18977934323465695</v>
      </c>
      <c r="U107" s="21">
        <f t="shared" si="422"/>
        <v>0.16278244659583735</v>
      </c>
      <c r="V107" s="64">
        <f t="shared" si="422"/>
        <v>0.12678206294341682</v>
      </c>
      <c r="W107" s="64">
        <f t="shared" si="422"/>
        <v>0.1350039777553369</v>
      </c>
      <c r="X107" s="64">
        <f t="shared" si="422"/>
        <v>0.10953298421199691</v>
      </c>
      <c r="Y107" s="21">
        <f t="shared" ref="Y107:AD107" si="423">Y105/Y8</f>
        <v>0.15333385243755041</v>
      </c>
      <c r="Z107" s="64">
        <f t="shared" si="423"/>
        <v>0.13010747475391443</v>
      </c>
      <c r="AA107" s="64">
        <f t="shared" si="423"/>
        <v>0.1282508891690198</v>
      </c>
      <c r="AB107" s="64">
        <f t="shared" si="423"/>
        <v>0.11279477816673371</v>
      </c>
      <c r="AC107" s="64">
        <f t="shared" si="423"/>
        <v>0.14405284193832607</v>
      </c>
      <c r="AD107" s="64">
        <f t="shared" si="423"/>
        <v>9.675577895118645E-2</v>
      </c>
      <c r="AE107" s="64">
        <f t="shared" ref="AE107:AJ107" si="424">AE105/AE8</f>
        <v>0.11127669615973121</v>
      </c>
      <c r="AF107" s="64">
        <f t="shared" si="424"/>
        <v>9.1448980543661323E-2</v>
      </c>
      <c r="AG107" s="64">
        <f t="shared" si="424"/>
        <v>0.10289783638994801</v>
      </c>
      <c r="AH107" s="64">
        <f t="shared" si="424"/>
        <v>7.4763073460372934E-2</v>
      </c>
      <c r="AI107" s="64">
        <f t="shared" si="424"/>
        <v>-2.3313897480450489E-2</v>
      </c>
      <c r="AJ107" s="64">
        <f t="shared" si="424"/>
        <v>6.1457809406964999E-2</v>
      </c>
      <c r="AK107" s="64">
        <f t="shared" ref="AK107:AP107" si="425">AK105/AK8</f>
        <v>0.12293350689166713</v>
      </c>
      <c r="AL107" s="64">
        <f t="shared" si="425"/>
        <v>0.10835655360080582</v>
      </c>
      <c r="AM107" s="64">
        <f t="shared" si="425"/>
        <v>0.11506623616897613</v>
      </c>
      <c r="AN107" s="64">
        <f t="shared" si="425"/>
        <v>0.12032686154771992</v>
      </c>
      <c r="AO107" s="64">
        <f t="shared" si="425"/>
        <v>0.12026596455358368</v>
      </c>
      <c r="AP107" s="64">
        <f t="shared" si="425"/>
        <v>8.1117967855634618E-2</v>
      </c>
      <c r="AQ107" s="64">
        <f t="shared" ref="AQ107:AV107" si="426">AQ105/AQ8</f>
        <v>0.10253671139627936</v>
      </c>
      <c r="AR107" s="64">
        <f t="shared" si="426"/>
        <v>6.3222603899442759E-2</v>
      </c>
      <c r="AS107" s="64">
        <f t="shared" si="426"/>
        <v>4.7473388574998457E-2</v>
      </c>
      <c r="AT107" s="64">
        <f t="shared" si="426"/>
        <v>5.4326247910097498E-2</v>
      </c>
      <c r="AU107" s="64">
        <f t="shared" si="426"/>
        <v>0.13945435470264711</v>
      </c>
      <c r="AV107" s="64">
        <f t="shared" si="426"/>
        <v>6.5758726966304332E-2</v>
      </c>
      <c r="AW107" s="64">
        <f t="shared" ref="AW107:BB107" si="427">AW105/AW8</f>
        <v>0.1382422310839127</v>
      </c>
      <c r="AX107" s="64">
        <f t="shared" si="427"/>
        <v>0.10377992858876145</v>
      </c>
      <c r="AY107" s="64">
        <f t="shared" si="427"/>
        <v>0.14825089238224934</v>
      </c>
      <c r="AZ107" s="64">
        <f t="shared" si="427"/>
        <v>0.1062283047047308</v>
      </c>
      <c r="BA107" s="64">
        <f t="shared" si="427"/>
        <v>0.16884057578727588</v>
      </c>
      <c r="BB107" s="64">
        <f t="shared" si="427"/>
        <v>0.1331008729995542</v>
      </c>
      <c r="BC107" s="64">
        <f>BC105/BC8</f>
        <v>0.28609739288615965</v>
      </c>
      <c r="BD107" s="64">
        <f>BD105/BD8</f>
        <v>0.1243843709028271</v>
      </c>
      <c r="BE107" s="64">
        <f>BE105/BE8</f>
        <v>0.43345414936658799</v>
      </c>
      <c r="BF107" s="64">
        <f>BF105/BF8</f>
        <v>5.2999253391674404E-2</v>
      </c>
      <c r="BG107" s="142"/>
      <c r="BH107" s="64">
        <f>BH105/BH8</f>
        <v>0.10878765199350526</v>
      </c>
      <c r="BI107" s="64">
        <f>BI105/BI8</f>
        <v>0.11084116836464385</v>
      </c>
      <c r="BJ107" s="64">
        <f>BJ105/BJ8</f>
        <v>9.4080516603008299E-2</v>
      </c>
      <c r="BK107" s="64">
        <f>BK105/BK8</f>
        <v>7.1795895875367138E-2</v>
      </c>
      <c r="BL107" s="64">
        <f>BL105/BL8</f>
        <v>9.675577895118645E-2</v>
      </c>
      <c r="BM107" s="220"/>
      <c r="BN107" s="21">
        <f t="shared" ref="BN107:BS107" si="428">BN105/BN8</f>
        <v>0.12264944047264761</v>
      </c>
      <c r="BO107" s="21">
        <f t="shared" si="428"/>
        <v>0.13095843780915997</v>
      </c>
      <c r="BP107" s="21">
        <f t="shared" si="428"/>
        <v>0.12915747206143255</v>
      </c>
      <c r="BQ107" s="21">
        <f t="shared" si="428"/>
        <v>0.10414063528066878</v>
      </c>
      <c r="BR107" s="21">
        <f t="shared" si="428"/>
        <v>3.2016733809525737E-2</v>
      </c>
      <c r="BS107" s="21">
        <f t="shared" si="428"/>
        <v>0.1118369723272353</v>
      </c>
      <c r="BT107" s="21">
        <f>BT105/BT8</f>
        <v>9.1978777368971323E-2</v>
      </c>
      <c r="BU107" s="21">
        <f>BU105/BU8</f>
        <v>9.6371263890767764E-2</v>
      </c>
      <c r="BV107" s="21">
        <f>BV105/BV8</f>
        <v>0.12625791669316011</v>
      </c>
      <c r="BW107" s="21">
        <f>BW105/BW8</f>
        <v>0.21017558130338512</v>
      </c>
      <c r="BX107" s="220"/>
      <c r="BY107" s="21">
        <f>BY105/BY8</f>
        <v>0.10983922403285874</v>
      </c>
      <c r="BZ107" s="21">
        <f>BZ105/BZ8</f>
        <v>0.10414063528066876</v>
      </c>
      <c r="CA107" s="220"/>
      <c r="CC107" s="22"/>
      <c r="CD107" s="22"/>
      <c r="CE107" s="22"/>
      <c r="CG107" s="260"/>
      <c r="CH107" s="6"/>
    </row>
    <row r="108" spans="1:86" ht="13.5" customHeight="1">
      <c r="B108" s="437" t="s">
        <v>356</v>
      </c>
      <c r="C108" s="435">
        <f>C109-C105</f>
        <v>-8506.9589999993332</v>
      </c>
      <c r="D108" s="435">
        <f>D109-D105</f>
        <v>-33749.769999999553</v>
      </c>
      <c r="E108" s="435">
        <f>E109-E105</f>
        <v>-160726.27700000023</v>
      </c>
      <c r="F108" s="435">
        <f t="shared" ref="F108:K108" si="429">F109-F105</f>
        <v>-5689.9960000007413</v>
      </c>
      <c r="G108" s="435">
        <f t="shared" si="429"/>
        <v>-3287.99599999981</v>
      </c>
      <c r="H108" s="435">
        <f t="shared" si="429"/>
        <v>-24080.62000000081</v>
      </c>
      <c r="I108" s="435">
        <f t="shared" si="429"/>
        <v>-24657.2429999999</v>
      </c>
      <c r="J108" s="435">
        <f t="shared" si="429"/>
        <v>-20795.973999999696</v>
      </c>
      <c r="K108" s="435">
        <f t="shared" si="429"/>
        <v>45063.65100000042</v>
      </c>
      <c r="L108" s="435">
        <f>L109-L105</f>
        <v>29055.823000000324</v>
      </c>
      <c r="M108" s="435">
        <f>M109-M105</f>
        <v>-9379.6520000003511</v>
      </c>
      <c r="N108" s="435">
        <f>N109-N105</f>
        <v>-266935.16799999948</v>
      </c>
      <c r="O108" s="435">
        <f>O109-O105</f>
        <v>-235659.61499999999</v>
      </c>
      <c r="P108" s="435">
        <f>P109-P105</f>
        <v>-1406736.675</v>
      </c>
      <c r="Q108" s="220"/>
      <c r="R108" s="438">
        <f t="shared" ref="R108:W108" si="430">R109-R105</f>
        <v>-1136.2400000000489</v>
      </c>
      <c r="S108" s="438">
        <f t="shared" si="430"/>
        <v>622.71099999992293</v>
      </c>
      <c r="T108" s="438">
        <f t="shared" si="430"/>
        <v>-137097.78800000003</v>
      </c>
      <c r="U108" s="438">
        <f t="shared" si="430"/>
        <v>-23114.934000000358</v>
      </c>
      <c r="V108" s="438">
        <f t="shared" si="430"/>
        <v>5889.3120000001218</v>
      </c>
      <c r="W108" s="438">
        <f t="shared" si="430"/>
        <v>-8506.8000000001048</v>
      </c>
      <c r="X108" s="435">
        <f t="shared" ref="X108:AC108" si="431">X109-X105</f>
        <v>1261.4059999999299</v>
      </c>
      <c r="Y108" s="438">
        <f t="shared" si="431"/>
        <v>-4333.91400000063</v>
      </c>
      <c r="Z108" s="438">
        <f t="shared" si="431"/>
        <v>605.55500000005122</v>
      </c>
      <c r="AA108" s="438">
        <f t="shared" si="431"/>
        <v>1125.4099999999744</v>
      </c>
      <c r="AB108" s="438">
        <f t="shared" si="431"/>
        <v>-1350.0450000005076</v>
      </c>
      <c r="AC108" s="438">
        <f t="shared" si="431"/>
        <v>-24461.540000001143</v>
      </c>
      <c r="AD108" s="438">
        <f t="shared" ref="AD108:AI108" si="432">AD109-AD105</f>
        <v>573.90299999999115</v>
      </c>
      <c r="AE108" s="438">
        <f t="shared" si="432"/>
        <v>-9096.2959999998275</v>
      </c>
      <c r="AF108" s="438">
        <f t="shared" si="432"/>
        <v>-3751.6540000000095</v>
      </c>
      <c r="AG108" s="438">
        <f t="shared" si="432"/>
        <v>-8521.9270000001707</v>
      </c>
      <c r="AH108" s="438">
        <f t="shared" si="432"/>
        <v>-310.15600000004633</v>
      </c>
      <c r="AI108" s="438">
        <f t="shared" si="432"/>
        <v>-1452.00900000002</v>
      </c>
      <c r="AJ108" s="438">
        <f t="shared" ref="AJ108:AO108" si="433">AJ109-AJ105</f>
        <v>-2162.7010000009032</v>
      </c>
      <c r="AK108" s="438">
        <f t="shared" si="433"/>
        <v>48988.517000000924</v>
      </c>
      <c r="AL108" s="438">
        <f t="shared" si="433"/>
        <v>4291.5949999999139</v>
      </c>
      <c r="AM108" s="438">
        <f t="shared" si="433"/>
        <v>1470.1160000000382</v>
      </c>
      <c r="AN108" s="438">
        <f t="shared" si="433"/>
        <v>-4315.0969999996014</v>
      </c>
      <c r="AO108" s="438">
        <f t="shared" si="433"/>
        <v>27609.208999999973</v>
      </c>
      <c r="AP108" s="438">
        <f t="shared" ref="AP108:AU108" si="434">AP109-AP105</f>
        <v>-2016.9149999997462</v>
      </c>
      <c r="AQ108" s="438">
        <f t="shared" si="434"/>
        <v>-83405.781000000541</v>
      </c>
      <c r="AR108" s="438">
        <f t="shared" si="434"/>
        <v>-24525.407999999414</v>
      </c>
      <c r="AS108" s="438">
        <f t="shared" si="434"/>
        <v>100568.45199999982</v>
      </c>
      <c r="AT108" s="438">
        <f t="shared" si="434"/>
        <v>-5336.5210000001534</v>
      </c>
      <c r="AU108" s="438">
        <f t="shared" si="434"/>
        <v>-170546.66699999961</v>
      </c>
      <c r="AV108" s="438">
        <f t="shared" ref="AV108:BA108" si="435">AV109-AV105</f>
        <v>-15773.828000000547</v>
      </c>
      <c r="AW108" s="438">
        <f t="shared" si="435"/>
        <v>-75278.152000000176</v>
      </c>
      <c r="AX108" s="438">
        <f t="shared" si="435"/>
        <v>-19074.863000000158</v>
      </c>
      <c r="AY108" s="438">
        <f t="shared" si="435"/>
        <v>-104579.34399999931</v>
      </c>
      <c r="AZ108" s="438">
        <f t="shared" si="435"/>
        <v>-15787.475000000326</v>
      </c>
      <c r="BA108" s="438">
        <f t="shared" si="435"/>
        <v>-96217.933000000543</v>
      </c>
      <c r="BB108" s="438">
        <f>BB109-BB105</f>
        <v>-16697.0729999998</v>
      </c>
      <c r="BC108" s="438">
        <f>BC109-BC105</f>
        <v>-423471.39500000054</v>
      </c>
      <c r="BD108" s="438">
        <f>BD109-BD105</f>
        <v>-24055.295999999798</v>
      </c>
      <c r="BE108" s="438">
        <f>BE109-BE105</f>
        <v>-942512.91099999961</v>
      </c>
      <c r="BF108" s="438">
        <f>BF109-BF105</f>
        <v>207069.61900000009</v>
      </c>
      <c r="BG108" s="142"/>
      <c r="BH108" s="438">
        <f>BH109-BH105</f>
        <v>306.85999999992782</v>
      </c>
      <c r="BI108" s="438">
        <f>BI109-BI105</f>
        <v>1332.6069999999308</v>
      </c>
      <c r="BJ108" s="438">
        <f>BJ109-BJ105</f>
        <v>-1760.4779999996535</v>
      </c>
      <c r="BK108" s="438">
        <f>BK109-BK105</f>
        <v>-25038.162999999593</v>
      </c>
      <c r="BL108" s="438">
        <f>BL109-BL105</f>
        <v>573.90299999999115</v>
      </c>
      <c r="BM108" s="438"/>
      <c r="BN108" s="435">
        <f t="shared" ref="BN108:BS108" si="436">BN109-BN105</f>
        <v>-513.58700000011595</v>
      </c>
      <c r="BO108" s="435">
        <f t="shared" si="436"/>
        <v>-2616.7930000000633</v>
      </c>
      <c r="BP108" s="435">
        <f t="shared" si="436"/>
        <v>1730.9650000000838</v>
      </c>
      <c r="BQ108" s="435">
        <f t="shared" si="436"/>
        <v>-8522.3929999996908</v>
      </c>
      <c r="BR108" s="435">
        <f t="shared" si="436"/>
        <v>-1762.1650000000664</v>
      </c>
      <c r="BS108" s="435">
        <f t="shared" si="436"/>
        <v>5761.710999999952</v>
      </c>
      <c r="BT108" s="435">
        <f>BT109-BT105</f>
        <v>-85422.696000000229</v>
      </c>
      <c r="BU108" s="435">
        <f>BU109-BU105</f>
        <v>-175883.18799999976</v>
      </c>
      <c r="BV108" s="435">
        <f>BV109-BV105</f>
        <v>-123654.20699999935</v>
      </c>
      <c r="BW108" s="435">
        <f>BW109-BW105</f>
        <v>-440168.46800000011</v>
      </c>
      <c r="BX108" s="4"/>
      <c r="BY108" s="47">
        <f>BY109-BY105</f>
        <v>1639.4669999997714</v>
      </c>
      <c r="BZ108" s="47">
        <f>BZ109-BZ105</f>
        <v>-8522.3929999996326</v>
      </c>
      <c r="CA108" s="4"/>
      <c r="CB108" s="191"/>
      <c r="CG108" s="260"/>
      <c r="CH108" s="6"/>
    </row>
    <row r="109" spans="1:86" s="5" customFormat="1" ht="13.5" customHeight="1">
      <c r="B109" s="5" t="s">
        <v>357</v>
      </c>
      <c r="C109" s="153">
        <v>895706</v>
      </c>
      <c r="D109" s="153">
        <v>974815</v>
      </c>
      <c r="E109" s="153">
        <v>1021405</v>
      </c>
      <c r="F109" s="8">
        <f t="shared" ref="F109:K109" si="437">F129-F125</f>
        <v>1084357.895</v>
      </c>
      <c r="G109" s="8">
        <f t="shared" si="437"/>
        <v>1086759.895</v>
      </c>
      <c r="H109" s="8">
        <f t="shared" si="437"/>
        <v>1074021.3770000001</v>
      </c>
      <c r="I109" s="8">
        <f t="shared" si="437"/>
        <v>866383.94500000007</v>
      </c>
      <c r="J109" s="8">
        <f t="shared" si="437"/>
        <v>791232.74500000011</v>
      </c>
      <c r="K109" s="8">
        <f t="shared" si="437"/>
        <v>622552.37899999996</v>
      </c>
      <c r="L109" s="8">
        <f>L129-L125</f>
        <v>1233363.9020000002</v>
      </c>
      <c r="M109" s="8">
        <f>M129-M125</f>
        <v>756358.39300000027</v>
      </c>
      <c r="N109" s="8">
        <f>N129-N125</f>
        <v>678211.42</v>
      </c>
      <c r="O109" s="8">
        <f>O129-O125</f>
        <v>1150669.0729999999</v>
      </c>
      <c r="P109" s="8">
        <f>P129-P125</f>
        <v>1502929.4209999999</v>
      </c>
      <c r="Q109" s="8"/>
      <c r="R109" s="8">
        <f t="shared" ref="R109:X109" si="438">R129-R125</f>
        <v>219905.372</v>
      </c>
      <c r="S109" s="8">
        <f t="shared" si="438"/>
        <v>250356.68599999999</v>
      </c>
      <c r="T109" s="8">
        <f t="shared" si="438"/>
        <v>217705.649</v>
      </c>
      <c r="U109" s="8">
        <f>U129-U125</f>
        <v>333437.3189999999</v>
      </c>
      <c r="V109" s="8">
        <f>V129-V125</f>
        <v>253372.09699999998</v>
      </c>
      <c r="W109" s="8">
        <f t="shared" si="438"/>
        <v>263548.20800000004</v>
      </c>
      <c r="X109" s="8">
        <f t="shared" si="438"/>
        <v>213973.76000000001</v>
      </c>
      <c r="Y109" s="8">
        <f t="shared" ref="Y109:AD109" si="439">Y129-Y125</f>
        <v>353463.82999999996</v>
      </c>
      <c r="Z109" s="258">
        <f t="shared" si="439"/>
        <v>262155.10600000003</v>
      </c>
      <c r="AA109" s="258">
        <f t="shared" si="439"/>
        <v>271290.62600000005</v>
      </c>
      <c r="AB109" s="258">
        <f t="shared" si="439"/>
        <v>224759.58199999999</v>
      </c>
      <c r="AC109" s="258">
        <f t="shared" si="439"/>
        <v>315816.06299999997</v>
      </c>
      <c r="AD109" s="258">
        <f t="shared" si="439"/>
        <v>187012.663</v>
      </c>
      <c r="AE109" s="258">
        <f t="shared" ref="AE109:AJ109" si="440">AE129-AE125</f>
        <v>212798.4499999999</v>
      </c>
      <c r="AF109" s="258">
        <f t="shared" si="440"/>
        <v>168305.60199999998</v>
      </c>
      <c r="AG109" s="258">
        <f t="shared" si="440"/>
        <v>223116.03000000006</v>
      </c>
      <c r="AH109" s="258">
        <f t="shared" si="440"/>
        <v>140819.99399999998</v>
      </c>
      <c r="AI109" s="258">
        <f t="shared" si="440"/>
        <v>-35452.159999999974</v>
      </c>
      <c r="AJ109" s="258">
        <f t="shared" si="440"/>
        <v>134114.19299999991</v>
      </c>
      <c r="AK109" s="258">
        <f t="shared" ref="AK109:AP109" si="441">AK129-AK125</f>
        <v>383070.35200000007</v>
      </c>
      <c r="AL109" s="258">
        <f t="shared" si="441"/>
        <v>244634.93199999997</v>
      </c>
      <c r="AM109" s="258">
        <f t="shared" si="441"/>
        <v>276546.16500000004</v>
      </c>
      <c r="AN109" s="258">
        <f t="shared" si="441"/>
        <v>311048.66499999992</v>
      </c>
      <c r="AO109" s="258">
        <f t="shared" si="441"/>
        <v>401134.14</v>
      </c>
      <c r="AP109" s="258">
        <f t="shared" si="441"/>
        <v>204521.32200000004</v>
      </c>
      <c r="AQ109" s="258">
        <f t="shared" ref="AQ109:AV109" si="442">AQ129-AQ125</f>
        <v>185157.13299999991</v>
      </c>
      <c r="AR109" s="258">
        <f t="shared" si="442"/>
        <v>133035.35700000013</v>
      </c>
      <c r="AS109" s="258">
        <f t="shared" si="442"/>
        <v>233644.5809999998</v>
      </c>
      <c r="AT109" s="258">
        <f t="shared" si="442"/>
        <v>118240.82199999999</v>
      </c>
      <c r="AU109" s="258">
        <f t="shared" si="442"/>
        <v>139030.47900000011</v>
      </c>
      <c r="AV109" s="258">
        <f t="shared" si="442"/>
        <v>129318.63499999999</v>
      </c>
      <c r="AW109" s="258">
        <f t="shared" ref="AW109:BB109" si="443">AW129-AW125</f>
        <v>291621.484</v>
      </c>
      <c r="AX109" s="258">
        <f t="shared" si="443"/>
        <v>229221.27800000002</v>
      </c>
      <c r="AY109" s="258">
        <f t="shared" si="443"/>
        <v>257936.80799999999</v>
      </c>
      <c r="AZ109" s="258">
        <f t="shared" si="443"/>
        <v>239474.2410000001</v>
      </c>
      <c r="BA109" s="258">
        <f t="shared" si="443"/>
        <v>424036.74599999993</v>
      </c>
      <c r="BB109" s="258">
        <f t="shared" si="443"/>
        <v>336443.40100000007</v>
      </c>
      <c r="BC109" s="258">
        <f>BC129-BC125</f>
        <v>347122.95300000004</v>
      </c>
      <c r="BD109" s="258">
        <f>BD129-BD125</f>
        <v>303112.92199999979</v>
      </c>
      <c r="BE109" s="258">
        <f>BE129-BE125</f>
        <v>516250.14499999996</v>
      </c>
      <c r="BF109" s="258">
        <f>BF129-BF125</f>
        <v>353666.929</v>
      </c>
      <c r="BG109" s="142"/>
      <c r="BH109" s="258">
        <f>BH129-BH125</f>
        <v>205604.67700000003</v>
      </c>
      <c r="BI109" s="258">
        <f>BI129-BI125</f>
        <v>220866.33899999995</v>
      </c>
      <c r="BJ109" s="258">
        <f>BJ129-BJ125</f>
        <v>174925.12700000004</v>
      </c>
      <c r="BK109" s="258">
        <f>BK129-BK125</f>
        <v>108178.63099999991</v>
      </c>
      <c r="BL109" s="258">
        <f>BL129-BL125</f>
        <v>187012.663</v>
      </c>
      <c r="BM109" s="258"/>
      <c r="BN109" s="154">
        <v>470262</v>
      </c>
      <c r="BO109" s="154">
        <v>516921</v>
      </c>
      <c r="BP109" s="258">
        <f>Z109+AA109</f>
        <v>533445.73200000008</v>
      </c>
      <c r="BQ109" s="258">
        <f t="shared" ref="BQ109:BV109" si="444">BQ129-BQ125</f>
        <v>399811.11300000001</v>
      </c>
      <c r="BR109" s="258">
        <f t="shared" si="444"/>
        <v>105367.83400000003</v>
      </c>
      <c r="BS109" s="258">
        <f t="shared" si="444"/>
        <v>521181.09700000001</v>
      </c>
      <c r="BT109" s="258">
        <f t="shared" si="444"/>
        <v>389678.45500000002</v>
      </c>
      <c r="BU109" s="258">
        <f t="shared" si="444"/>
        <v>257271.30100000006</v>
      </c>
      <c r="BV109" s="258">
        <f t="shared" si="444"/>
        <v>487158.08600000013</v>
      </c>
      <c r="BW109" s="258">
        <f>BW129-BW125</f>
        <v>683566.35400000005</v>
      </c>
      <c r="BX109" s="258"/>
      <c r="BY109" s="258">
        <f>BY129-BY125</f>
        <v>426471.01599999995</v>
      </c>
      <c r="BZ109" s="258">
        <f>BZ129-BZ125</f>
        <v>399811.11300000001</v>
      </c>
      <c r="CA109" s="258"/>
      <c r="CC109" s="146">
        <f>CC129-CC125</f>
        <v>204798.003</v>
      </c>
      <c r="CD109" s="146">
        <f>CD129-CD125</f>
        <v>438034.77</v>
      </c>
      <c r="CE109" s="146">
        <f>CE129-CE125</f>
        <v>641521.027</v>
      </c>
      <c r="CG109" s="260"/>
      <c r="CH109" s="6"/>
    </row>
    <row r="110" spans="1:86" s="49" customFormat="1" ht="13.5" customHeight="1">
      <c r="B110" s="20" t="s">
        <v>283</v>
      </c>
      <c r="C110" s="21"/>
      <c r="D110" s="21">
        <f>+D109/C109-1</f>
        <v>8.8320274733003856E-2</v>
      </c>
      <c r="E110" s="21">
        <f>+E109/D109-1</f>
        <v>4.7793683929771236E-2</v>
      </c>
      <c r="F110" s="21">
        <f>+F109/E109-1</f>
        <v>6.1633627209578989E-2</v>
      </c>
      <c r="G110" s="21">
        <f>+G109/F109-1</f>
        <v>2.2151358062458826E-3</v>
      </c>
      <c r="H110" s="21">
        <f>+H109/G109-1</f>
        <v>-1.1721556949798817E-2</v>
      </c>
      <c r="I110" s="21">
        <f>+I109/G109-1</f>
        <v>-0.20278255667504175</v>
      </c>
      <c r="J110" s="21">
        <f t="shared" ref="J110:P110" si="445">+J109/I109-1</f>
        <v>-8.6741219564035132E-2</v>
      </c>
      <c r="K110" s="21">
        <f t="shared" si="445"/>
        <v>-0.21318678614596531</v>
      </c>
      <c r="L110" s="21">
        <f t="shared" si="445"/>
        <v>0.98114077401991628</v>
      </c>
      <c r="M110" s="21">
        <f t="shared" si="445"/>
        <v>-0.38675163771738141</v>
      </c>
      <c r="N110" s="21">
        <f t="shared" si="445"/>
        <v>-0.10332003151315627</v>
      </c>
      <c r="O110" s="21">
        <f t="shared" si="445"/>
        <v>0.69662296898509868</v>
      </c>
      <c r="P110" s="21">
        <f t="shared" si="445"/>
        <v>0.30613523580814972</v>
      </c>
      <c r="Q110" s="220"/>
      <c r="R110" s="21">
        <f>R109/CC109-1</f>
        <v>7.3767169497253482E-2</v>
      </c>
      <c r="S110" s="21">
        <f>S109/(CD109-CC109)-1</f>
        <v>7.3401459041832595E-2</v>
      </c>
      <c r="T110" s="21">
        <f>T109/(CE109-CD109)-1</f>
        <v>6.9878881304500151E-2</v>
      </c>
      <c r="U110" s="21">
        <f>U109/(D109-CE109)-1</f>
        <v>4.3008878531347605E-4</v>
      </c>
      <c r="V110" s="64">
        <f t="shared" ref="V110:AC110" si="446">+V109/R109-1</f>
        <v>0.1521869370248945</v>
      </c>
      <c r="W110" s="64">
        <f t="shared" si="446"/>
        <v>5.2690911558080256E-2</v>
      </c>
      <c r="X110" s="64">
        <f t="shared" si="446"/>
        <v>-1.7141902459315572E-2</v>
      </c>
      <c r="Y110" s="64">
        <f>+Y109/U109-1</f>
        <v>6.0060796614070933E-2</v>
      </c>
      <c r="Z110" s="64">
        <f>+Z109/V109-1</f>
        <v>3.4664468203063681E-2</v>
      </c>
      <c r="AA110" s="64">
        <f t="shared" si="446"/>
        <v>2.9377615802267165E-2</v>
      </c>
      <c r="AB110" s="64">
        <f t="shared" si="446"/>
        <v>5.0407218156095279E-2</v>
      </c>
      <c r="AC110" s="64">
        <f t="shared" si="446"/>
        <v>-0.10651094625438762</v>
      </c>
      <c r="AD110" s="35">
        <f>AD109/BH109-1</f>
        <v>-9.0426026641407642E-2</v>
      </c>
      <c r="AE110" s="64">
        <f>+AE109/BI109-1</f>
        <v>-3.652837746362092E-2</v>
      </c>
      <c r="AF110" s="35">
        <f>AF109/BJ109-1</f>
        <v>-3.784204770078603E-2</v>
      </c>
      <c r="AG110" s="64">
        <f>+AG109/AC109-1</f>
        <v>-0.2935253898089405</v>
      </c>
      <c r="AH110" s="35">
        <f>AH109/BL109-1</f>
        <v>-0.24700289413022269</v>
      </c>
      <c r="AI110" s="64">
        <f>+AI109/AE109-1</f>
        <v>-1.1665997097253293</v>
      </c>
      <c r="AJ110" s="35">
        <f>AJ109/AF109-1</f>
        <v>-0.20315074836308822</v>
      </c>
      <c r="AK110" s="64">
        <f>+AK109/AG109-1</f>
        <v>0.71691093643069914</v>
      </c>
      <c r="AL110" s="64">
        <f>+AL109/AH109-1</f>
        <v>0.7372173158876858</v>
      </c>
      <c r="AM110" s="64">
        <f>-AM109/AI109-1</f>
        <v>6.8005448751218607</v>
      </c>
      <c r="AN110" s="35">
        <f>AN109/AJ109-1</f>
        <v>1.3192822328655409</v>
      </c>
      <c r="AO110" s="64">
        <f>+AO109/AK109-1</f>
        <v>4.7155275540613939E-2</v>
      </c>
      <c r="AP110" s="64">
        <f>+AP109/AL109-1</f>
        <v>-0.16397335275078351</v>
      </c>
      <c r="AQ110" s="64">
        <f>-AQ109/AM109-1</f>
        <v>-1.6695342638362023</v>
      </c>
      <c r="AR110" s="35">
        <f>AR109/AN109-1</f>
        <v>-0.57230050481007477</v>
      </c>
      <c r="AS110" s="64">
        <f>+AS109/AO109-1</f>
        <v>-0.4175400253890138</v>
      </c>
      <c r="AT110" s="64">
        <f>+AT109/AP109-1</f>
        <v>-0.42186555003785886</v>
      </c>
      <c r="AU110" s="64">
        <f>-AU109/AQ109-1</f>
        <v>-1.750878331001162</v>
      </c>
      <c r="AV110" s="35">
        <f>AV109/AR109-1</f>
        <v>-2.7937851138326586E-2</v>
      </c>
      <c r="AW110" s="64">
        <f>+AW109/AS109-1</f>
        <v>0.24814144095214541</v>
      </c>
      <c r="AX110" s="64">
        <f>+AX109/AT109-1</f>
        <v>0.93859679020161124</v>
      </c>
      <c r="AY110" s="64">
        <f>-AY109/AU109-1</f>
        <v>-2.8552536814607379</v>
      </c>
      <c r="AZ110" s="35">
        <f>AZ109/AV109-1</f>
        <v>0.85181540927956823</v>
      </c>
      <c r="BA110" s="64">
        <f>+BA109/AW109-1</f>
        <v>0.45406552419848434</v>
      </c>
      <c r="BB110" s="64">
        <f>+BB109/AX109-1</f>
        <v>0.46776688418952128</v>
      </c>
      <c r="BC110" s="64">
        <f>-BC109/AY109-1</f>
        <v>-2.345767421453087</v>
      </c>
      <c r="BD110" s="35">
        <f>BD109/AZ109-1</f>
        <v>0.26574332476952978</v>
      </c>
      <c r="BE110" s="64">
        <f>+BE109/BA109-1</f>
        <v>0.21746558492834023</v>
      </c>
      <c r="BF110" s="64">
        <f>+BF109/BB109-1</f>
        <v>5.1192943445485861E-2</v>
      </c>
      <c r="BG110" s="142"/>
      <c r="BH110" s="35">
        <f>BH109/V109-1</f>
        <v>-0.1885267579405161</v>
      </c>
      <c r="BI110" s="35">
        <f>BI109/W109-1</f>
        <v>-0.1619508981825446</v>
      </c>
      <c r="BJ110" s="35">
        <f>BJ109/X109-1</f>
        <v>-0.18249262432926339</v>
      </c>
      <c r="BK110" s="64">
        <f>+BK109/Y109-1</f>
        <v>-0.69394709778366881</v>
      </c>
      <c r="BL110" s="35">
        <f>BL109/BH109-1</f>
        <v>-9.0426026641407642E-2</v>
      </c>
      <c r="BM110" s="54"/>
      <c r="BN110" s="21"/>
      <c r="BO110" s="21">
        <f>+BO109/BN109-1</f>
        <v>9.9219158681756126E-2</v>
      </c>
      <c r="BP110" s="21">
        <f>+BP109/BO109-1</f>
        <v>3.1967615941314254E-2</v>
      </c>
      <c r="BQ110" s="21">
        <f>+BQ109/BY109-1</f>
        <v>-6.2512813297492476E-2</v>
      </c>
      <c r="BR110" s="21">
        <f>+BR109/BZ109-1</f>
        <v>-0.73645596489460252</v>
      </c>
      <c r="BS110" s="21">
        <f>(BS109/BR109)-1</f>
        <v>3.9463017053192901</v>
      </c>
      <c r="BT110" s="21">
        <f>(BT109/BS109)-1</f>
        <v>-0.2523165992722104</v>
      </c>
      <c r="BU110" s="21">
        <f>(BU109/BT109)-1</f>
        <v>-0.33978566764744522</v>
      </c>
      <c r="BV110" s="21">
        <f>(BV109/BU109)-1</f>
        <v>0.89355782827871666</v>
      </c>
      <c r="BW110" s="21">
        <f>(BW109/BV109)-1</f>
        <v>0.40317152407894108</v>
      </c>
      <c r="BX110" s="220"/>
      <c r="BY110" s="21">
        <f>+BY109/BO109-1</f>
        <v>-0.1749783506570638</v>
      </c>
      <c r="BZ110" s="21">
        <f>+BZ109/BY109-1</f>
        <v>-6.2512813297492476E-2</v>
      </c>
      <c r="CA110" s="220"/>
      <c r="CC110" s="22"/>
      <c r="CD110" s="22"/>
      <c r="CE110" s="22"/>
      <c r="CG110" s="260"/>
      <c r="CH110" s="6"/>
    </row>
    <row r="111" spans="1:86" s="49" customFormat="1" ht="13.5" customHeight="1">
      <c r="B111" s="20" t="s">
        <v>355</v>
      </c>
      <c r="C111" s="21">
        <f>C109/C8</f>
        <v>0.12726025406118652</v>
      </c>
      <c r="D111" s="21">
        <f>D109/D8</f>
        <v>0.12573051082231212</v>
      </c>
      <c r="E111" s="21">
        <f>E109/E8</f>
        <v>0.1293195712107523</v>
      </c>
      <c r="F111" s="21">
        <f t="shared" ref="F111:K111" si="447">F109/F8</f>
        <v>0.13155459933081437</v>
      </c>
      <c r="G111" s="21">
        <f t="shared" si="447"/>
        <v>0.13237266151236396</v>
      </c>
      <c r="H111" s="21">
        <f t="shared" si="447"/>
        <v>0.12660005736285307</v>
      </c>
      <c r="I111" s="21">
        <f t="shared" si="447"/>
        <v>0.10861163086356244</v>
      </c>
      <c r="J111" s="21">
        <f t="shared" si="447"/>
        <v>9.8246055353325257E-2</v>
      </c>
      <c r="K111" s="21">
        <f t="shared" si="447"/>
        <v>7.5177952413531562E-2</v>
      </c>
      <c r="L111" s="21">
        <f>L109/L8</f>
        <v>0.11933411792216631</v>
      </c>
      <c r="M111" s="21">
        <f>M109/M8</f>
        <v>7.2304991309598624E-2</v>
      </c>
      <c r="N111" s="21">
        <f>N109/N8</f>
        <v>7.2496323654625203E-2</v>
      </c>
      <c r="O111" s="21">
        <f>O109/O8</f>
        <v>0.11147620869876645</v>
      </c>
      <c r="P111" s="21">
        <f>P109/P8</f>
        <v>0.13250557993534873</v>
      </c>
      <c r="Q111" s="220"/>
      <c r="R111" s="21">
        <f t="shared" ref="R111:X111" si="448">R109/R8</f>
        <v>0.11637691115730292</v>
      </c>
      <c r="S111" s="21">
        <f t="shared" si="448"/>
        <v>0.12846794048882693</v>
      </c>
      <c r="T111" s="21">
        <f t="shared" si="448"/>
        <v>0.11644767433776226</v>
      </c>
      <c r="U111" s="21">
        <f t="shared" si="448"/>
        <v>0.15222941971755435</v>
      </c>
      <c r="V111" s="64">
        <f t="shared" si="448"/>
        <v>0.1297990773376804</v>
      </c>
      <c r="W111" s="64">
        <f t="shared" si="448"/>
        <v>0.13078258206623747</v>
      </c>
      <c r="X111" s="64">
        <f t="shared" si="448"/>
        <v>0.11018252600345727</v>
      </c>
      <c r="Y111" s="21">
        <f t="shared" ref="Y111:AD111" si="449">Y109/Y8</f>
        <v>0.15147655808369578</v>
      </c>
      <c r="Z111" s="64">
        <f t="shared" si="449"/>
        <v>0.13040870727973367</v>
      </c>
      <c r="AA111" s="64">
        <f t="shared" si="449"/>
        <v>0.12878513571384406</v>
      </c>
      <c r="AB111" s="64">
        <f t="shared" si="449"/>
        <v>0.11212130827378587</v>
      </c>
      <c r="AC111" s="64">
        <f t="shared" si="449"/>
        <v>0.13369731361638654</v>
      </c>
      <c r="AD111" s="64">
        <f t="shared" si="449"/>
        <v>9.7053616331178802E-2</v>
      </c>
      <c r="AE111" s="64">
        <f t="shared" ref="AE111:AJ111" si="450">AE109/AE8</f>
        <v>0.10671504797104016</v>
      </c>
      <c r="AF111" s="64">
        <f t="shared" si="450"/>
        <v>8.9454964472333587E-2</v>
      </c>
      <c r="AG111" s="64">
        <f t="shared" si="450"/>
        <v>9.9112239842949035E-2</v>
      </c>
      <c r="AH111" s="64">
        <f t="shared" si="450"/>
        <v>7.4598769689618219E-2</v>
      </c>
      <c r="AI111" s="64">
        <f t="shared" si="450"/>
        <v>-2.4309539792941745E-2</v>
      </c>
      <c r="AJ111" s="64">
        <f t="shared" si="450"/>
        <v>6.0482479973185066E-2</v>
      </c>
      <c r="AK111" s="64">
        <f t="shared" ref="AK111:AP111" si="451">AK109/AK8</f>
        <v>0.14096001884563847</v>
      </c>
      <c r="AL111" s="64">
        <f t="shared" si="451"/>
        <v>0.11029137921093056</v>
      </c>
      <c r="AM111" s="64">
        <f t="shared" si="451"/>
        <v>0.11568119597906049</v>
      </c>
      <c r="AN111" s="64">
        <f t="shared" si="451"/>
        <v>0.11868043877551841</v>
      </c>
      <c r="AO111" s="64">
        <f t="shared" si="451"/>
        <v>0.12915545994029584</v>
      </c>
      <c r="AP111" s="64">
        <f t="shared" si="451"/>
        <v>8.032582375431005E-2</v>
      </c>
      <c r="AQ111" s="64">
        <f t="shared" ref="AQ111:AV111" si="452">AQ109/AQ8</f>
        <v>7.0692573395980771E-2</v>
      </c>
      <c r="AR111" s="64">
        <f t="shared" si="452"/>
        <v>5.338157427854575E-2</v>
      </c>
      <c r="AS111" s="64">
        <f t="shared" si="452"/>
        <v>8.3350034792909353E-2</v>
      </c>
      <c r="AT111" s="64">
        <f t="shared" si="452"/>
        <v>5.1980242114978162E-2</v>
      </c>
      <c r="AU111" s="64">
        <f t="shared" si="452"/>
        <v>6.2628672637691937E-2</v>
      </c>
      <c r="AV111" s="64">
        <f t="shared" si="452"/>
        <v>5.8609721241138044E-2</v>
      </c>
      <c r="AW111" s="64">
        <f t="shared" ref="AW111:BB111" si="453">AW109/AW8</f>
        <v>0.1098785624855772</v>
      </c>
      <c r="AX111" s="64">
        <f t="shared" si="453"/>
        <v>9.5807239556995868E-2</v>
      </c>
      <c r="AY111" s="64">
        <f t="shared" si="453"/>
        <v>0.10548319503355255</v>
      </c>
      <c r="AZ111" s="64">
        <f t="shared" si="453"/>
        <v>9.9658276378123647E-2</v>
      </c>
      <c r="BA111" s="64">
        <f t="shared" si="453"/>
        <v>0.13761454003108115</v>
      </c>
      <c r="BB111" s="64">
        <f t="shared" si="453"/>
        <v>0.126807640825784</v>
      </c>
      <c r="BC111" s="64">
        <f>BC109/BC8</f>
        <v>0.12887581140712553</v>
      </c>
      <c r="BD111" s="64">
        <f>BD109/BD8</f>
        <v>0.11523891393230537</v>
      </c>
      <c r="BE111" s="64">
        <f>BE109/BE8</f>
        <v>0.15339761076411079</v>
      </c>
      <c r="BF111" s="64">
        <f>BF109/BF8</f>
        <v>0.1278610309174591</v>
      </c>
      <c r="BG111" s="142"/>
      <c r="BH111" s="64">
        <f>BH109/BH8</f>
        <v>0.10895025761385982</v>
      </c>
      <c r="BI111" s="64">
        <f>BI109/BI8</f>
        <v>0.1115139930622666</v>
      </c>
      <c r="BJ111" s="64">
        <f>BJ109/BJ8</f>
        <v>9.3143107583704227E-2</v>
      </c>
      <c r="BK111" s="64">
        <f>BK109/BK8</f>
        <v>5.8301821369577365E-2</v>
      </c>
      <c r="BL111" s="64">
        <f>BL109/BL8</f>
        <v>9.7053616331178802E-2</v>
      </c>
      <c r="BM111" s="220"/>
      <c r="BN111" s="21">
        <f t="shared" ref="BN111:BS111" si="454">BN109/BN8</f>
        <v>0.12251563753145127</v>
      </c>
      <c r="BO111" s="21">
        <f t="shared" si="454"/>
        <v>0.130298830119465</v>
      </c>
      <c r="BP111" s="21">
        <f t="shared" si="454"/>
        <v>0.12957793633570544</v>
      </c>
      <c r="BQ111" s="21">
        <f t="shared" si="454"/>
        <v>0.10196709965821732</v>
      </c>
      <c r="BR111" s="21">
        <f t="shared" si="454"/>
        <v>3.1490095442494058E-2</v>
      </c>
      <c r="BS111" s="21">
        <f t="shared" si="454"/>
        <v>0.11308716262113419</v>
      </c>
      <c r="BT111" s="21">
        <f>BT109/BT8</f>
        <v>7.5441088245079183E-2</v>
      </c>
      <c r="BU111" s="21">
        <f>BU109/BU8</f>
        <v>5.7239532475887978E-2</v>
      </c>
      <c r="BV111" s="21">
        <f>BV109/BV8</f>
        <v>0.10069798159512058</v>
      </c>
      <c r="BW111" s="21">
        <f>BW109/BW8</f>
        <v>0.12784951840834344</v>
      </c>
      <c r="BX111" s="220"/>
      <c r="BY111" s="21">
        <f>BY109/BY8</f>
        <v>0.11026310447095553</v>
      </c>
      <c r="BZ111" s="21">
        <f>BZ109/BZ8</f>
        <v>0.10196709965821732</v>
      </c>
      <c r="CA111" s="220"/>
      <c r="CC111" s="22"/>
      <c r="CD111" s="22"/>
      <c r="CE111" s="22"/>
      <c r="CG111" s="260"/>
      <c r="CH111" s="6"/>
    </row>
    <row r="112" spans="1:86" s="5" customFormat="1" ht="13.5" customHeight="1">
      <c r="B112" s="5" t="s">
        <v>358</v>
      </c>
      <c r="C112" s="4">
        <v>124151.167</v>
      </c>
      <c r="D112" s="4">
        <v>147423.52499999999</v>
      </c>
      <c r="E112" s="4">
        <v>157634.73699999999</v>
      </c>
      <c r="F112" s="4">
        <v>162551.48000000001</v>
      </c>
      <c r="G112" s="4">
        <v>177947.234</v>
      </c>
      <c r="H112" s="4">
        <v>194714.22200000001</v>
      </c>
      <c r="I112" s="4">
        <v>191939.58499999999</v>
      </c>
      <c r="J112" s="4">
        <v>74639.88</v>
      </c>
      <c r="K112" s="4">
        <v>61542.379000000001</v>
      </c>
      <c r="L112" s="4">
        <v>90102.002999999997</v>
      </c>
      <c r="M112" s="4">
        <v>116337.776</v>
      </c>
      <c r="N112" s="4">
        <f>100845.456</f>
        <v>100845.45600000001</v>
      </c>
      <c r="O112" s="4">
        <v>101720.43799999999</v>
      </c>
      <c r="P112" s="4">
        <v>92989.558999999994</v>
      </c>
      <c r="Q112" s="4"/>
      <c r="R112" s="145">
        <v>35599.088000000003</v>
      </c>
      <c r="S112" s="6">
        <f>BN112-R112</f>
        <v>39139.706999999995</v>
      </c>
      <c r="T112" s="145">
        <f>114214.653-S112-R112</f>
        <v>39475.858000000007</v>
      </c>
      <c r="U112" s="6">
        <f>E112-T112-S112-R112</f>
        <v>43420.083999999988</v>
      </c>
      <c r="V112" s="145">
        <v>39376.173999999999</v>
      </c>
      <c r="W112" s="6">
        <f>BO112-V112</f>
        <v>40087.236999999994</v>
      </c>
      <c r="X112" s="145">
        <f>117973.746-W112-V112</f>
        <v>38510.335000000006</v>
      </c>
      <c r="Y112" s="151">
        <f>F112-X112-W112-V112</f>
        <v>44577.734000000011</v>
      </c>
      <c r="Z112" s="145">
        <v>45512.964</v>
      </c>
      <c r="AA112" s="6">
        <f>BP112-Z112</f>
        <v>48996.424999999996</v>
      </c>
      <c r="AB112" s="145">
        <v>46054.421000000002</v>
      </c>
      <c r="AC112" s="200">
        <f>H112-AB112-AA112-Z112</f>
        <v>54150.412000000018</v>
      </c>
      <c r="AD112" s="145">
        <v>13810.153</v>
      </c>
      <c r="AE112" s="6">
        <f>BQ112-AD112</f>
        <v>19114.748</v>
      </c>
      <c r="AF112" s="145">
        <v>19958.271000000001</v>
      </c>
      <c r="AG112" s="200">
        <f>J112-AF112-AE112-AD112</f>
        <v>21756.708000000006</v>
      </c>
      <c r="AH112" s="145">
        <v>12368.16</v>
      </c>
      <c r="AI112" s="6">
        <f>BR112-AH112</f>
        <v>5656.8430000000008</v>
      </c>
      <c r="AJ112" s="145">
        <v>15438.9</v>
      </c>
      <c r="AK112" s="200">
        <f>K112-AJ112-AI112-AH112</f>
        <v>28078.475999999999</v>
      </c>
      <c r="AL112" s="145">
        <v>14206.628000000001</v>
      </c>
      <c r="AM112" s="6">
        <f>BS112-AL112</f>
        <v>14732.946</v>
      </c>
      <c r="AN112" s="145">
        <v>20345.187999999998</v>
      </c>
      <c r="AO112" s="200">
        <f>L112-AN112-AM112-AL112</f>
        <v>40817.241000000009</v>
      </c>
      <c r="AP112" s="145">
        <v>30491.517</v>
      </c>
      <c r="AQ112" s="6">
        <f>BT112-AP112</f>
        <v>27001.277000000002</v>
      </c>
      <c r="AR112" s="145">
        <v>29744.236000000001</v>
      </c>
      <c r="AS112" s="200">
        <f>M112-AR112-AQ112-AP112</f>
        <v>29100.745999999992</v>
      </c>
      <c r="AT112" s="145">
        <v>22338.078000000001</v>
      </c>
      <c r="AU112" s="25">
        <f>BU112-AT112</f>
        <v>23080.25</v>
      </c>
      <c r="AV112" s="145">
        <v>22216.776000000002</v>
      </c>
      <c r="AW112" s="200">
        <f>N112-AV112-AU112-AT112</f>
        <v>33210.352000000006</v>
      </c>
      <c r="AX112" s="145">
        <v>24485.866000000002</v>
      </c>
      <c r="AY112" s="25">
        <f>BV112-AX112</f>
        <v>25929.29</v>
      </c>
      <c r="AZ112" s="145">
        <v>23567.525000000001</v>
      </c>
      <c r="BA112" s="200">
        <f>O112-AZ112-AY112-AX112</f>
        <v>27737.756999999998</v>
      </c>
      <c r="BB112" s="145">
        <v>21002.472000000002</v>
      </c>
      <c r="BC112" s="25">
        <f>BW112-BB112</f>
        <v>21403.527000000002</v>
      </c>
      <c r="BD112" s="145">
        <v>22813.034</v>
      </c>
      <c r="BE112" s="200">
        <f>P112-BD112-BC112-BB112</f>
        <v>27770.525999999991</v>
      </c>
      <c r="BF112" s="145">
        <v>21141.123</v>
      </c>
      <c r="BG112" s="142"/>
      <c r="BH112" s="145">
        <v>44853.932999999997</v>
      </c>
      <c r="BI112" s="203">
        <f>BY112-BH112</f>
        <v>48326.951000000008</v>
      </c>
      <c r="BJ112" s="145">
        <v>45350.561000000002</v>
      </c>
      <c r="BK112" s="200">
        <f>I112-Z112-AB112-AA112</f>
        <v>51375.774999999987</v>
      </c>
      <c r="BL112" s="145">
        <v>13810.153</v>
      </c>
      <c r="BM112" s="145"/>
      <c r="BN112" s="4">
        <v>74738.794999999998</v>
      </c>
      <c r="BO112" s="4">
        <v>79463.410999999993</v>
      </c>
      <c r="BP112" s="4">
        <v>94509.388999999996</v>
      </c>
      <c r="BQ112" s="4">
        <v>32924.900999999998</v>
      </c>
      <c r="BR112" s="4">
        <v>18025.003000000001</v>
      </c>
      <c r="BS112" s="4">
        <v>28939.574000000001</v>
      </c>
      <c r="BT112" s="4">
        <v>57492.794000000002</v>
      </c>
      <c r="BU112" s="4">
        <v>45418.328000000001</v>
      </c>
      <c r="BV112" s="4">
        <v>50415.156000000003</v>
      </c>
      <c r="BW112" s="4">
        <v>42405.999000000003</v>
      </c>
      <c r="BX112" s="4"/>
      <c r="BY112" s="4">
        <v>93180.884000000005</v>
      </c>
      <c r="BZ112" s="4">
        <v>32924.900999999998</v>
      </c>
      <c r="CA112" s="4"/>
      <c r="CC112" s="5">
        <v>31588.924999999999</v>
      </c>
      <c r="CD112" s="5">
        <v>66746.005000000005</v>
      </c>
      <c r="CE112" s="5">
        <v>105628.50199999999</v>
      </c>
      <c r="CG112" s="260"/>
      <c r="CH112" s="6"/>
    </row>
    <row r="113" spans="1:86" s="49" customFormat="1" ht="13.5" customHeight="1">
      <c r="B113" s="5" t="s">
        <v>359</v>
      </c>
      <c r="C113" s="8">
        <f>C109+C112</f>
        <v>1019857.167</v>
      </c>
      <c r="D113" s="8">
        <f>D109+D112</f>
        <v>1122238.5249999999</v>
      </c>
      <c r="E113" s="8">
        <f>E109+E112</f>
        <v>1179039.737</v>
      </c>
      <c r="F113" s="8">
        <f t="shared" ref="F113:K113" si="455">F109+F112</f>
        <v>1246909.375</v>
      </c>
      <c r="G113" s="8">
        <f t="shared" si="455"/>
        <v>1264707.129</v>
      </c>
      <c r="H113" s="8">
        <f t="shared" si="455"/>
        <v>1268735.5990000002</v>
      </c>
      <c r="I113" s="8">
        <f t="shared" si="455"/>
        <v>1058323.53</v>
      </c>
      <c r="J113" s="8">
        <f t="shared" si="455"/>
        <v>865872.62500000012</v>
      </c>
      <c r="K113" s="8">
        <f t="shared" si="455"/>
        <v>684094.75799999991</v>
      </c>
      <c r="L113" s="8">
        <f>L109+L112</f>
        <v>1323465.9050000003</v>
      </c>
      <c r="M113" s="8">
        <f>M109+M112</f>
        <v>872696.16900000023</v>
      </c>
      <c r="N113" s="8">
        <f>N109+N112</f>
        <v>779056.87600000005</v>
      </c>
      <c r="O113" s="8">
        <f>O109+O112</f>
        <v>1252389.5109999999</v>
      </c>
      <c r="P113" s="8">
        <f>P109+P112</f>
        <v>1595918.9799999997</v>
      </c>
      <c r="Q113" s="8"/>
      <c r="R113" s="8">
        <f t="shared" ref="R113:W113" si="456">R109+R112</f>
        <v>255504.46000000002</v>
      </c>
      <c r="S113" s="8">
        <f t="shared" si="456"/>
        <v>289496.39299999998</v>
      </c>
      <c r="T113" s="8">
        <f t="shared" si="456"/>
        <v>257181.50700000001</v>
      </c>
      <c r="U113" s="8">
        <f t="shared" si="456"/>
        <v>376857.40299999987</v>
      </c>
      <c r="V113" s="8">
        <f t="shared" si="456"/>
        <v>292748.27099999995</v>
      </c>
      <c r="W113" s="8">
        <f t="shared" si="456"/>
        <v>303635.44500000007</v>
      </c>
      <c r="X113" s="8">
        <f t="shared" ref="X113:AC113" si="457">X109+X112</f>
        <v>252484.09500000003</v>
      </c>
      <c r="Y113" s="8">
        <f t="shared" si="457"/>
        <v>398041.56399999995</v>
      </c>
      <c r="Z113" s="8">
        <f t="shared" si="457"/>
        <v>307668.07</v>
      </c>
      <c r="AA113" s="8">
        <f t="shared" si="457"/>
        <v>320287.05100000004</v>
      </c>
      <c r="AB113" s="8">
        <f t="shared" si="457"/>
        <v>270814.00300000003</v>
      </c>
      <c r="AC113" s="8">
        <f t="shared" si="457"/>
        <v>369966.47499999998</v>
      </c>
      <c r="AD113" s="8">
        <f t="shared" ref="AD113:AI113" si="458">AD109+AD112</f>
        <v>200822.81599999999</v>
      </c>
      <c r="AE113" s="8">
        <f t="shared" si="458"/>
        <v>231913.19799999989</v>
      </c>
      <c r="AF113" s="8">
        <f t="shared" si="458"/>
        <v>188263.87299999999</v>
      </c>
      <c r="AG113" s="8">
        <f t="shared" si="458"/>
        <v>244872.73800000007</v>
      </c>
      <c r="AH113" s="8">
        <f t="shared" si="458"/>
        <v>153188.15399999998</v>
      </c>
      <c r="AI113" s="8">
        <f t="shared" si="458"/>
        <v>-29795.316999999974</v>
      </c>
      <c r="AJ113" s="8">
        <f t="shared" ref="AJ113:AO113" si="459">AJ109+AJ112</f>
        <v>149553.09299999991</v>
      </c>
      <c r="AK113" s="8">
        <f t="shared" si="459"/>
        <v>411148.8280000001</v>
      </c>
      <c r="AL113" s="8">
        <f t="shared" si="459"/>
        <v>258841.55999999997</v>
      </c>
      <c r="AM113" s="8">
        <f t="shared" si="459"/>
        <v>291279.11100000003</v>
      </c>
      <c r="AN113" s="8">
        <f t="shared" si="459"/>
        <v>331393.85299999994</v>
      </c>
      <c r="AO113" s="8">
        <f t="shared" si="459"/>
        <v>441951.38100000005</v>
      </c>
      <c r="AP113" s="8">
        <f t="shared" ref="AP113:AU113" si="460">AP109+AP112</f>
        <v>235012.83900000004</v>
      </c>
      <c r="AQ113" s="8">
        <f t="shared" si="460"/>
        <v>212158.40999999992</v>
      </c>
      <c r="AR113" s="8">
        <f t="shared" si="460"/>
        <v>162779.59300000014</v>
      </c>
      <c r="AS113" s="8">
        <f t="shared" si="460"/>
        <v>262745.32699999982</v>
      </c>
      <c r="AT113" s="8">
        <f t="shared" si="460"/>
        <v>140578.9</v>
      </c>
      <c r="AU113" s="8">
        <f t="shared" si="460"/>
        <v>162110.72900000011</v>
      </c>
      <c r="AV113" s="8">
        <f t="shared" ref="AV113:BA113" si="461">AV109+AV112</f>
        <v>151535.41099999999</v>
      </c>
      <c r="AW113" s="8">
        <f t="shared" si="461"/>
        <v>324831.83600000001</v>
      </c>
      <c r="AX113" s="8">
        <f t="shared" si="461"/>
        <v>253707.14400000003</v>
      </c>
      <c r="AY113" s="8">
        <f t="shared" si="461"/>
        <v>283866.098</v>
      </c>
      <c r="AZ113" s="8">
        <f t="shared" si="461"/>
        <v>263041.76600000012</v>
      </c>
      <c r="BA113" s="8">
        <f t="shared" si="461"/>
        <v>451774.50299999991</v>
      </c>
      <c r="BB113" s="8">
        <f>BB109+BB112</f>
        <v>357445.87300000008</v>
      </c>
      <c r="BC113" s="8">
        <f>BC109+BC112</f>
        <v>368526.48000000004</v>
      </c>
      <c r="BD113" s="8">
        <f>BD109+BD112</f>
        <v>325925.95599999977</v>
      </c>
      <c r="BE113" s="8">
        <f>BE109+BE112</f>
        <v>544020.67099999997</v>
      </c>
      <c r="BF113" s="8">
        <f>BF109+BF112</f>
        <v>374808.05200000003</v>
      </c>
      <c r="BG113" s="142"/>
      <c r="BH113" s="8">
        <f>BH109+BH112</f>
        <v>250458.61000000002</v>
      </c>
      <c r="BI113" s="8">
        <f>BI109+BI112</f>
        <v>269193.28999999998</v>
      </c>
      <c r="BJ113" s="8">
        <f>BJ109+BJ112</f>
        <v>220275.68800000002</v>
      </c>
      <c r="BK113" s="8">
        <f>BK109+BK112</f>
        <v>159554.4059999999</v>
      </c>
      <c r="BL113" s="8">
        <f>BL109+BL112</f>
        <v>200822.81599999999</v>
      </c>
      <c r="BM113" s="8"/>
      <c r="BN113" s="8">
        <f t="shared" ref="BN113:BS113" si="462">BN109+BN112</f>
        <v>545000.79500000004</v>
      </c>
      <c r="BO113" s="8">
        <f t="shared" si="462"/>
        <v>596384.41099999996</v>
      </c>
      <c r="BP113" s="8">
        <f t="shared" si="462"/>
        <v>627955.12100000004</v>
      </c>
      <c r="BQ113" s="8">
        <f t="shared" si="462"/>
        <v>432736.01400000002</v>
      </c>
      <c r="BR113" s="8">
        <f t="shared" si="462"/>
        <v>123392.83700000003</v>
      </c>
      <c r="BS113" s="8">
        <f t="shared" si="462"/>
        <v>550120.67099999997</v>
      </c>
      <c r="BT113" s="8">
        <f>BT109+BT112</f>
        <v>447171.24900000001</v>
      </c>
      <c r="BU113" s="8">
        <f>BU109+BU112</f>
        <v>302689.62900000007</v>
      </c>
      <c r="BV113" s="8">
        <f>BV109+BV112</f>
        <v>537573.24200000009</v>
      </c>
      <c r="BW113" s="8">
        <f>BW109+BW112</f>
        <v>725972.353</v>
      </c>
      <c r="BX113" s="8"/>
      <c r="BY113" s="8">
        <f>BY109+BY112</f>
        <v>519651.89999999997</v>
      </c>
      <c r="BZ113" s="8">
        <f>BZ109+BZ112</f>
        <v>432736.01400000002</v>
      </c>
      <c r="CA113" s="8"/>
      <c r="CC113" s="8">
        <f>CC109+CC112</f>
        <v>236386.92799999999</v>
      </c>
      <c r="CD113" s="8">
        <f>CD109+CD112</f>
        <v>504780.77500000002</v>
      </c>
      <c r="CE113" s="8">
        <f>CE109+CE112</f>
        <v>747149.52899999998</v>
      </c>
      <c r="CG113" s="260"/>
      <c r="CH113" s="6"/>
    </row>
    <row r="114" spans="1:86" s="49" customFormat="1" ht="13.5" customHeight="1">
      <c r="B114" s="20" t="s">
        <v>360</v>
      </c>
      <c r="C114" s="21">
        <f>C112/C8</f>
        <v>1.7639168493247554E-2</v>
      </c>
      <c r="D114" s="21">
        <f>D112/D8</f>
        <v>1.9014515682951025E-2</v>
      </c>
      <c r="E114" s="21">
        <f>E112/E8</f>
        <v>1.9958054441440675E-2</v>
      </c>
      <c r="F114" s="21">
        <f t="shared" ref="F114:K114" si="463">F112/F8</f>
        <v>1.9720790451782422E-2</v>
      </c>
      <c r="G114" s="21">
        <f t="shared" si="463"/>
        <v>2.1674841960692172E-2</v>
      </c>
      <c r="H114" s="21">
        <f t="shared" si="463"/>
        <v>2.2951900402037626E-2</v>
      </c>
      <c r="I114" s="21">
        <f t="shared" si="463"/>
        <v>2.4061931750276565E-2</v>
      </c>
      <c r="J114" s="21">
        <f t="shared" si="463"/>
        <v>9.2679098892015071E-3</v>
      </c>
      <c r="K114" s="21">
        <f t="shared" si="463"/>
        <v>7.4317120871166481E-3</v>
      </c>
      <c r="L114" s="21">
        <f>L112/L8</f>
        <v>8.7178188315628034E-3</v>
      </c>
      <c r="M114" s="21">
        <f>M112/M8</f>
        <v>1.112144977897803E-2</v>
      </c>
      <c r="N114" s="21">
        <f>N112/N8</f>
        <v>1.0779713525428789E-2</v>
      </c>
      <c r="O114" s="21">
        <f>O112/O8</f>
        <v>9.8546220120908166E-3</v>
      </c>
      <c r="P114" s="21">
        <f>P112/P8</f>
        <v>8.1984125608698995E-3</v>
      </c>
      <c r="Q114" s="220"/>
      <c r="R114" s="21">
        <f t="shared" ref="R114:X114" si="464">R112/R8</f>
        <v>1.8839521125736797E-2</v>
      </c>
      <c r="S114" s="21">
        <f t="shared" si="464"/>
        <v>2.0084135278999989E-2</v>
      </c>
      <c r="T114" s="21">
        <f t="shared" si="464"/>
        <v>2.1115078445152095E-2</v>
      </c>
      <c r="U114" s="21">
        <f t="shared" si="464"/>
        <v>1.9823258569948692E-2</v>
      </c>
      <c r="V114" s="64">
        <f t="shared" si="464"/>
        <v>2.01718780986683E-2</v>
      </c>
      <c r="W114" s="64">
        <f t="shared" si="464"/>
        <v>1.9892802165291937E-2</v>
      </c>
      <c r="X114" s="64">
        <f t="shared" si="464"/>
        <v>1.9830309976042626E-2</v>
      </c>
      <c r="Y114" s="21">
        <f t="shared" ref="Y114:AD114" si="465">Y112/Y8</f>
        <v>1.9103741713800085E-2</v>
      </c>
      <c r="Z114" s="21">
        <f t="shared" si="465"/>
        <v>2.2640363143295233E-2</v>
      </c>
      <c r="AA114" s="21">
        <f t="shared" si="465"/>
        <v>2.3259230649267552E-2</v>
      </c>
      <c r="AB114" s="21">
        <f t="shared" si="465"/>
        <v>2.297424602930485E-2</v>
      </c>
      <c r="AC114" s="21">
        <f t="shared" si="465"/>
        <v>2.2923991094210252E-2</v>
      </c>
      <c r="AD114" s="21">
        <f t="shared" si="465"/>
        <v>7.1670295970111819E-3</v>
      </c>
      <c r="AE114" s="21">
        <f t="shared" ref="AE114:AJ114" si="466">AE112/AE8</f>
        <v>9.585742987199131E-3</v>
      </c>
      <c r="AF114" s="21">
        <f t="shared" si="466"/>
        <v>1.0607884716957942E-2</v>
      </c>
      <c r="AG114" s="21">
        <f t="shared" si="466"/>
        <v>9.6647294301938236E-3</v>
      </c>
      <c r="AH114" s="21">
        <f t="shared" si="466"/>
        <v>6.5519781184222217E-3</v>
      </c>
      <c r="AI114" s="21">
        <f t="shared" si="466"/>
        <v>3.8788962368138946E-3</v>
      </c>
      <c r="AJ114" s="21">
        <f t="shared" si="466"/>
        <v>6.9625961217841242E-3</v>
      </c>
      <c r="AK114" s="21">
        <f t="shared" ref="AK114:AP114" si="467">AK112/AK8</f>
        <v>1.0332155661362188E-2</v>
      </c>
      <c r="AL114" s="21">
        <f t="shared" si="467"/>
        <v>6.4049258347807182E-3</v>
      </c>
      <c r="AM114" s="21">
        <f t="shared" si="467"/>
        <v>6.1628944070691236E-3</v>
      </c>
      <c r="AN114" s="21">
        <f t="shared" si="467"/>
        <v>7.7626947500655961E-3</v>
      </c>
      <c r="AO114" s="21">
        <f t="shared" si="467"/>
        <v>1.3142161210334534E-2</v>
      </c>
      <c r="AP114" s="21">
        <f t="shared" si="467"/>
        <v>1.197555441453458E-2</v>
      </c>
      <c r="AQ114" s="21">
        <f t="shared" ref="AQ114:AV114" si="468">AQ112/AQ8</f>
        <v>1.0309026312843743E-2</v>
      </c>
      <c r="AR114" s="21">
        <f t="shared" si="468"/>
        <v>1.1935128970207468E-2</v>
      </c>
      <c r="AS114" s="21">
        <f t="shared" si="468"/>
        <v>1.0381358648329271E-2</v>
      </c>
      <c r="AT114" s="21">
        <f t="shared" si="468"/>
        <v>9.8201169713051165E-3</v>
      </c>
      <c r="AU114" s="21">
        <f t="shared" si="468"/>
        <v>1.0396895932769448E-2</v>
      </c>
      <c r="AV114" s="21">
        <f t="shared" si="468"/>
        <v>1.0069075104580296E-2</v>
      </c>
      <c r="AW114" s="21">
        <f t="shared" ref="AW114:BB114" si="469">AW112/AW8</f>
        <v>1.2513158109434812E-2</v>
      </c>
      <c r="AX114" s="21">
        <f t="shared" si="469"/>
        <v>1.0234317032393912E-2</v>
      </c>
      <c r="AY114" s="21">
        <f t="shared" si="469"/>
        <v>1.0603776852784593E-2</v>
      </c>
      <c r="AZ114" s="21">
        <f t="shared" si="469"/>
        <v>9.8077309283478957E-3</v>
      </c>
      <c r="BA114" s="21">
        <f t="shared" si="469"/>
        <v>9.0018582282227547E-3</v>
      </c>
      <c r="BB114" s="21">
        <f t="shared" si="469"/>
        <v>7.9159642243349735E-3</v>
      </c>
      <c r="BC114" s="21">
        <f>BC112/BC8</f>
        <v>7.9464549528054963E-3</v>
      </c>
      <c r="BD114" s="21">
        <f>BD112/BD8</f>
        <v>8.6731678884371614E-3</v>
      </c>
      <c r="BE114" s="21">
        <f>BE112/BE8</f>
        <v>8.2516825986801746E-3</v>
      </c>
      <c r="BF114" s="21">
        <f>BF112/BF8</f>
        <v>7.6431398015526786E-3</v>
      </c>
      <c r="BG114" s="142"/>
      <c r="BH114" s="21">
        <f>BH112/BH8</f>
        <v>2.3768173110890894E-2</v>
      </c>
      <c r="BI114" s="21">
        <f>BI112/BI8</f>
        <v>2.4399966526970414E-2</v>
      </c>
      <c r="BJ114" s="21">
        <f>BJ112/BJ8</f>
        <v>2.4148001231431664E-2</v>
      </c>
      <c r="BK114" s="21">
        <f>BK112/BK8</f>
        <v>2.7688474415742979E-2</v>
      </c>
      <c r="BL114" s="21">
        <f>BL112/BL8</f>
        <v>7.1670295970111819E-3</v>
      </c>
      <c r="BM114" s="220"/>
      <c r="BN114" s="21">
        <f t="shared" ref="BN114:BS114" si="470">BN112/BN8</f>
        <v>1.9471424690401185E-2</v>
      </c>
      <c r="BO114" s="21">
        <f t="shared" si="470"/>
        <v>2.0030119671288697E-2</v>
      </c>
      <c r="BP114" s="21">
        <f t="shared" si="470"/>
        <v>2.2957033595628087E-2</v>
      </c>
      <c r="BQ114" s="21">
        <f t="shared" si="470"/>
        <v>8.3971069145942889E-3</v>
      </c>
      <c r="BR114" s="21">
        <f t="shared" si="470"/>
        <v>5.3869292294766316E-3</v>
      </c>
      <c r="BS114" s="21">
        <f t="shared" si="470"/>
        <v>6.2793802959518058E-3</v>
      </c>
      <c r="BT114" s="21">
        <f>BT112/BT8</f>
        <v>1.1130507447762693E-2</v>
      </c>
      <c r="BU114" s="21">
        <f>BU112/BU8</f>
        <v>1.0104989753818409E-2</v>
      </c>
      <c r="BV114" s="21">
        <f>BV112/BV8</f>
        <v>1.0421061657186845E-2</v>
      </c>
      <c r="BW114" s="21">
        <f>BW112/BW8</f>
        <v>7.9313244691600095E-3</v>
      </c>
      <c r="BX114" s="220"/>
      <c r="BY114" s="21">
        <f>BY112/BY8</f>
        <v>2.4091704152734237E-2</v>
      </c>
      <c r="BZ114" s="21">
        <f>BZ112/BZ8</f>
        <v>8.3971069145942889E-3</v>
      </c>
      <c r="CA114" s="220"/>
      <c r="CC114" s="22"/>
      <c r="CD114" s="22"/>
      <c r="CE114" s="22"/>
      <c r="CG114" s="260"/>
      <c r="CH114" s="6"/>
    </row>
    <row r="115" spans="1:86" s="5" customFormat="1" ht="13.5" customHeight="1"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8"/>
      <c r="W115" s="8"/>
      <c r="X115" s="48"/>
      <c r="Y115" s="48"/>
      <c r="Z115" s="48"/>
      <c r="AA115" s="8"/>
      <c r="AB115" s="48"/>
      <c r="AC115" s="48"/>
      <c r="AD115" s="48"/>
      <c r="AE115" s="8"/>
      <c r="AF115" s="48"/>
      <c r="AG115" s="48"/>
      <c r="AH115" s="48"/>
      <c r="AI115" s="8"/>
      <c r="AJ115" s="48"/>
      <c r="AK115" s="48"/>
      <c r="AL115" s="48"/>
      <c r="AM115" s="8"/>
      <c r="AN115" s="48"/>
      <c r="AO115" s="48"/>
      <c r="AP115" s="48"/>
      <c r="AQ115" s="8"/>
      <c r="AR115" s="48"/>
      <c r="AS115" s="48"/>
      <c r="AT115" s="48"/>
      <c r="AU115" s="8"/>
      <c r="AV115" s="48"/>
      <c r="AW115" s="48"/>
      <c r="AX115" s="48"/>
      <c r="AY115" s="8"/>
      <c r="AZ115" s="48"/>
      <c r="BA115" s="48"/>
      <c r="BB115" s="48"/>
      <c r="BC115" s="8"/>
      <c r="BD115" s="48"/>
      <c r="BE115" s="48"/>
      <c r="BF115" s="48"/>
      <c r="BG115" s="142"/>
      <c r="BH115" s="48"/>
      <c r="BI115" s="48"/>
      <c r="BJ115" s="48"/>
      <c r="BK115" s="48"/>
      <c r="BL115" s="48"/>
      <c r="BM115" s="48"/>
      <c r="BN115" s="87"/>
      <c r="BO115" s="87"/>
      <c r="BP115" s="87"/>
      <c r="BQ115" s="87"/>
      <c r="BR115" s="87"/>
      <c r="BS115" s="87"/>
      <c r="BT115" s="87"/>
      <c r="BU115" s="87"/>
      <c r="BV115" s="87"/>
      <c r="BW115" s="87"/>
      <c r="BX115" s="87"/>
      <c r="BY115" s="87"/>
      <c r="BZ115" s="87"/>
      <c r="CA115" s="87"/>
      <c r="CG115" s="260"/>
      <c r="CH115" s="6"/>
    </row>
    <row r="116" spans="1:86" s="5" customFormat="1" ht="13.5" customHeight="1">
      <c r="B116" s="5" t="s">
        <v>361</v>
      </c>
      <c r="C116" s="8">
        <f t="shared" ref="C116:H116" si="471">C109</f>
        <v>895706</v>
      </c>
      <c r="D116" s="8">
        <f t="shared" si="471"/>
        <v>974815</v>
      </c>
      <c r="E116" s="8">
        <f t="shared" si="471"/>
        <v>1021405</v>
      </c>
      <c r="F116" s="8">
        <f t="shared" si="471"/>
        <v>1084357.895</v>
      </c>
      <c r="G116" s="8">
        <f t="shared" si="471"/>
        <v>1086759.895</v>
      </c>
      <c r="H116" s="8">
        <f t="shared" si="471"/>
        <v>1074021.3770000001</v>
      </c>
      <c r="I116" s="8">
        <f t="shared" ref="I116:N116" si="472">I109</f>
        <v>866383.94500000007</v>
      </c>
      <c r="J116" s="8">
        <f t="shared" si="472"/>
        <v>791232.74500000011</v>
      </c>
      <c r="K116" s="8">
        <f t="shared" si="472"/>
        <v>622552.37899999996</v>
      </c>
      <c r="L116" s="8">
        <f t="shared" si="472"/>
        <v>1233363.9020000002</v>
      </c>
      <c r="M116" s="8">
        <f>M109</f>
        <v>756358.39300000027</v>
      </c>
      <c r="N116" s="8">
        <f t="shared" si="472"/>
        <v>678211.42</v>
      </c>
      <c r="O116" s="8">
        <f>O109</f>
        <v>1150669.0729999999</v>
      </c>
      <c r="P116" s="8">
        <f>P109</f>
        <v>1502929.4209999999</v>
      </c>
      <c r="Q116" s="8"/>
      <c r="R116" s="8">
        <f t="shared" ref="R116:W116" si="473">R109</f>
        <v>219905.372</v>
      </c>
      <c r="S116" s="8">
        <f t="shared" si="473"/>
        <v>250356.68599999999</v>
      </c>
      <c r="T116" s="8">
        <f t="shared" si="473"/>
        <v>217705.649</v>
      </c>
      <c r="U116" s="8">
        <f t="shared" si="473"/>
        <v>333437.3189999999</v>
      </c>
      <c r="V116" s="8">
        <f t="shared" si="473"/>
        <v>253372.09699999998</v>
      </c>
      <c r="W116" s="8">
        <f t="shared" si="473"/>
        <v>263548.20800000004</v>
      </c>
      <c r="X116" s="8">
        <f t="shared" ref="X116:AC116" si="474">X109</f>
        <v>213973.76000000001</v>
      </c>
      <c r="Y116" s="8">
        <f t="shared" si="474"/>
        <v>353463.82999999996</v>
      </c>
      <c r="Z116" s="8">
        <f t="shared" si="474"/>
        <v>262155.10600000003</v>
      </c>
      <c r="AA116" s="8">
        <f t="shared" si="474"/>
        <v>271290.62600000005</v>
      </c>
      <c r="AB116" s="8">
        <f t="shared" si="474"/>
        <v>224759.58199999999</v>
      </c>
      <c r="AC116" s="8">
        <f t="shared" si="474"/>
        <v>315816.06299999997</v>
      </c>
      <c r="AD116" s="8">
        <f t="shared" ref="AD116:AI116" si="475">AD109</f>
        <v>187012.663</v>
      </c>
      <c r="AE116" s="8">
        <f t="shared" si="475"/>
        <v>212798.4499999999</v>
      </c>
      <c r="AF116" s="8">
        <f t="shared" si="475"/>
        <v>168305.60199999998</v>
      </c>
      <c r="AG116" s="8">
        <f t="shared" si="475"/>
        <v>223116.03000000006</v>
      </c>
      <c r="AH116" s="8">
        <f t="shared" si="475"/>
        <v>140819.99399999998</v>
      </c>
      <c r="AI116" s="8">
        <f t="shared" si="475"/>
        <v>-35452.159999999974</v>
      </c>
      <c r="AJ116" s="8">
        <f t="shared" ref="AJ116:AO116" si="476">AJ109</f>
        <v>134114.19299999991</v>
      </c>
      <c r="AK116" s="8">
        <f t="shared" si="476"/>
        <v>383070.35200000007</v>
      </c>
      <c r="AL116" s="8">
        <f t="shared" si="476"/>
        <v>244634.93199999997</v>
      </c>
      <c r="AM116" s="8">
        <f t="shared" si="476"/>
        <v>276546.16500000004</v>
      </c>
      <c r="AN116" s="8">
        <f t="shared" si="476"/>
        <v>311048.66499999992</v>
      </c>
      <c r="AO116" s="8">
        <f t="shared" si="476"/>
        <v>401134.14</v>
      </c>
      <c r="AP116" s="8">
        <f t="shared" ref="AP116:AU116" si="477">AP109</f>
        <v>204521.32200000004</v>
      </c>
      <c r="AQ116" s="8">
        <f t="shared" si="477"/>
        <v>185157.13299999991</v>
      </c>
      <c r="AR116" s="8">
        <f t="shared" si="477"/>
        <v>133035.35700000013</v>
      </c>
      <c r="AS116" s="8">
        <f t="shared" si="477"/>
        <v>233644.5809999998</v>
      </c>
      <c r="AT116" s="8">
        <f t="shared" si="477"/>
        <v>118240.82199999999</v>
      </c>
      <c r="AU116" s="8">
        <f t="shared" si="477"/>
        <v>139030.47900000011</v>
      </c>
      <c r="AV116" s="8">
        <f t="shared" ref="AV116:BA116" si="478">AV109</f>
        <v>129318.63499999999</v>
      </c>
      <c r="AW116" s="8">
        <f t="shared" si="478"/>
        <v>291621.484</v>
      </c>
      <c r="AX116" s="8">
        <f t="shared" si="478"/>
        <v>229221.27800000002</v>
      </c>
      <c r="AY116" s="8">
        <f t="shared" si="478"/>
        <v>257936.80799999999</v>
      </c>
      <c r="AZ116" s="8">
        <f t="shared" si="478"/>
        <v>239474.2410000001</v>
      </c>
      <c r="BA116" s="8">
        <f t="shared" si="478"/>
        <v>424036.74599999993</v>
      </c>
      <c r="BB116" s="8">
        <f>BB109</f>
        <v>336443.40100000007</v>
      </c>
      <c r="BC116" s="8">
        <f>BC109</f>
        <v>347122.95300000004</v>
      </c>
      <c r="BD116" s="8">
        <f>BD109</f>
        <v>303112.92199999979</v>
      </c>
      <c r="BE116" s="8">
        <f>BE109</f>
        <v>516250.14499999996</v>
      </c>
      <c r="BF116" s="8">
        <f>BF109</f>
        <v>353666.929</v>
      </c>
      <c r="BG116" s="142"/>
      <c r="BH116" s="8">
        <f>BH109</f>
        <v>205604.67700000003</v>
      </c>
      <c r="BI116" s="8">
        <f>BI109</f>
        <v>220866.33899999995</v>
      </c>
      <c r="BJ116" s="8">
        <f>BJ109</f>
        <v>174925.12700000004</v>
      </c>
      <c r="BK116" s="8">
        <f>BK109</f>
        <v>108178.63099999991</v>
      </c>
      <c r="BL116" s="8">
        <f>BL109</f>
        <v>187012.663</v>
      </c>
      <c r="BM116" s="8"/>
      <c r="BN116" s="146">
        <f t="shared" ref="BN116:BS116" si="479">BN109</f>
        <v>470262</v>
      </c>
      <c r="BO116" s="146">
        <f t="shared" si="479"/>
        <v>516921</v>
      </c>
      <c r="BP116" s="146">
        <f t="shared" si="479"/>
        <v>533445.73200000008</v>
      </c>
      <c r="BQ116" s="146">
        <f t="shared" si="479"/>
        <v>399811.11300000001</v>
      </c>
      <c r="BR116" s="146">
        <f t="shared" si="479"/>
        <v>105367.83400000003</v>
      </c>
      <c r="BS116" s="146">
        <f t="shared" si="479"/>
        <v>521181.09700000001</v>
      </c>
      <c r="BT116" s="146">
        <f>BT109</f>
        <v>389678.45500000002</v>
      </c>
      <c r="BU116" s="146">
        <f>BU109</f>
        <v>257271.30100000006</v>
      </c>
      <c r="BV116" s="146">
        <f>BV109</f>
        <v>487158.08600000013</v>
      </c>
      <c r="BW116" s="146">
        <f>BW109</f>
        <v>683566.35400000005</v>
      </c>
      <c r="BX116" s="146"/>
      <c r="BY116" s="146">
        <f>BY109</f>
        <v>426471.01599999995</v>
      </c>
      <c r="BZ116" s="146">
        <f>BZ109</f>
        <v>399811.11300000001</v>
      </c>
      <c r="CA116" s="146"/>
      <c r="CC116" s="8">
        <f>CC109</f>
        <v>204798.003</v>
      </c>
      <c r="CD116" s="8">
        <f>CD109</f>
        <v>438034.77</v>
      </c>
      <c r="CE116" s="8">
        <f>CE109</f>
        <v>641521.027</v>
      </c>
      <c r="CG116" s="260"/>
      <c r="CH116" s="6"/>
    </row>
    <row r="117" spans="1:86" s="5" customFormat="1" ht="13.5" customHeight="1">
      <c r="C117" s="153"/>
      <c r="D117" s="153"/>
      <c r="E117" s="153"/>
      <c r="F117" s="153"/>
      <c r="G117" s="153"/>
      <c r="H117" s="153"/>
      <c r="I117" s="153"/>
      <c r="J117" s="153"/>
      <c r="K117" s="153"/>
      <c r="L117" s="153"/>
      <c r="M117" s="153"/>
      <c r="N117" s="153"/>
      <c r="O117" s="153"/>
      <c r="BG117" s="142"/>
      <c r="BH117" s="123"/>
      <c r="BI117" s="123"/>
      <c r="BJ117" s="123"/>
      <c r="BK117" s="153"/>
      <c r="BL117" s="123"/>
      <c r="BM117" s="123"/>
      <c r="BN117" s="161"/>
      <c r="BO117" s="161"/>
      <c r="BP117" s="161"/>
      <c r="BQ117" s="161"/>
      <c r="BR117" s="161"/>
      <c r="BS117" s="161"/>
      <c r="BT117" s="161"/>
      <c r="BU117" s="161"/>
      <c r="BV117" s="161"/>
      <c r="BW117" s="161"/>
      <c r="BX117" s="161"/>
      <c r="BY117" s="161"/>
      <c r="BZ117" s="161"/>
      <c r="CA117" s="161"/>
      <c r="CG117" s="260"/>
      <c r="CH117" s="6"/>
    </row>
    <row r="118" spans="1:86" ht="13.5" customHeight="1">
      <c r="A118" s="28"/>
      <c r="B118" s="17" t="s">
        <v>362</v>
      </c>
      <c r="C118" s="46">
        <v>41975</v>
      </c>
      <c r="D118" s="46">
        <v>42341</v>
      </c>
      <c r="E118" s="46">
        <v>42708</v>
      </c>
      <c r="F118" s="253">
        <f t="shared" ref="F118:K118" si="480">F3</f>
        <v>43073</v>
      </c>
      <c r="G118" s="253">
        <f t="shared" si="480"/>
        <v>43073</v>
      </c>
      <c r="H118" s="253">
        <f t="shared" si="480"/>
        <v>43438</v>
      </c>
      <c r="I118" s="253">
        <f t="shared" si="480"/>
        <v>43438</v>
      </c>
      <c r="J118" s="253">
        <f t="shared" si="480"/>
        <v>43803</v>
      </c>
      <c r="K118" s="253">
        <f t="shared" si="480"/>
        <v>44169</v>
      </c>
      <c r="L118" s="253">
        <f>L3</f>
        <v>44534</v>
      </c>
      <c r="M118" s="253">
        <f>M3</f>
        <v>44899</v>
      </c>
      <c r="N118" s="253">
        <f>N3</f>
        <v>45264</v>
      </c>
      <c r="O118" s="253">
        <f>O3</f>
        <v>45630</v>
      </c>
      <c r="P118" s="253">
        <f>P3</f>
        <v>45995</v>
      </c>
      <c r="Q118" s="329"/>
      <c r="R118" s="46">
        <v>42437</v>
      </c>
      <c r="S118" s="46">
        <v>42527</v>
      </c>
      <c r="T118" s="46">
        <v>42622</v>
      </c>
      <c r="U118" s="46">
        <v>42714</v>
      </c>
      <c r="V118" s="46">
        <v>42801</v>
      </c>
      <c r="W118" s="46">
        <v>42892</v>
      </c>
      <c r="X118" s="46">
        <v>42987</v>
      </c>
      <c r="Y118" s="46">
        <v>43079</v>
      </c>
      <c r="Z118" s="46">
        <f t="shared" ref="Z118:AE118" si="481">Z3</f>
        <v>43166</v>
      </c>
      <c r="AA118" s="46">
        <f t="shared" si="481"/>
        <v>43257</v>
      </c>
      <c r="AB118" s="46">
        <f t="shared" si="481"/>
        <v>43352</v>
      </c>
      <c r="AC118" s="46">
        <f t="shared" si="481"/>
        <v>43444</v>
      </c>
      <c r="AD118" s="253">
        <f t="shared" si="481"/>
        <v>43531</v>
      </c>
      <c r="AE118" s="253">
        <f t="shared" si="481"/>
        <v>43622</v>
      </c>
      <c r="AF118" s="253">
        <f t="shared" ref="AF118:AK118" si="482">AF3</f>
        <v>43738</v>
      </c>
      <c r="AG118" s="120">
        <f t="shared" si="482"/>
        <v>43809</v>
      </c>
      <c r="AH118" s="253">
        <f t="shared" si="482"/>
        <v>43897</v>
      </c>
      <c r="AI118" s="253">
        <f t="shared" si="482"/>
        <v>43988</v>
      </c>
      <c r="AJ118" s="253">
        <f t="shared" si="482"/>
        <v>44104</v>
      </c>
      <c r="AK118" s="120">
        <f t="shared" si="482"/>
        <v>44175</v>
      </c>
      <c r="AL118" s="253">
        <f t="shared" ref="AL118:AQ118" si="483">AL3</f>
        <v>44262</v>
      </c>
      <c r="AM118" s="253">
        <f t="shared" si="483"/>
        <v>44348</v>
      </c>
      <c r="AN118" s="253">
        <f t="shared" si="483"/>
        <v>44469</v>
      </c>
      <c r="AO118" s="120">
        <f t="shared" si="483"/>
        <v>44540</v>
      </c>
      <c r="AP118" s="253">
        <f t="shared" si="483"/>
        <v>44651</v>
      </c>
      <c r="AQ118" s="253">
        <f t="shared" si="483"/>
        <v>44713</v>
      </c>
      <c r="AR118" s="253">
        <f t="shared" ref="AR118:AW118" si="484">AR3</f>
        <v>44834</v>
      </c>
      <c r="AS118" s="120">
        <f t="shared" si="484"/>
        <v>44905</v>
      </c>
      <c r="AT118" s="253">
        <f t="shared" si="484"/>
        <v>45016</v>
      </c>
      <c r="AU118" s="253">
        <f t="shared" si="484"/>
        <v>45078</v>
      </c>
      <c r="AV118" s="253">
        <f t="shared" si="484"/>
        <v>45199</v>
      </c>
      <c r="AW118" s="120">
        <f t="shared" si="484"/>
        <v>45270</v>
      </c>
      <c r="AX118" s="253">
        <f t="shared" ref="AX118:BC118" si="485">AX3</f>
        <v>45382</v>
      </c>
      <c r="AY118" s="253">
        <f t="shared" si="485"/>
        <v>45444</v>
      </c>
      <c r="AZ118" s="253">
        <f t="shared" si="485"/>
        <v>45565</v>
      </c>
      <c r="BA118" s="120">
        <f t="shared" si="485"/>
        <v>45636</v>
      </c>
      <c r="BB118" s="253">
        <f t="shared" si="485"/>
        <v>45747</v>
      </c>
      <c r="BC118" s="253">
        <f t="shared" si="485"/>
        <v>45809</v>
      </c>
      <c r="BD118" s="253">
        <f>BD3</f>
        <v>45930</v>
      </c>
      <c r="BE118" s="120">
        <f>BE3</f>
        <v>46001</v>
      </c>
      <c r="BF118" s="253">
        <f>BF3</f>
        <v>46112</v>
      </c>
      <c r="BG118" s="142"/>
      <c r="BH118" s="46">
        <f>BH3</f>
        <v>43166</v>
      </c>
      <c r="BI118" s="46">
        <f>BI3</f>
        <v>43281</v>
      </c>
      <c r="BJ118" s="46">
        <f>BJ3</f>
        <v>43373</v>
      </c>
      <c r="BK118" s="46">
        <f>BK3</f>
        <v>43444</v>
      </c>
      <c r="BL118" s="253">
        <f>BL3</f>
        <v>43531</v>
      </c>
      <c r="BM118" s="329"/>
      <c r="BN118" s="82">
        <v>42530</v>
      </c>
      <c r="BO118" s="82">
        <v>42896</v>
      </c>
      <c r="BP118" s="82">
        <f t="shared" ref="BP118:BU118" si="486">BP3</f>
        <v>43261</v>
      </c>
      <c r="BQ118" s="315">
        <f t="shared" si="486"/>
        <v>43646</v>
      </c>
      <c r="BR118" s="315">
        <f t="shared" si="486"/>
        <v>44012</v>
      </c>
      <c r="BS118" s="315">
        <f t="shared" si="486"/>
        <v>44377</v>
      </c>
      <c r="BT118" s="315">
        <f t="shared" si="486"/>
        <v>44742</v>
      </c>
      <c r="BU118" s="315">
        <f t="shared" si="486"/>
        <v>45107</v>
      </c>
      <c r="BV118" s="315">
        <f>BV3</f>
        <v>45473</v>
      </c>
      <c r="BW118" s="315">
        <f>BW3</f>
        <v>45838</v>
      </c>
      <c r="BX118" s="337"/>
      <c r="BY118" s="315">
        <f>BY3</f>
        <v>43281</v>
      </c>
      <c r="BZ118" s="315">
        <f>BZ3</f>
        <v>43646</v>
      </c>
      <c r="CA118" s="119"/>
      <c r="CC118" s="18"/>
      <c r="CD118" s="18"/>
      <c r="CE118" s="18"/>
      <c r="CG118" s="260"/>
      <c r="CH118" s="6"/>
    </row>
    <row r="119" spans="1:86" ht="13.5" customHeight="1">
      <c r="B119" s="7" t="str">
        <f t="shared" ref="B119:H119" si="487">B45</f>
        <v>Net operating income</v>
      </c>
      <c r="C119" s="6">
        <f t="shared" si="487"/>
        <v>103611.19200000004</v>
      </c>
      <c r="D119" s="6">
        <f t="shared" si="487"/>
        <v>123430.08999999994</v>
      </c>
      <c r="E119" s="6">
        <f t="shared" si="487"/>
        <v>113265.19000000003</v>
      </c>
      <c r="F119" s="6">
        <f t="shared" si="487"/>
        <v>109839.10800000001</v>
      </c>
      <c r="G119" s="6">
        <f t="shared" si="487"/>
        <v>109839.10800000001</v>
      </c>
      <c r="H119" s="6">
        <f t="shared" si="487"/>
        <v>109148.32399999996</v>
      </c>
      <c r="I119" s="6">
        <f t="shared" ref="I119:N119" si="488">I45</f>
        <v>316689.75599999988</v>
      </c>
      <c r="J119" s="6">
        <f t="shared" si="488"/>
        <v>315106.75399999996</v>
      </c>
      <c r="K119" s="6">
        <f t="shared" si="488"/>
        <v>168396.44400000002</v>
      </c>
      <c r="L119" s="6">
        <f t="shared" si="488"/>
        <v>311580.29099999985</v>
      </c>
      <c r="M119" s="6">
        <f>M45</f>
        <v>141436.61499999976</v>
      </c>
      <c r="N119" s="6">
        <f t="shared" si="488"/>
        <v>22208.073999999906</v>
      </c>
      <c r="O119" s="6">
        <f>O45</f>
        <v>260948.51000000013</v>
      </c>
      <c r="P119" s="6">
        <f>P45</f>
        <v>403049.66100000008</v>
      </c>
      <c r="Q119" s="6"/>
      <c r="R119" s="6">
        <f t="shared" ref="R119:X119" si="489">R45</f>
        <v>30300.863999999994</v>
      </c>
      <c r="S119" s="6">
        <f t="shared" si="489"/>
        <v>25328.08100000002</v>
      </c>
      <c r="T119" s="6">
        <f t="shared" si="489"/>
        <v>30398.614999999998</v>
      </c>
      <c r="U119" s="6">
        <f t="shared" si="489"/>
        <v>27237.63000000007</v>
      </c>
      <c r="V119" s="6">
        <f t="shared" si="489"/>
        <v>26876.247000000018</v>
      </c>
      <c r="W119" s="6">
        <f t="shared" si="489"/>
        <v>25962.328999999969</v>
      </c>
      <c r="X119" s="6">
        <f t="shared" si="489"/>
        <v>29240.784999999974</v>
      </c>
      <c r="Y119" s="6">
        <f t="shared" ref="Y119:AD119" si="490">Y45</f>
        <v>27759.747000000018</v>
      </c>
      <c r="Z119" s="6">
        <f t="shared" si="490"/>
        <v>28493.409999999974</v>
      </c>
      <c r="AA119" s="6">
        <f t="shared" si="490"/>
        <v>30618.053999999946</v>
      </c>
      <c r="AB119" s="6">
        <f t="shared" si="490"/>
        <v>19510.074000000022</v>
      </c>
      <c r="AC119" s="6">
        <f t="shared" si="490"/>
        <v>30526.786000000022</v>
      </c>
      <c r="AD119" s="6">
        <f t="shared" si="490"/>
        <v>83383.712999999989</v>
      </c>
      <c r="AE119" s="6">
        <f t="shared" ref="AE119:AJ119" si="491">AE45</f>
        <v>95982.729000000094</v>
      </c>
      <c r="AF119" s="6">
        <f t="shared" si="491"/>
        <v>80893.746000000014</v>
      </c>
      <c r="AG119" s="6">
        <f t="shared" si="491"/>
        <v>54846.565999999948</v>
      </c>
      <c r="AH119" s="6">
        <f t="shared" si="491"/>
        <v>60714.269000000029</v>
      </c>
      <c r="AI119" s="6">
        <f t="shared" si="491"/>
        <v>-60.298000000024331</v>
      </c>
      <c r="AJ119" s="6">
        <f t="shared" si="491"/>
        <v>35724.278000000078</v>
      </c>
      <c r="AK119" s="6">
        <f t="shared" ref="AK119:AP119" si="492">AK45</f>
        <v>72018.19499999992</v>
      </c>
      <c r="AL119" s="6">
        <f t="shared" si="492"/>
        <v>98213.768000000025</v>
      </c>
      <c r="AM119" s="6">
        <f t="shared" si="492"/>
        <v>73044.169999999969</v>
      </c>
      <c r="AN119" s="6">
        <f t="shared" si="492"/>
        <v>69327.586000000054</v>
      </c>
      <c r="AO119" s="6">
        <f t="shared" si="492"/>
        <v>70994.766999999963</v>
      </c>
      <c r="AP119" s="6">
        <f t="shared" si="492"/>
        <v>76994.890999999974</v>
      </c>
      <c r="AQ119" s="6">
        <f t="shared" ref="AQ119:AV119" si="493">AQ45</f>
        <v>48437.131000000081</v>
      </c>
      <c r="AR119" s="6">
        <f t="shared" si="493"/>
        <v>34519.733999999851</v>
      </c>
      <c r="AS119" s="6">
        <f t="shared" si="493"/>
        <v>-18515.1409999998</v>
      </c>
      <c r="AT119" s="6">
        <f t="shared" si="493"/>
        <v>-836.94099999999162</v>
      </c>
      <c r="AU119" s="6">
        <f t="shared" si="493"/>
        <v>-8170.8080000001064</v>
      </c>
      <c r="AV119" s="6">
        <f t="shared" si="493"/>
        <v>40972.486000000004</v>
      </c>
      <c r="AW119" s="6">
        <f t="shared" ref="AW119:BB119" si="494">AW45</f>
        <v>-9756.6629999999714</v>
      </c>
      <c r="AX119" s="6">
        <f t="shared" si="494"/>
        <v>57616.205999999976</v>
      </c>
      <c r="AY119" s="6">
        <f t="shared" si="494"/>
        <v>57415.119000000006</v>
      </c>
      <c r="AZ119" s="6">
        <f t="shared" si="494"/>
        <v>81502.304999999906</v>
      </c>
      <c r="BA119" s="6">
        <f t="shared" si="494"/>
        <v>64414.880000000063</v>
      </c>
      <c r="BB119" s="6">
        <f t="shared" si="494"/>
        <v>125995.59299999991</v>
      </c>
      <c r="BC119" s="6">
        <f>BC45</f>
        <v>116514.39399999997</v>
      </c>
      <c r="BD119" s="6">
        <f>BD45</f>
        <v>101117.74100000021</v>
      </c>
      <c r="BE119" s="6">
        <f>BE45</f>
        <v>59421.933000000048</v>
      </c>
      <c r="BF119" s="6">
        <f>BF45</f>
        <v>177063.296</v>
      </c>
      <c r="BG119" s="142"/>
      <c r="BH119" s="6">
        <f>BH45</f>
        <v>85005.839999999982</v>
      </c>
      <c r="BI119" s="6">
        <f>BI45</f>
        <v>80910.340000000055</v>
      </c>
      <c r="BJ119" s="6">
        <f>BJ45</f>
        <v>69070.52899999998</v>
      </c>
      <c r="BK119" s="6">
        <f>BK45</f>
        <v>238068.21800000008</v>
      </c>
      <c r="BL119" s="6">
        <f>BL45</f>
        <v>83383.712999999989</v>
      </c>
      <c r="BM119" s="6"/>
      <c r="BN119" s="6">
        <f t="shared" ref="BN119:BS119" si="495">BN45</f>
        <v>55628.945000000007</v>
      </c>
      <c r="BO119" s="6">
        <f t="shared" si="495"/>
        <v>52838.575999999972</v>
      </c>
      <c r="BP119" s="6">
        <f t="shared" si="495"/>
        <v>59111.463999999949</v>
      </c>
      <c r="BQ119" s="6">
        <f t="shared" si="495"/>
        <v>179366.44199999998</v>
      </c>
      <c r="BR119" s="6">
        <f t="shared" si="495"/>
        <v>60653.970999999961</v>
      </c>
      <c r="BS119" s="6">
        <f t="shared" si="495"/>
        <v>171257.93799999999</v>
      </c>
      <c r="BT119" s="6">
        <f>BT45</f>
        <v>125432.022</v>
      </c>
      <c r="BU119" s="6">
        <f>BU45</f>
        <v>-9007.7490000000689</v>
      </c>
      <c r="BV119" s="6">
        <f>BV45</f>
        <v>115031.3249999999</v>
      </c>
      <c r="BW119" s="6">
        <f>BW45</f>
        <v>242509.98700000002</v>
      </c>
      <c r="BX119" s="6"/>
      <c r="BY119" s="6">
        <f>BY45</f>
        <v>165916.18000000002</v>
      </c>
      <c r="BZ119" s="6">
        <f>BZ45</f>
        <v>179366.44199999998</v>
      </c>
      <c r="CA119" s="6"/>
      <c r="CC119" s="6">
        <f>CC45</f>
        <v>30155.957999999999</v>
      </c>
      <c r="CD119" s="6">
        <f>CD45</f>
        <v>60147.445</v>
      </c>
      <c r="CE119" s="6">
        <f>CE45</f>
        <v>91648.225000000006</v>
      </c>
      <c r="CG119" s="260"/>
      <c r="CH119" s="6"/>
    </row>
    <row r="120" spans="1:86" ht="13.5" customHeight="1">
      <c r="B120" s="7" t="s">
        <v>353</v>
      </c>
      <c r="C120" s="145">
        <v>15489.687</v>
      </c>
      <c r="D120" s="145">
        <v>15638.352999999999</v>
      </c>
      <c r="E120" s="145">
        <v>16810.784</v>
      </c>
      <c r="F120" s="145">
        <v>19762.996999999999</v>
      </c>
      <c r="G120" s="6">
        <f t="shared" ref="G120:L120" si="496">-G42</f>
        <v>19762.996999999999</v>
      </c>
      <c r="H120" s="6">
        <f t="shared" si="496"/>
        <v>21175.298999999999</v>
      </c>
      <c r="I120" s="6">
        <f t="shared" si="496"/>
        <v>21175.298999999999</v>
      </c>
      <c r="J120" s="6">
        <f t="shared" si="496"/>
        <v>34996.500999999997</v>
      </c>
      <c r="K120" s="6">
        <f t="shared" si="496"/>
        <v>37506.177000000003</v>
      </c>
      <c r="L120" s="6">
        <f t="shared" si="496"/>
        <v>39291.807000000001</v>
      </c>
      <c r="M120" s="6">
        <f>-M42</f>
        <v>42622.991999999998</v>
      </c>
      <c r="N120" s="6">
        <f>-N42</f>
        <v>40364.506000000001</v>
      </c>
      <c r="O120" s="6">
        <f>-O42</f>
        <v>39942.417000000001</v>
      </c>
      <c r="P120" s="6">
        <f>-P42</f>
        <v>38973.917999999998</v>
      </c>
      <c r="Q120" s="6"/>
      <c r="R120" s="6">
        <f>BN120-S120</f>
        <v>4025.7640000000001</v>
      </c>
      <c r="S120" s="145">
        <v>4104.2330000000002</v>
      </c>
      <c r="T120" s="145">
        <v>4296.7359999999999</v>
      </c>
      <c r="U120" s="6">
        <f>E120-T120-S120-R120</f>
        <v>4384.0509999999986</v>
      </c>
      <c r="V120" s="6">
        <f>BO120-W120</f>
        <v>4544.6560000000009</v>
      </c>
      <c r="W120" s="145">
        <v>5082.4629999999997</v>
      </c>
      <c r="X120" s="145">
        <f>14646.574-W120-V120</f>
        <v>5019.4549999999999</v>
      </c>
      <c r="Y120" s="151">
        <f>F120-X120-W120-V120</f>
        <v>5116.4229999999989</v>
      </c>
      <c r="Z120" s="145">
        <v>5420.4840000000004</v>
      </c>
      <c r="AA120" s="145">
        <f>BP120-Z120</f>
        <v>3881.3199999999997</v>
      </c>
      <c r="AB120" s="145">
        <f>15415.148-AA120-Z120</f>
        <v>6113.3439999999991</v>
      </c>
      <c r="AC120" s="6">
        <f t="shared" ref="AC120:AH120" si="497">-AC42</f>
        <v>5760.1509999999998</v>
      </c>
      <c r="AD120" s="6">
        <f t="shared" si="497"/>
        <v>8842.6239999999998</v>
      </c>
      <c r="AE120" s="6">
        <f t="shared" si="497"/>
        <v>7115.8209999999999</v>
      </c>
      <c r="AF120" s="6">
        <f t="shared" si="497"/>
        <v>9087.6520000000019</v>
      </c>
      <c r="AG120" s="6">
        <f t="shared" si="497"/>
        <v>9950.403999999995</v>
      </c>
      <c r="AH120" s="6">
        <f t="shared" si="497"/>
        <v>9963.7369999999992</v>
      </c>
      <c r="AI120" s="6">
        <f t="shared" ref="AI120:AN120" si="498">-AI42</f>
        <v>9918.4580000000005</v>
      </c>
      <c r="AJ120" s="6">
        <f t="shared" si="498"/>
        <v>9443.5289999999968</v>
      </c>
      <c r="AK120" s="6">
        <f t="shared" si="498"/>
        <v>8180.4530000000104</v>
      </c>
      <c r="AL120" s="6">
        <f t="shared" si="498"/>
        <v>9394.2999999999993</v>
      </c>
      <c r="AM120" s="6">
        <f t="shared" si="498"/>
        <v>9402.6650000000009</v>
      </c>
      <c r="AN120" s="6">
        <f t="shared" si="498"/>
        <v>9567.7489999999998</v>
      </c>
      <c r="AO120" s="6">
        <f t="shared" ref="AO120:AT120" si="499">-AO42</f>
        <v>10927.093000000001</v>
      </c>
      <c r="AP120" s="6">
        <f t="shared" si="499"/>
        <v>10636.787</v>
      </c>
      <c r="AQ120" s="6">
        <f t="shared" si="499"/>
        <v>10991.736000000001</v>
      </c>
      <c r="AR120" s="6">
        <f t="shared" si="499"/>
        <v>11258.909</v>
      </c>
      <c r="AS120" s="6">
        <f t="shared" si="499"/>
        <v>9735.5599999999977</v>
      </c>
      <c r="AT120" s="6">
        <f t="shared" si="499"/>
        <v>9573.1190000000006</v>
      </c>
      <c r="AU120" s="6">
        <f t="shared" ref="AU120:AZ120" si="500">-AU42</f>
        <v>9855.3289999999997</v>
      </c>
      <c r="AV120" s="6">
        <f t="shared" si="500"/>
        <v>10738.878999999999</v>
      </c>
      <c r="AW120" s="6">
        <f t="shared" si="500"/>
        <v>10197.179000000002</v>
      </c>
      <c r="AX120" s="6">
        <f t="shared" si="500"/>
        <v>10113.516</v>
      </c>
      <c r="AY120" s="6">
        <f t="shared" si="500"/>
        <v>9504.0730000000003</v>
      </c>
      <c r="AZ120" s="6">
        <f t="shared" si="500"/>
        <v>9052.4540000000015</v>
      </c>
      <c r="BA120" s="6">
        <f t="shared" ref="BA120:BF120" si="501">-BA42</f>
        <v>11272.374</v>
      </c>
      <c r="BB120" s="6">
        <f t="shared" si="501"/>
        <v>8673.0059999999994</v>
      </c>
      <c r="BC120" s="6">
        <f t="shared" si="501"/>
        <v>9110.6530000000002</v>
      </c>
      <c r="BD120" s="6">
        <f t="shared" si="501"/>
        <v>9653.3370000000014</v>
      </c>
      <c r="BE120" s="6">
        <f t="shared" si="501"/>
        <v>11536.922</v>
      </c>
      <c r="BF120" s="6">
        <f t="shared" si="501"/>
        <v>10525.775</v>
      </c>
      <c r="BG120" s="142"/>
      <c r="BH120" s="6">
        <f>-BH42</f>
        <v>5420.4830000000002</v>
      </c>
      <c r="BI120" s="6">
        <f>-BI42</f>
        <v>3881.3209999999999</v>
      </c>
      <c r="BJ120" s="6">
        <f>-BJ42</f>
        <v>6113.3439999999991</v>
      </c>
      <c r="BK120" s="6">
        <f>-BK42</f>
        <v>5760.1509999999998</v>
      </c>
      <c r="BL120" s="6">
        <f>-BL42</f>
        <v>8842.6239999999998</v>
      </c>
      <c r="BM120" s="6"/>
      <c r="BN120" s="145">
        <v>8129.9970000000003</v>
      </c>
      <c r="BO120" s="145">
        <v>9627.1190000000006</v>
      </c>
      <c r="BP120" s="145">
        <v>9301.8040000000001</v>
      </c>
      <c r="BQ120" s="6">
        <f t="shared" ref="BQ120:BV120" si="502">-BQ42</f>
        <v>15958.445</v>
      </c>
      <c r="BR120" s="6">
        <f t="shared" si="502"/>
        <v>19882.195</v>
      </c>
      <c r="BS120" s="6">
        <f t="shared" si="502"/>
        <v>18796.965</v>
      </c>
      <c r="BT120" s="6">
        <f t="shared" si="502"/>
        <v>21628.523000000001</v>
      </c>
      <c r="BU120" s="6">
        <f t="shared" si="502"/>
        <v>19428.448</v>
      </c>
      <c r="BV120" s="6">
        <f t="shared" si="502"/>
        <v>19617.589</v>
      </c>
      <c r="BW120" s="6">
        <f>-BW42</f>
        <v>17783.659</v>
      </c>
      <c r="BX120" s="145"/>
      <c r="BY120" s="6">
        <f>-BY42</f>
        <v>9301.8040000000001</v>
      </c>
      <c r="BZ120" s="6">
        <f>-BZ42</f>
        <v>15958.445</v>
      </c>
      <c r="CA120" s="145"/>
      <c r="CC120" s="145">
        <v>3800.0390000000002</v>
      </c>
      <c r="CD120" s="1">
        <v>7570.7849999999999</v>
      </c>
      <c r="CE120" s="1">
        <v>11336.748</v>
      </c>
      <c r="CG120" s="260"/>
      <c r="CH120" s="6"/>
    </row>
    <row r="121" spans="1:86" ht="13.5" customHeight="1">
      <c r="B121" s="5" t="s">
        <v>354</v>
      </c>
      <c r="C121" s="8">
        <f t="shared" ref="C121:H121" si="503">C119+C120</f>
        <v>119100.87900000004</v>
      </c>
      <c r="D121" s="8">
        <f t="shared" si="503"/>
        <v>139068.44299999994</v>
      </c>
      <c r="E121" s="8">
        <f t="shared" si="503"/>
        <v>130075.97400000003</v>
      </c>
      <c r="F121" s="8">
        <f t="shared" si="503"/>
        <v>129602.10500000001</v>
      </c>
      <c r="G121" s="8">
        <f t="shared" si="503"/>
        <v>129602.10500000001</v>
      </c>
      <c r="H121" s="8">
        <f t="shared" si="503"/>
        <v>130323.62299999996</v>
      </c>
      <c r="I121" s="8">
        <f t="shared" ref="I121:N121" si="504">I119+I120</f>
        <v>337865.05499999988</v>
      </c>
      <c r="J121" s="8">
        <f t="shared" si="504"/>
        <v>350103.25499999995</v>
      </c>
      <c r="K121" s="8">
        <f t="shared" si="504"/>
        <v>205902.62100000001</v>
      </c>
      <c r="L121" s="8">
        <f t="shared" si="504"/>
        <v>350872.09799999988</v>
      </c>
      <c r="M121" s="8">
        <f>M119+M120</f>
        <v>184059.60699999976</v>
      </c>
      <c r="N121" s="8">
        <f t="shared" si="504"/>
        <v>62572.579999999907</v>
      </c>
      <c r="O121" s="8">
        <f>O119+O120</f>
        <v>300890.92700000014</v>
      </c>
      <c r="P121" s="8">
        <f>P119+P120</f>
        <v>442023.57900000009</v>
      </c>
      <c r="Q121" s="8"/>
      <c r="R121" s="8">
        <f t="shared" ref="R121:W121" si="505">R119+R120</f>
        <v>34326.627999999997</v>
      </c>
      <c r="S121" s="8">
        <f t="shared" si="505"/>
        <v>29432.31400000002</v>
      </c>
      <c r="T121" s="8">
        <f t="shared" si="505"/>
        <v>34695.350999999995</v>
      </c>
      <c r="U121" s="8">
        <f t="shared" si="505"/>
        <v>31621.68100000007</v>
      </c>
      <c r="V121" s="8">
        <f t="shared" si="505"/>
        <v>31420.90300000002</v>
      </c>
      <c r="W121" s="8">
        <f t="shared" si="505"/>
        <v>31044.791999999969</v>
      </c>
      <c r="X121" s="8">
        <f t="shared" ref="X121:AC121" si="506">X119+X120</f>
        <v>34260.239999999976</v>
      </c>
      <c r="Y121" s="8">
        <f t="shared" si="506"/>
        <v>32876.170000000013</v>
      </c>
      <c r="Z121" s="8">
        <f t="shared" si="506"/>
        <v>33913.893999999971</v>
      </c>
      <c r="AA121" s="8">
        <f t="shared" si="506"/>
        <v>34499.373999999945</v>
      </c>
      <c r="AB121" s="8">
        <f t="shared" si="506"/>
        <v>25623.41800000002</v>
      </c>
      <c r="AC121" s="8">
        <f t="shared" si="506"/>
        <v>36286.93700000002</v>
      </c>
      <c r="AD121" s="8">
        <f t="shared" ref="AD121:AI121" si="507">AD119+AD120</f>
        <v>92226.336999999985</v>
      </c>
      <c r="AE121" s="8">
        <f t="shared" si="507"/>
        <v>103098.55000000009</v>
      </c>
      <c r="AF121" s="8">
        <f t="shared" si="507"/>
        <v>89981.398000000016</v>
      </c>
      <c r="AG121" s="8">
        <f t="shared" si="507"/>
        <v>64796.969999999943</v>
      </c>
      <c r="AH121" s="8">
        <f t="shared" si="507"/>
        <v>70678.006000000023</v>
      </c>
      <c r="AI121" s="8">
        <f t="shared" si="507"/>
        <v>9858.1599999999762</v>
      </c>
      <c r="AJ121" s="8">
        <f t="shared" ref="AJ121:AO121" si="508">AJ119+AJ120</f>
        <v>45167.807000000073</v>
      </c>
      <c r="AK121" s="8">
        <f t="shared" si="508"/>
        <v>80198.647999999928</v>
      </c>
      <c r="AL121" s="8">
        <f t="shared" si="508"/>
        <v>107608.06800000003</v>
      </c>
      <c r="AM121" s="8">
        <f t="shared" si="508"/>
        <v>82446.834999999963</v>
      </c>
      <c r="AN121" s="8">
        <f t="shared" si="508"/>
        <v>78895.33500000005</v>
      </c>
      <c r="AO121" s="8">
        <f t="shared" si="508"/>
        <v>81921.859999999957</v>
      </c>
      <c r="AP121" s="8">
        <f t="shared" ref="AP121:AU121" si="509">AP119+AP120</f>
        <v>87631.677999999971</v>
      </c>
      <c r="AQ121" s="8">
        <f t="shared" si="509"/>
        <v>59428.867000000086</v>
      </c>
      <c r="AR121" s="8">
        <f t="shared" si="509"/>
        <v>45778.642999999851</v>
      </c>
      <c r="AS121" s="8">
        <f t="shared" si="509"/>
        <v>-8779.5809999998019</v>
      </c>
      <c r="AT121" s="8">
        <f t="shared" si="509"/>
        <v>8736.178000000009</v>
      </c>
      <c r="AU121" s="8">
        <f t="shared" si="509"/>
        <v>1684.5209999998933</v>
      </c>
      <c r="AV121" s="8">
        <f t="shared" ref="AV121:BA121" si="510">AV119+AV120</f>
        <v>51711.365000000005</v>
      </c>
      <c r="AW121" s="8">
        <f t="shared" si="510"/>
        <v>440.51600000003054</v>
      </c>
      <c r="AX121" s="8">
        <f t="shared" si="510"/>
        <v>67729.72199999998</v>
      </c>
      <c r="AY121" s="8">
        <f t="shared" si="510"/>
        <v>66919.19200000001</v>
      </c>
      <c r="AZ121" s="8">
        <f t="shared" si="510"/>
        <v>90554.758999999904</v>
      </c>
      <c r="BA121" s="8">
        <f t="shared" si="510"/>
        <v>75687.254000000059</v>
      </c>
      <c r="BB121" s="8">
        <f>BB119+BB120</f>
        <v>134668.5989999999</v>
      </c>
      <c r="BC121" s="8">
        <f>BC119+BC120</f>
        <v>125625.04699999998</v>
      </c>
      <c r="BD121" s="8">
        <f>BD119+BD120</f>
        <v>110771.07800000021</v>
      </c>
      <c r="BE121" s="8">
        <f>BE119+BE120</f>
        <v>70958.855000000054</v>
      </c>
      <c r="BF121" s="8">
        <f>BF119+BF120</f>
        <v>187589.071</v>
      </c>
      <c r="BG121" s="142"/>
      <c r="BH121" s="8">
        <f>BH119+BH120</f>
        <v>90426.322999999975</v>
      </c>
      <c r="BI121" s="8">
        <f>BI119+BI120</f>
        <v>84791.661000000051</v>
      </c>
      <c r="BJ121" s="8">
        <f>BJ119+BJ120</f>
        <v>75183.872999999978</v>
      </c>
      <c r="BK121" s="8">
        <f>BK119+BK120</f>
        <v>243828.36900000009</v>
      </c>
      <c r="BL121" s="8">
        <f>BL119+BL120</f>
        <v>92226.336999999985</v>
      </c>
      <c r="BM121" s="8"/>
      <c r="BN121" s="8">
        <f t="shared" ref="BN121:BS121" si="511">BN119+BN120</f>
        <v>63758.94200000001</v>
      </c>
      <c r="BO121" s="8">
        <f t="shared" si="511"/>
        <v>62465.694999999971</v>
      </c>
      <c r="BP121" s="8">
        <f t="shared" si="511"/>
        <v>68413.267999999953</v>
      </c>
      <c r="BQ121" s="8">
        <f t="shared" si="511"/>
        <v>195324.88699999999</v>
      </c>
      <c r="BR121" s="8">
        <f t="shared" si="511"/>
        <v>80536.165999999968</v>
      </c>
      <c r="BS121" s="8">
        <f t="shared" si="511"/>
        <v>190054.90299999999</v>
      </c>
      <c r="BT121" s="8">
        <f>BT119+BT120</f>
        <v>147060.54499999998</v>
      </c>
      <c r="BU121" s="8">
        <f>BU119+BU120</f>
        <v>10420.698999999931</v>
      </c>
      <c r="BV121" s="8">
        <f>BV119+BV120</f>
        <v>134648.9139999999</v>
      </c>
      <c r="BW121" s="8">
        <f>BW119+BW120</f>
        <v>260293.64600000001</v>
      </c>
      <c r="BX121" s="8"/>
      <c r="BY121" s="8">
        <f>BY119+BY120</f>
        <v>175217.98400000003</v>
      </c>
      <c r="BZ121" s="8">
        <f>BZ119+BZ120</f>
        <v>195324.88699999999</v>
      </c>
      <c r="CA121" s="8"/>
      <c r="CB121" s="5"/>
      <c r="CC121" s="8">
        <f>CC119+CC120</f>
        <v>33955.996999999996</v>
      </c>
      <c r="CD121" s="8">
        <f>CD119+CD120</f>
        <v>67718.23</v>
      </c>
      <c r="CE121" s="8">
        <f>CE119+CE120</f>
        <v>102984.973</v>
      </c>
      <c r="CG121" s="260"/>
      <c r="CH121" s="6"/>
    </row>
    <row r="122" spans="1:86" ht="13.5" customHeight="1">
      <c r="B122" s="20" t="s">
        <v>283</v>
      </c>
      <c r="C122" s="173">
        <f>C121/(76840.194+11738.118)-1</f>
        <v>0.34458284777429538</v>
      </c>
      <c r="D122" s="21">
        <f>+D121/C121-1</f>
        <v>0.16765253260641244</v>
      </c>
      <c r="E122" s="21">
        <f>+E121/D121-1</f>
        <v>-6.466218220333364E-2</v>
      </c>
      <c r="F122" s="21">
        <f>+F121/E121-1</f>
        <v>-3.643017118595826E-3</v>
      </c>
      <c r="G122" s="21"/>
      <c r="H122" s="21">
        <f>+H121/G121-1</f>
        <v>5.5671780948307603E-3</v>
      </c>
      <c r="I122" s="21">
        <f>+I121/G121-1</f>
        <v>1.6069411063963801</v>
      </c>
      <c r="J122" s="21">
        <f t="shared" ref="J122:P122" si="512">+J121/I121-1</f>
        <v>3.6222153841864779E-2</v>
      </c>
      <c r="K122" s="21">
        <f t="shared" si="512"/>
        <v>-0.41188030085581451</v>
      </c>
      <c r="L122" s="21">
        <f t="shared" si="512"/>
        <v>0.70406814782605354</v>
      </c>
      <c r="M122" s="21">
        <f t="shared" si="512"/>
        <v>-0.47542250281753717</v>
      </c>
      <c r="N122" s="21">
        <f t="shared" si="512"/>
        <v>-0.6600417602760611</v>
      </c>
      <c r="O122" s="21">
        <f t="shared" si="512"/>
        <v>3.8086706189835962</v>
      </c>
      <c r="P122" s="21">
        <f t="shared" si="512"/>
        <v>0.46904921131104715</v>
      </c>
      <c r="Q122" s="220"/>
      <c r="R122" s="173">
        <f>R121/(30155.958+3800.039)-1</f>
        <v>1.0915038071183769E-2</v>
      </c>
      <c r="S122" s="173">
        <f>S121/(60147.445+7570.785-30155.958-3800.039)-1</f>
        <v>-0.12824741183440025</v>
      </c>
      <c r="T122" s="173">
        <f>T121/(91648.225+11336.748-60147.445-7570.785)-1</f>
        <v>-1.6202006519286605E-2</v>
      </c>
      <c r="U122" s="173">
        <f>U121/(123961.304+15638.353-91648.225-11336.748)-1</f>
        <v>-0.13636613660246066</v>
      </c>
      <c r="V122" s="64">
        <f t="shared" ref="V122:AC122" si="513">V121/R121-1</f>
        <v>-8.4649299080584828E-2</v>
      </c>
      <c r="W122" s="64">
        <f t="shared" si="513"/>
        <v>5.4785974354579992E-2</v>
      </c>
      <c r="X122" s="35">
        <f t="shared" si="513"/>
        <v>-1.2540902093771011E-2</v>
      </c>
      <c r="Y122" s="35">
        <f>Y121/U121-1</f>
        <v>3.9671799864148261E-2</v>
      </c>
      <c r="Z122" s="35">
        <f>Z121/V121-1</f>
        <v>7.9341799947632019E-2</v>
      </c>
      <c r="AA122" s="64">
        <f t="shared" si="513"/>
        <v>0.11127734403889655</v>
      </c>
      <c r="AB122" s="64">
        <f t="shared" si="513"/>
        <v>-0.25209461463200378</v>
      </c>
      <c r="AC122" s="64">
        <f t="shared" si="513"/>
        <v>0.10374587429131821</v>
      </c>
      <c r="AD122" s="35">
        <f>AD121/BH121-1</f>
        <v>1.990586303061348E-2</v>
      </c>
      <c r="AE122" s="64">
        <f>+AE121/BI121-1</f>
        <v>0.21590435644373129</v>
      </c>
      <c r="AF122" s="35">
        <f>AF121/BJ121-1</f>
        <v>0.19681780692516382</v>
      </c>
      <c r="AG122" s="64">
        <f>AG121/AC121-1</f>
        <v>0.78568309582040241</v>
      </c>
      <c r="AH122" s="35">
        <f>AH121/BL121-1</f>
        <v>-0.23364617636283191</v>
      </c>
      <c r="AI122" s="64">
        <f>+AI121/AE121-1</f>
        <v>-0.90438119643777759</v>
      </c>
      <c r="AJ122" s="35">
        <f>AJ121/AF121-1</f>
        <v>-0.49803172651307259</v>
      </c>
      <c r="AK122" s="64">
        <f>AK121/AG121-1</f>
        <v>0.23769133031992085</v>
      </c>
      <c r="AL122" s="64">
        <f>AL121/AH121-1</f>
        <v>0.52251137362307576</v>
      </c>
      <c r="AM122" s="64">
        <f>+AM121/AI121-1</f>
        <v>7.363308670177819</v>
      </c>
      <c r="AN122" s="35">
        <f>AN121/AJ121-1</f>
        <v>0.74671608475478823</v>
      </c>
      <c r="AO122" s="64">
        <f>AO121/AK121-1</f>
        <v>2.1486796136513719E-2</v>
      </c>
      <c r="AP122" s="64">
        <f>AP121/AL121-1</f>
        <v>-0.18564026258700284</v>
      </c>
      <c r="AQ122" s="64">
        <f>+AQ121/AM121-1</f>
        <v>-0.27918558668746818</v>
      </c>
      <c r="AR122" s="35">
        <f>AR121/AN121-1</f>
        <v>-0.41975475482802849</v>
      </c>
      <c r="AS122" s="64">
        <f>AS121/AO121-1</f>
        <v>-1.1071701863214507</v>
      </c>
      <c r="AT122" s="64">
        <f>AT121/AP121-1</f>
        <v>-0.90030799136357964</v>
      </c>
      <c r="AU122" s="64">
        <f>+AU121/AQ121-1</f>
        <v>-0.97165483568785027</v>
      </c>
      <c r="AV122" s="35">
        <f>AV121/AR121-1</f>
        <v>0.12959584669209567</v>
      </c>
      <c r="AW122" s="64">
        <f>AW121/AS121-1</f>
        <v>-1.0501750596070634</v>
      </c>
      <c r="AX122" s="64">
        <f>AX121/AT121-1</f>
        <v>6.7527864015591152</v>
      </c>
      <c r="AY122" s="64">
        <f>+AY121/AU121-1</f>
        <v>38.725947019956564</v>
      </c>
      <c r="AZ122" s="35">
        <f>AZ121/AV121-1</f>
        <v>0.75115777740540968</v>
      </c>
      <c r="BA122" s="64">
        <f>BA121/AW121-1</f>
        <v>170.81499423402286</v>
      </c>
      <c r="BB122" s="64">
        <f>BB121/AX121-1</f>
        <v>0.98832351622526882</v>
      </c>
      <c r="BC122" s="64">
        <f>+BC121/AY121-1</f>
        <v>0.87726485101613227</v>
      </c>
      <c r="BD122" s="35">
        <f>BD121/AZ121-1</f>
        <v>0.22324965825374599</v>
      </c>
      <c r="BE122" s="64">
        <f>BE121/BA121-1</f>
        <v>-6.247285705463701E-2</v>
      </c>
      <c r="BF122" s="64">
        <f>BF121/BB121-1</f>
        <v>0.39296816327613349</v>
      </c>
      <c r="BG122" s="142"/>
      <c r="BH122" s="35">
        <f>BH121/V121-1</f>
        <v>1.8779033817073914</v>
      </c>
      <c r="BI122" s="35">
        <f>BI121/W121-1</f>
        <v>1.7312684523703732</v>
      </c>
      <c r="BJ122" s="35">
        <f>BJ121/X121-1</f>
        <v>1.1944934711490647</v>
      </c>
      <c r="BK122" s="64">
        <f>BK121/Y121-1</f>
        <v>6.4165685662289738</v>
      </c>
      <c r="BL122" s="35">
        <f>BL121/BH121-1</f>
        <v>1.990586303061348E-2</v>
      </c>
      <c r="BM122" s="54"/>
      <c r="BN122" s="198">
        <f>BN121/CD121-1</f>
        <v>-5.8467092243846053E-2</v>
      </c>
      <c r="BO122" s="21">
        <f>+BO121/BN121-1</f>
        <v>-2.0283382368547431E-2</v>
      </c>
      <c r="BP122" s="21">
        <f>+BP121/BO121-1</f>
        <v>9.5213428746770301E-2</v>
      </c>
      <c r="BQ122" s="21">
        <f>+BQ121/BY121-1</f>
        <v>0.11475364880353811</v>
      </c>
      <c r="BR122" s="21">
        <f>+BR121/BZ121-1</f>
        <v>-0.58768097994599133</v>
      </c>
      <c r="BS122" s="21">
        <f>(BS121/BR121)-1</f>
        <v>1.35987026002703</v>
      </c>
      <c r="BT122" s="21">
        <f>(BT121/BS121)-1</f>
        <v>-0.22622072528168358</v>
      </c>
      <c r="BU122" s="21">
        <f>(BU121/BT121)-1</f>
        <v>-0.92914007628626749</v>
      </c>
      <c r="BV122" s="21">
        <f>(BV121/BU121)-1</f>
        <v>11.921293859461903</v>
      </c>
      <c r="BW122" s="21">
        <f>(BW121/BV121)-1</f>
        <v>0.93312844691788754</v>
      </c>
      <c r="BX122" s="220"/>
      <c r="BY122" s="21">
        <f>+BY121/BO121-1</f>
        <v>1.8050273674214319</v>
      </c>
      <c r="BZ122" s="21">
        <f>+BZ121/BY121-1</f>
        <v>0.11475364880353811</v>
      </c>
      <c r="CA122" s="220"/>
      <c r="CB122" s="49"/>
      <c r="CC122" s="21"/>
      <c r="CD122" s="22"/>
      <c r="CE122" s="22"/>
      <c r="CG122" s="260"/>
      <c r="CH122" s="6"/>
    </row>
    <row r="123" spans="1:86" ht="13.5" customHeight="1">
      <c r="B123" s="20" t="s">
        <v>355</v>
      </c>
      <c r="C123" s="21">
        <f t="shared" ref="C123:H123" si="514">C121/(C29+C32+C37)</f>
        <v>0.21525227662574026</v>
      </c>
      <c r="D123" s="21">
        <f t="shared" si="514"/>
        <v>0.22308669296959921</v>
      </c>
      <c r="E123" s="21">
        <f t="shared" si="514"/>
        <v>0.18849439577136717</v>
      </c>
      <c r="F123" s="21">
        <f t="shared" si="514"/>
        <v>0.17898533406530703</v>
      </c>
      <c r="G123" s="21">
        <f t="shared" si="514"/>
        <v>0.17837608343801073</v>
      </c>
      <c r="H123" s="21">
        <f t="shared" si="514"/>
        <v>0.17314563394551516</v>
      </c>
      <c r="I123" s="21">
        <f t="shared" ref="I123:N123" si="515">I121/(I29+I32+I37)</f>
        <v>0.26805238143412335</v>
      </c>
      <c r="J123" s="21">
        <f t="shared" si="515"/>
        <v>0.25796151846748205</v>
      </c>
      <c r="K123" s="21">
        <f t="shared" si="515"/>
        <v>0.17335511408075316</v>
      </c>
      <c r="L123" s="21">
        <f t="shared" si="515"/>
        <v>0.30873066372294566</v>
      </c>
      <c r="M123" s="21">
        <f>M121/(M29+M32+M37)</f>
        <v>0.10105944683332756</v>
      </c>
      <c r="N123" s="21">
        <f t="shared" si="515"/>
        <v>3.310289627586098E-2</v>
      </c>
      <c r="O123" s="21">
        <f>O121/(O29+O32+O37)</f>
        <v>0.16428521954320827</v>
      </c>
      <c r="P123" s="21">
        <f>P121/(P29+P32+P37)</f>
        <v>0.22399892492332577</v>
      </c>
      <c r="Q123" s="220"/>
      <c r="R123" s="21">
        <f t="shared" ref="R123:X123" si="516">R121/(R29+R32+R37)</f>
        <v>0.20912103903633406</v>
      </c>
      <c r="S123" s="21">
        <f t="shared" si="516"/>
        <v>0.17186025518593251</v>
      </c>
      <c r="T123" s="21">
        <f t="shared" si="516"/>
        <v>0.19870186996297715</v>
      </c>
      <c r="U123" s="21">
        <f t="shared" si="516"/>
        <v>0.1756133467134485</v>
      </c>
      <c r="V123" s="64">
        <f t="shared" si="516"/>
        <v>0.17478585954278233</v>
      </c>
      <c r="W123" s="64">
        <f t="shared" si="516"/>
        <v>0.16616211190403019</v>
      </c>
      <c r="X123" s="64">
        <f t="shared" si="516"/>
        <v>0.19259622462438125</v>
      </c>
      <c r="Y123" s="21">
        <f t="shared" ref="Y123:AD123" si="517">Y121/(Y29+Y32+Y37)</f>
        <v>0.18304735375923609</v>
      </c>
      <c r="Z123" s="21">
        <f t="shared" si="517"/>
        <v>0.19033806950752241</v>
      </c>
      <c r="AA123" s="64">
        <f t="shared" si="517"/>
        <v>0.18734268562817544</v>
      </c>
      <c r="AB123" s="64">
        <f t="shared" si="517"/>
        <v>0.13277348671706965</v>
      </c>
      <c r="AC123" s="64">
        <f t="shared" si="517"/>
        <v>0.18385434142758467</v>
      </c>
      <c r="AD123" s="21">
        <f t="shared" si="517"/>
        <v>0.28348938855967759</v>
      </c>
      <c r="AE123" s="64">
        <f t="shared" ref="AE123:AJ123" si="518">AE121/(AE29+AE32+AE37)</f>
        <v>0.30319595588193904</v>
      </c>
      <c r="AF123" s="21">
        <f t="shared" si="518"/>
        <v>0.2627464765582071</v>
      </c>
      <c r="AG123" s="64">
        <f t="shared" si="518"/>
        <v>0.1854721801247155</v>
      </c>
      <c r="AH123" s="21">
        <f t="shared" si="518"/>
        <v>0.20135620879230284</v>
      </c>
      <c r="AI123" s="64">
        <f t="shared" si="518"/>
        <v>3.2923701075453636E-2</v>
      </c>
      <c r="AJ123" s="21">
        <f t="shared" si="518"/>
        <v>0.16817666509907658</v>
      </c>
      <c r="AK123" s="64">
        <f t="shared" ref="AK123:AP123" si="519">AK121/(AK29+AK32+AK37)</f>
        <v>0.2984216976861031</v>
      </c>
      <c r="AL123" s="21">
        <f t="shared" si="519"/>
        <v>0.4120853819018433</v>
      </c>
      <c r="AM123" s="64">
        <f t="shared" si="519"/>
        <v>0.31964744166213149</v>
      </c>
      <c r="AN123" s="21">
        <f t="shared" si="519"/>
        <v>0.28234073204387228</v>
      </c>
      <c r="AO123" s="64">
        <f t="shared" si="519"/>
        <v>0.2423688424767432</v>
      </c>
      <c r="AP123" s="21">
        <f t="shared" si="519"/>
        <v>0.22620674736122279</v>
      </c>
      <c r="AQ123" s="64">
        <f t="shared" ref="AQ123:AV123" si="520">AQ121/(AQ29+AQ32+AQ37)</f>
        <v>0.13080287173396457</v>
      </c>
      <c r="AR123" s="21">
        <f t="shared" si="520"/>
        <v>9.5005074299210429E-2</v>
      </c>
      <c r="AS123" s="64">
        <f t="shared" si="520"/>
        <v>-1.7639949723984701E-2</v>
      </c>
      <c r="AT123" s="21">
        <f t="shared" si="520"/>
        <v>1.8477076212854392E-2</v>
      </c>
      <c r="AU123" s="64">
        <f t="shared" si="520"/>
        <v>3.5955266391966881E-3</v>
      </c>
      <c r="AV123" s="21">
        <f t="shared" si="520"/>
        <v>0.10741872594035176</v>
      </c>
      <c r="AW123" s="64">
        <f t="shared" ref="AW123:BB123" si="521">AW121/(AW29+AW32+AW37)</f>
        <v>9.4222259220560307E-4</v>
      </c>
      <c r="AX123" s="21">
        <f t="shared" si="521"/>
        <v>0.14392992320995754</v>
      </c>
      <c r="AY123" s="64">
        <f t="shared" si="521"/>
        <v>0.14622900229039298</v>
      </c>
      <c r="AZ123" s="21">
        <f t="shared" si="521"/>
        <v>0.20483099143062236</v>
      </c>
      <c r="BA123" s="64">
        <f t="shared" si="521"/>
        <v>0.16410463847477252</v>
      </c>
      <c r="BB123" s="21">
        <f t="shared" si="521"/>
        <v>0.2861587602879414</v>
      </c>
      <c r="BC123" s="64">
        <f>BC121/(BC29+BC32+BC37)</f>
        <v>0.25781378600610849</v>
      </c>
      <c r="BD123" s="21">
        <f>BD121/(BD29+BD32+BD37)</f>
        <v>0.22369611876935466</v>
      </c>
      <c r="BE123" s="64">
        <f>BE121/(BE29+BE32+BE37)</f>
        <v>0.13638982100728728</v>
      </c>
      <c r="BF123" s="21">
        <f>BF121/(BF29+BF32+BF37)</f>
        <v>0.32676430019127028</v>
      </c>
      <c r="BG123" s="142"/>
      <c r="BH123" s="21">
        <f>BH121/(BH29+BH32+BH37)</f>
        <v>0.29973360246171932</v>
      </c>
      <c r="BI123" s="21">
        <f>BI121/(BI29+BI32+BI37)</f>
        <v>0.27302546236329839</v>
      </c>
      <c r="BJ123" s="21">
        <f>BJ121/(BJ29+BJ32+BJ37)</f>
        <v>0.23524763541371013</v>
      </c>
      <c r="BK123" s="64">
        <f>BK121/(BK29+BK32+BK37)</f>
        <v>0.34579213832209194</v>
      </c>
      <c r="BL123" s="21">
        <f>BL121/(BL29+BL32+BL37)</f>
        <v>0.28348938855967759</v>
      </c>
      <c r="BM123" s="220"/>
      <c r="BN123" s="21">
        <f t="shared" ref="BN123:BS123" si="522">BN121/(BN29+BN32+BN37)</f>
        <v>0.19009571078344342</v>
      </c>
      <c r="BO123" s="21">
        <f t="shared" si="522"/>
        <v>0.17039087307767489</v>
      </c>
      <c r="BP123" s="21">
        <f t="shared" si="522"/>
        <v>0.18881568382655112</v>
      </c>
      <c r="BQ123" s="21">
        <f t="shared" si="522"/>
        <v>0.29356056651178808</v>
      </c>
      <c r="BR123" s="21">
        <f t="shared" si="522"/>
        <v>0.12381907622654434</v>
      </c>
      <c r="BS123" s="21">
        <f t="shared" si="522"/>
        <v>0.36615134911837965</v>
      </c>
      <c r="BT123" s="21">
        <f>BT121/(BT29+BT32+BT37)</f>
        <v>0.17471110053645184</v>
      </c>
      <c r="BU123" s="21">
        <f>BU121/(BU29+BU32+BU37)</f>
        <v>1.1070347109461767E-2</v>
      </c>
      <c r="BV123" s="21">
        <f>BV121/(BV29+BV32+BV37)</f>
        <v>0.14506343537292582</v>
      </c>
      <c r="BW123" s="21">
        <f>BW121/(BW29+BW32+BW37)</f>
        <v>0.2717397398771681</v>
      </c>
      <c r="BX123" s="220"/>
      <c r="BY123" s="21">
        <f>BY121/(BY29+BY32+BY37)</f>
        <v>0.28618597324276057</v>
      </c>
      <c r="BZ123" s="21">
        <f>BZ121/(BZ29+BZ32+BZ37)</f>
        <v>0.29356056651178808</v>
      </c>
      <c r="CA123" s="220"/>
      <c r="CB123" s="49"/>
      <c r="CC123" s="21"/>
      <c r="CD123" s="22"/>
      <c r="CE123" s="22"/>
      <c r="CG123" s="260"/>
      <c r="CH123" s="6"/>
    </row>
    <row r="124" spans="1:86" ht="13.5" customHeight="1">
      <c r="B124" s="437" t="s">
        <v>356</v>
      </c>
      <c r="C124" s="435">
        <f t="shared" ref="C124:H124" si="523">C125-C121</f>
        <v>0.12099999995552935</v>
      </c>
      <c r="D124" s="435">
        <f t="shared" si="523"/>
        <v>0.55700000005890615</v>
      </c>
      <c r="E124" s="435">
        <f t="shared" si="523"/>
        <v>2.5999999968917109E-2</v>
      </c>
      <c r="F124" s="435">
        <f t="shared" si="523"/>
        <v>0</v>
      </c>
      <c r="G124" s="435">
        <f t="shared" si="523"/>
        <v>0</v>
      </c>
      <c r="H124" s="435">
        <f t="shared" si="523"/>
        <v>0</v>
      </c>
      <c r="I124" s="435">
        <f t="shared" ref="I124:N124" si="524">I125-I121</f>
        <v>0</v>
      </c>
      <c r="J124" s="435">
        <f t="shared" si="524"/>
        <v>0</v>
      </c>
      <c r="K124" s="435">
        <f t="shared" si="524"/>
        <v>0</v>
      </c>
      <c r="L124" s="435">
        <f t="shared" si="524"/>
        <v>0</v>
      </c>
      <c r="M124" s="435">
        <f>M125-M121</f>
        <v>0</v>
      </c>
      <c r="N124" s="435">
        <f t="shared" si="524"/>
        <v>0</v>
      </c>
      <c r="O124" s="435">
        <f>O125-O121</f>
        <v>0</v>
      </c>
      <c r="P124" s="435">
        <f>P125-P121</f>
        <v>0</v>
      </c>
      <c r="Q124" s="220"/>
      <c r="R124" s="435">
        <v>0</v>
      </c>
      <c r="S124" s="435">
        <v>0</v>
      </c>
      <c r="T124" s="435">
        <v>0</v>
      </c>
      <c r="U124" s="435">
        <v>0</v>
      </c>
      <c r="V124" s="435">
        <v>0</v>
      </c>
      <c r="W124" s="435">
        <v>0</v>
      </c>
      <c r="X124" s="435">
        <v>0</v>
      </c>
      <c r="Y124" s="435">
        <f>F124-X124-W124-V124</f>
        <v>0</v>
      </c>
      <c r="Z124" s="435">
        <v>0</v>
      </c>
      <c r="AA124" s="435">
        <v>0</v>
      </c>
      <c r="AB124" s="435">
        <v>0</v>
      </c>
      <c r="AC124" s="435">
        <v>0</v>
      </c>
      <c r="AD124" s="435">
        <v>0</v>
      </c>
      <c r="AE124" s="435">
        <v>0</v>
      </c>
      <c r="AF124" s="435">
        <v>0</v>
      </c>
      <c r="AG124" s="435">
        <v>0</v>
      </c>
      <c r="AH124" s="435">
        <v>0</v>
      </c>
      <c r="AI124" s="435">
        <v>0</v>
      </c>
      <c r="AJ124" s="435">
        <v>0</v>
      </c>
      <c r="AK124" s="435">
        <v>0</v>
      </c>
      <c r="AL124" s="435">
        <v>0</v>
      </c>
      <c r="AM124" s="435">
        <v>0</v>
      </c>
      <c r="AN124" s="435">
        <v>0</v>
      </c>
      <c r="AO124" s="435">
        <v>0</v>
      </c>
      <c r="AP124" s="435">
        <v>0</v>
      </c>
      <c r="AQ124" s="435">
        <v>0</v>
      </c>
      <c r="AR124" s="435"/>
      <c r="AS124" s="435">
        <v>0</v>
      </c>
      <c r="AT124" s="435">
        <v>0</v>
      </c>
      <c r="AU124" s="435">
        <v>0</v>
      </c>
      <c r="AV124" s="435"/>
      <c r="AW124" s="435">
        <v>0</v>
      </c>
      <c r="AX124" s="435">
        <v>0</v>
      </c>
      <c r="AY124" s="435">
        <v>0</v>
      </c>
      <c r="AZ124" s="435">
        <v>0</v>
      </c>
      <c r="BA124" s="435">
        <v>0</v>
      </c>
      <c r="BB124" s="435">
        <v>0</v>
      </c>
      <c r="BC124" s="435">
        <v>0</v>
      </c>
      <c r="BD124" s="435">
        <v>0</v>
      </c>
      <c r="BE124" s="435">
        <v>0</v>
      </c>
      <c r="BF124" s="435">
        <v>0</v>
      </c>
      <c r="BG124" s="142"/>
      <c r="BH124" s="435">
        <v>0</v>
      </c>
      <c r="BI124" s="435">
        <v>0</v>
      </c>
      <c r="BJ124" s="435">
        <v>0</v>
      </c>
      <c r="BK124" s="435">
        <v>0</v>
      </c>
      <c r="BL124" s="435">
        <v>0</v>
      </c>
      <c r="BM124" s="435"/>
      <c r="BN124" s="435">
        <f>BN125-BN121</f>
        <v>5.7999999989988282E-2</v>
      </c>
      <c r="BO124" s="435">
        <f>BO125-BO121</f>
        <v>-0.69499999997060513</v>
      </c>
      <c r="BP124" s="435">
        <f>BP125-BP121</f>
        <v>0</v>
      </c>
      <c r="BQ124" s="435">
        <v>0</v>
      </c>
      <c r="BR124" s="435">
        <v>0</v>
      </c>
      <c r="BS124" s="435">
        <v>0</v>
      </c>
      <c r="BT124" s="435">
        <v>0</v>
      </c>
      <c r="BU124" s="435">
        <v>0</v>
      </c>
      <c r="BV124" s="435">
        <v>0</v>
      </c>
      <c r="BW124" s="435">
        <v>0</v>
      </c>
      <c r="BX124" s="4"/>
      <c r="BY124" s="47">
        <v>0</v>
      </c>
      <c r="BZ124" s="47">
        <v>0</v>
      </c>
      <c r="CA124" s="4"/>
      <c r="CB124" s="191"/>
      <c r="CC124" s="4"/>
      <c r="CG124" s="260"/>
      <c r="CH124" s="6"/>
    </row>
    <row r="125" spans="1:86" ht="13.5" customHeight="1">
      <c r="B125" s="5" t="s">
        <v>357</v>
      </c>
      <c r="C125" s="8">
        <f>C129-C109</f>
        <v>119101</v>
      </c>
      <c r="D125" s="8">
        <f>D129-D109</f>
        <v>139069</v>
      </c>
      <c r="E125" s="8">
        <f>E129-E109</f>
        <v>130076</v>
      </c>
      <c r="F125" s="8">
        <f t="shared" ref="F125:K125" si="525">F121</f>
        <v>129602.10500000001</v>
      </c>
      <c r="G125" s="8">
        <f t="shared" si="525"/>
        <v>129602.10500000001</v>
      </c>
      <c r="H125" s="8">
        <f t="shared" si="525"/>
        <v>130323.62299999996</v>
      </c>
      <c r="I125" s="8">
        <f t="shared" si="525"/>
        <v>337865.05499999988</v>
      </c>
      <c r="J125" s="8">
        <f t="shared" si="525"/>
        <v>350103.25499999995</v>
      </c>
      <c r="K125" s="8">
        <f t="shared" si="525"/>
        <v>205902.62100000001</v>
      </c>
      <c r="L125" s="8">
        <f>L121</f>
        <v>350872.09799999988</v>
      </c>
      <c r="M125" s="8">
        <f>M121</f>
        <v>184059.60699999976</v>
      </c>
      <c r="N125" s="8">
        <f>N121</f>
        <v>62572.579999999907</v>
      </c>
      <c r="O125" s="8">
        <f>O121</f>
        <v>300890.92700000014</v>
      </c>
      <c r="P125" s="8">
        <f>P121</f>
        <v>442023.57900000009</v>
      </c>
      <c r="Q125" s="8"/>
      <c r="R125" s="8">
        <f t="shared" ref="R125:W125" si="526">R121+R124</f>
        <v>34326.627999999997</v>
      </c>
      <c r="S125" s="8">
        <f t="shared" si="526"/>
        <v>29432.31400000002</v>
      </c>
      <c r="T125" s="8">
        <f t="shared" si="526"/>
        <v>34695.350999999995</v>
      </c>
      <c r="U125" s="8">
        <f t="shared" si="526"/>
        <v>31621.68100000007</v>
      </c>
      <c r="V125" s="8">
        <f t="shared" si="526"/>
        <v>31420.90300000002</v>
      </c>
      <c r="W125" s="8">
        <f t="shared" si="526"/>
        <v>31044.791999999969</v>
      </c>
      <c r="X125" s="8">
        <f t="shared" ref="X125:AC125" si="527">X121+X124</f>
        <v>34260.239999999976</v>
      </c>
      <c r="Y125" s="8">
        <f t="shared" si="527"/>
        <v>32876.170000000013</v>
      </c>
      <c r="Z125" s="8">
        <f t="shared" si="527"/>
        <v>33913.893999999971</v>
      </c>
      <c r="AA125" s="8">
        <f t="shared" si="527"/>
        <v>34499.373999999945</v>
      </c>
      <c r="AB125" s="8">
        <f t="shared" si="527"/>
        <v>25623.41800000002</v>
      </c>
      <c r="AC125" s="8">
        <f t="shared" si="527"/>
        <v>36286.93700000002</v>
      </c>
      <c r="AD125" s="8">
        <f t="shared" ref="AD125:AI125" si="528">AD121+AD124</f>
        <v>92226.336999999985</v>
      </c>
      <c r="AE125" s="8">
        <f t="shared" si="528"/>
        <v>103098.55000000009</v>
      </c>
      <c r="AF125" s="8">
        <f t="shared" si="528"/>
        <v>89981.398000000016</v>
      </c>
      <c r="AG125" s="8">
        <f t="shared" si="528"/>
        <v>64796.969999999943</v>
      </c>
      <c r="AH125" s="8">
        <f t="shared" si="528"/>
        <v>70678.006000000023</v>
      </c>
      <c r="AI125" s="8">
        <f t="shared" si="528"/>
        <v>9858.1599999999762</v>
      </c>
      <c r="AJ125" s="8">
        <f t="shared" ref="AJ125:AO125" si="529">AJ121+AJ124</f>
        <v>45167.807000000073</v>
      </c>
      <c r="AK125" s="8">
        <f t="shared" si="529"/>
        <v>80198.647999999928</v>
      </c>
      <c r="AL125" s="8">
        <f t="shared" si="529"/>
        <v>107608.06800000003</v>
      </c>
      <c r="AM125" s="8">
        <f t="shared" si="529"/>
        <v>82446.834999999963</v>
      </c>
      <c r="AN125" s="8">
        <f t="shared" si="529"/>
        <v>78895.33500000005</v>
      </c>
      <c r="AO125" s="8">
        <f t="shared" si="529"/>
        <v>81921.859999999957</v>
      </c>
      <c r="AP125" s="8">
        <f t="shared" ref="AP125:AU125" si="530">AP121+AP124</f>
        <v>87631.677999999971</v>
      </c>
      <c r="AQ125" s="8">
        <f t="shared" si="530"/>
        <v>59428.867000000086</v>
      </c>
      <c r="AR125" s="8">
        <f t="shared" si="530"/>
        <v>45778.642999999851</v>
      </c>
      <c r="AS125" s="8">
        <f t="shared" si="530"/>
        <v>-8779.5809999998019</v>
      </c>
      <c r="AT125" s="8">
        <f t="shared" si="530"/>
        <v>8736.178000000009</v>
      </c>
      <c r="AU125" s="8">
        <f t="shared" si="530"/>
        <v>1684.5209999998933</v>
      </c>
      <c r="AV125" s="8">
        <f t="shared" ref="AV125:BA125" si="531">AV121+AV124</f>
        <v>51711.365000000005</v>
      </c>
      <c r="AW125" s="8">
        <f t="shared" si="531"/>
        <v>440.51600000003054</v>
      </c>
      <c r="AX125" s="8">
        <f t="shared" si="531"/>
        <v>67729.72199999998</v>
      </c>
      <c r="AY125" s="8">
        <f t="shared" si="531"/>
        <v>66919.19200000001</v>
      </c>
      <c r="AZ125" s="8">
        <f t="shared" si="531"/>
        <v>90554.758999999904</v>
      </c>
      <c r="BA125" s="8">
        <f t="shared" si="531"/>
        <v>75687.254000000059</v>
      </c>
      <c r="BB125" s="8">
        <f>BB121+BB124</f>
        <v>134668.5989999999</v>
      </c>
      <c r="BC125" s="8">
        <f>BC121+BC124</f>
        <v>125625.04699999998</v>
      </c>
      <c r="BD125" s="8">
        <f>BD121+BD124</f>
        <v>110771.07800000021</v>
      </c>
      <c r="BE125" s="8">
        <f>BE121+BE124</f>
        <v>70958.855000000054</v>
      </c>
      <c r="BF125" s="8">
        <f>BF121+BF124</f>
        <v>187589.071</v>
      </c>
      <c r="BG125" s="142"/>
      <c r="BH125" s="8">
        <f>BH121+BH124</f>
        <v>90426.322999999975</v>
      </c>
      <c r="BI125" s="8">
        <f>BI121+BI124</f>
        <v>84791.661000000051</v>
      </c>
      <c r="BJ125" s="8">
        <f>BJ121+BJ124</f>
        <v>75183.872999999978</v>
      </c>
      <c r="BK125" s="8">
        <f>BK121+BK124</f>
        <v>243828.36900000009</v>
      </c>
      <c r="BL125" s="8">
        <f>BL121+BL124</f>
        <v>92226.336999999985</v>
      </c>
      <c r="BM125" s="8"/>
      <c r="BN125" s="8">
        <f>BN129-BN109</f>
        <v>63759</v>
      </c>
      <c r="BO125" s="8">
        <f>BO129-BO109</f>
        <v>62465</v>
      </c>
      <c r="BP125" s="8">
        <f>BP129-BP109</f>
        <v>68413.267999999924</v>
      </c>
      <c r="BQ125" s="8">
        <f t="shared" ref="BQ125:BV125" si="532">BQ121+BQ124</f>
        <v>195324.88699999999</v>
      </c>
      <c r="BR125" s="8">
        <f t="shared" si="532"/>
        <v>80536.165999999968</v>
      </c>
      <c r="BS125" s="8">
        <f t="shared" si="532"/>
        <v>190054.90299999999</v>
      </c>
      <c r="BT125" s="8">
        <f t="shared" si="532"/>
        <v>147060.54499999998</v>
      </c>
      <c r="BU125" s="8">
        <f t="shared" si="532"/>
        <v>10420.698999999931</v>
      </c>
      <c r="BV125" s="8">
        <f t="shared" si="532"/>
        <v>134648.9139999999</v>
      </c>
      <c r="BW125" s="8">
        <f>BW121+BW124</f>
        <v>260293.64600000001</v>
      </c>
      <c r="BX125" s="8"/>
      <c r="BY125" s="8">
        <f>BY121+BY124</f>
        <v>175217.98400000003</v>
      </c>
      <c r="BZ125" s="8">
        <f>BZ121+BZ124</f>
        <v>195324.88699999999</v>
      </c>
      <c r="CA125" s="8"/>
      <c r="CB125" s="5"/>
      <c r="CC125" s="8">
        <f>CC121</f>
        <v>33955.996999999996</v>
      </c>
      <c r="CD125" s="8">
        <f>CD121</f>
        <v>67718.23</v>
      </c>
      <c r="CE125" s="8">
        <f>CE121</f>
        <v>102984.973</v>
      </c>
      <c r="CG125" s="260"/>
      <c r="CH125" s="6"/>
    </row>
    <row r="126" spans="1:86" ht="13.5" customHeight="1">
      <c r="B126" s="20" t="s">
        <v>283</v>
      </c>
      <c r="C126" s="21">
        <f>C122</f>
        <v>0.34458284777429538</v>
      </c>
      <c r="D126" s="21">
        <f>+D125/C125-1</f>
        <v>0.16765602303926919</v>
      </c>
      <c r="E126" s="21">
        <f>+E125/D125-1</f>
        <v>-6.4665741466466309E-2</v>
      </c>
      <c r="F126" s="21">
        <f>+F125/E125-1</f>
        <v>-3.6432162735631213E-3</v>
      </c>
      <c r="G126" s="21"/>
      <c r="H126" s="21">
        <f>+H125/G125-1</f>
        <v>5.5671780948307603E-3</v>
      </c>
      <c r="I126" s="21">
        <f>+I125/G125-1</f>
        <v>1.6069411063963801</v>
      </c>
      <c r="J126" s="21">
        <f t="shared" ref="J126:P126" si="533">+J125/I125-1</f>
        <v>3.6222153841864779E-2</v>
      </c>
      <c r="K126" s="21">
        <f t="shared" si="533"/>
        <v>-0.41188030085581451</v>
      </c>
      <c r="L126" s="21">
        <f t="shared" si="533"/>
        <v>0.70406814782605354</v>
      </c>
      <c r="M126" s="21">
        <f t="shared" si="533"/>
        <v>-0.47542250281753717</v>
      </c>
      <c r="N126" s="21">
        <f t="shared" si="533"/>
        <v>-0.6600417602760611</v>
      </c>
      <c r="O126" s="21">
        <f t="shared" si="533"/>
        <v>3.8086706189835962</v>
      </c>
      <c r="P126" s="21">
        <f t="shared" si="533"/>
        <v>0.46904921131104715</v>
      </c>
      <c r="Q126" s="220"/>
      <c r="R126" s="21">
        <f>R122</f>
        <v>1.0915038071183769E-2</v>
      </c>
      <c r="S126" s="35">
        <f>S122</f>
        <v>-0.12824741183440025</v>
      </c>
      <c r="T126" s="35">
        <f>T122</f>
        <v>-1.6202006519286605E-2</v>
      </c>
      <c r="U126" s="35">
        <f>U122</f>
        <v>-0.13636613660246066</v>
      </c>
      <c r="V126" s="64">
        <f>V125/R125-1</f>
        <v>-8.4649299080584828E-2</v>
      </c>
      <c r="W126" s="64">
        <f>W125/S125-1</f>
        <v>5.4785974354579992E-2</v>
      </c>
      <c r="X126" s="35">
        <f>X125/T125-1</f>
        <v>-1.2540902093771011E-2</v>
      </c>
      <c r="Y126" s="35">
        <f>Y122</f>
        <v>3.9671799864148261E-2</v>
      </c>
      <c r="Z126" s="64">
        <f>Z125/V125-1</f>
        <v>7.9341799947632019E-2</v>
      </c>
      <c r="AA126" s="64">
        <f>AA125/W125-1</f>
        <v>0.11127734403889655</v>
      </c>
      <c r="AB126" s="64">
        <f>AB125/X125-1</f>
        <v>-0.25209461463200378</v>
      </c>
      <c r="AC126" s="64">
        <f>AC125/Y125-1</f>
        <v>0.10374587429131821</v>
      </c>
      <c r="AD126" s="35">
        <f>AD125/BH125-1</f>
        <v>1.990586303061348E-2</v>
      </c>
      <c r="AE126" s="64">
        <f>+AE125/BI125-1</f>
        <v>0.21590435644373129</v>
      </c>
      <c r="AF126" s="35">
        <f>AF125/BJ125-1</f>
        <v>0.19681780692516382</v>
      </c>
      <c r="AG126" s="64">
        <f>AG125/AC125-1</f>
        <v>0.78568309582040241</v>
      </c>
      <c r="AH126" s="35">
        <f>AH125/BL125-1</f>
        <v>-0.23364617636283191</v>
      </c>
      <c r="AI126" s="64">
        <f>+AI125/AE125-1</f>
        <v>-0.90438119643777759</v>
      </c>
      <c r="AJ126" s="35">
        <f>AJ125/AF125-1</f>
        <v>-0.49803172651307259</v>
      </c>
      <c r="AK126" s="64">
        <f>AK125/AG125-1</f>
        <v>0.23769133031992085</v>
      </c>
      <c r="AL126" s="64">
        <f>AL125/AH125-1</f>
        <v>0.52251137362307576</v>
      </c>
      <c r="AM126" s="64">
        <f>+AM125/AI125-1</f>
        <v>7.363308670177819</v>
      </c>
      <c r="AN126" s="35">
        <f>AN125/AJ125-1</f>
        <v>0.74671608475478823</v>
      </c>
      <c r="AO126" s="64">
        <f>AO125/AK125-1</f>
        <v>2.1486796136513719E-2</v>
      </c>
      <c r="AP126" s="64">
        <f>AP125/AL125-1</f>
        <v>-0.18564026258700284</v>
      </c>
      <c r="AQ126" s="64">
        <f>+AQ125/AM125-1</f>
        <v>-0.27918558668746818</v>
      </c>
      <c r="AR126" s="35">
        <f>AR125/AN125-1</f>
        <v>-0.41975475482802849</v>
      </c>
      <c r="AS126" s="64">
        <f>AS125/AO125-1</f>
        <v>-1.1071701863214507</v>
      </c>
      <c r="AT126" s="64">
        <f>AT125/AP125-1</f>
        <v>-0.90030799136357964</v>
      </c>
      <c r="AU126" s="64">
        <f>+AU125/AQ125-1</f>
        <v>-0.97165483568785027</v>
      </c>
      <c r="AV126" s="35">
        <f>AV125/AR125-1</f>
        <v>0.12959584669209567</v>
      </c>
      <c r="AW126" s="64">
        <f>AW125/AS125-1</f>
        <v>-1.0501750596070634</v>
      </c>
      <c r="AX126" s="64">
        <f>AX125/AT125-1</f>
        <v>6.7527864015591152</v>
      </c>
      <c r="AY126" s="64">
        <f>+AY125/AU125-1</f>
        <v>38.725947019956564</v>
      </c>
      <c r="AZ126" s="35">
        <f>AZ125/AV125-1</f>
        <v>0.75115777740540968</v>
      </c>
      <c r="BA126" s="64">
        <f>BA125/AW125-1</f>
        <v>170.81499423402286</v>
      </c>
      <c r="BB126" s="64">
        <f>BB125/AX125-1</f>
        <v>0.98832351622526882</v>
      </c>
      <c r="BC126" s="64">
        <f>+BC125/AY125-1</f>
        <v>0.87726485101613227</v>
      </c>
      <c r="BD126" s="35">
        <f>BD125/AZ125-1</f>
        <v>0.22324965825374599</v>
      </c>
      <c r="BE126" s="64">
        <f>BE125/BA125-1</f>
        <v>-6.247285705463701E-2</v>
      </c>
      <c r="BF126" s="64">
        <f>BF125/BB125-1</f>
        <v>0.39296816327613349</v>
      </c>
      <c r="BG126" s="142"/>
      <c r="BH126" s="35">
        <f>BH125/V125-1</f>
        <v>1.8779033817073914</v>
      </c>
      <c r="BI126" s="35">
        <f>BI125/W125-1</f>
        <v>1.7312684523703732</v>
      </c>
      <c r="BJ126" s="35">
        <f>BJ125/X125-1</f>
        <v>1.1944934711490647</v>
      </c>
      <c r="BK126" s="64">
        <f>BK125/Y125-1</f>
        <v>6.4165685662289738</v>
      </c>
      <c r="BL126" s="35">
        <f>BL125/BH125-1</f>
        <v>1.990586303061348E-2</v>
      </c>
      <c r="BM126" s="54"/>
      <c r="BN126" s="198">
        <f>BN125/CD125-1</f>
        <v>-5.8466235753651508E-2</v>
      </c>
      <c r="BO126" s="21">
        <f>+BO125/BN125-1</f>
        <v>-2.0295174014648865E-2</v>
      </c>
      <c r="BP126" s="21">
        <f>+BP125/BO125-1</f>
        <v>9.5225614344031539E-2</v>
      </c>
      <c r="BQ126" s="21">
        <f>+BQ125/BY125-1</f>
        <v>0.11475364880353811</v>
      </c>
      <c r="BR126" s="21">
        <f>+BR125/BZ125-1</f>
        <v>-0.58768097994599133</v>
      </c>
      <c r="BS126" s="21">
        <f>(BS125/BR125)-1</f>
        <v>1.35987026002703</v>
      </c>
      <c r="BT126" s="21">
        <f>(BT125/BS125)-1</f>
        <v>-0.22622072528168358</v>
      </c>
      <c r="BU126" s="21">
        <f>(BU125/BT125)-1</f>
        <v>-0.92914007628626749</v>
      </c>
      <c r="BV126" s="21">
        <f>(BV125/BU125)-1</f>
        <v>11.921293859461903</v>
      </c>
      <c r="BW126" s="21">
        <f>(BW125/BV125)-1</f>
        <v>0.93312844691788754</v>
      </c>
      <c r="BX126" s="220"/>
      <c r="BY126" s="21">
        <f>+BY125/BO125-1</f>
        <v>1.8050585768030101</v>
      </c>
      <c r="BZ126" s="21">
        <f>+BZ125/BY125-1</f>
        <v>0.11475364880353811</v>
      </c>
      <c r="CA126" s="220"/>
      <c r="CB126" s="49"/>
      <c r="CC126" s="21"/>
      <c r="CD126" s="22"/>
      <c r="CE126" s="22"/>
      <c r="CG126" s="260"/>
      <c r="CH126" s="6"/>
    </row>
    <row r="127" spans="1:86" ht="13.5" customHeight="1">
      <c r="B127" s="20" t="s">
        <v>355</v>
      </c>
      <c r="C127" s="21">
        <f>C125/(C29+C32+C37)</f>
        <v>0.21525249531031826</v>
      </c>
      <c r="D127" s="21">
        <f>D125/(D29+D32+D37)</f>
        <v>0.2230875864813501</v>
      </c>
      <c r="E127" s="21">
        <f>E125/(E29+E32+E37)</f>
        <v>0.18849443344822736</v>
      </c>
      <c r="F127" s="21">
        <f t="shared" ref="F127:K127" si="534">F125/(F29+F32+F37)</f>
        <v>0.17898533406530703</v>
      </c>
      <c r="G127" s="21">
        <f t="shared" si="534"/>
        <v>0.17837608343801073</v>
      </c>
      <c r="H127" s="21">
        <f t="shared" si="534"/>
        <v>0.17314563394551516</v>
      </c>
      <c r="I127" s="21">
        <f t="shared" si="534"/>
        <v>0.26805238143412335</v>
      </c>
      <c r="J127" s="21">
        <f t="shared" si="534"/>
        <v>0.25796151846748205</v>
      </c>
      <c r="K127" s="21">
        <f t="shared" si="534"/>
        <v>0.17335511408075316</v>
      </c>
      <c r="L127" s="21">
        <f>L125/(L29+L32+L37)</f>
        <v>0.30873066372294566</v>
      </c>
      <c r="M127" s="21">
        <f>M125/(M29+M32+M37)</f>
        <v>0.10105944683332756</v>
      </c>
      <c r="N127" s="21">
        <f>N125/(N29+N32+N37)</f>
        <v>3.310289627586098E-2</v>
      </c>
      <c r="O127" s="21">
        <f>O125/(O29+O32+O37)</f>
        <v>0.16428521954320827</v>
      </c>
      <c r="P127" s="21">
        <f>P125/(P29+P32+P37)</f>
        <v>0.22399892492332577</v>
      </c>
      <c r="Q127" s="220"/>
      <c r="R127" s="21">
        <f t="shared" ref="R127:X127" si="535">R125/(R29+R32+R37)</f>
        <v>0.20912103903633406</v>
      </c>
      <c r="S127" s="21">
        <f t="shared" si="535"/>
        <v>0.17186025518593251</v>
      </c>
      <c r="T127" s="21">
        <f t="shared" si="535"/>
        <v>0.19870186996297715</v>
      </c>
      <c r="U127" s="21">
        <f t="shared" si="535"/>
        <v>0.1756133467134485</v>
      </c>
      <c r="V127" s="64">
        <f t="shared" si="535"/>
        <v>0.17478585954278233</v>
      </c>
      <c r="W127" s="64">
        <f t="shared" si="535"/>
        <v>0.16616211190403019</v>
      </c>
      <c r="X127" s="64">
        <f t="shared" si="535"/>
        <v>0.19259622462438125</v>
      </c>
      <c r="Y127" s="21">
        <f t="shared" ref="Y127:AD127" si="536">Y125/(Y29+Y32+Y37)</f>
        <v>0.18304735375923609</v>
      </c>
      <c r="Z127" s="64">
        <f t="shared" si="536"/>
        <v>0.19033806950752241</v>
      </c>
      <c r="AA127" s="64">
        <f t="shared" si="536"/>
        <v>0.18734268562817544</v>
      </c>
      <c r="AB127" s="64">
        <f t="shared" si="536"/>
        <v>0.13277348671706965</v>
      </c>
      <c r="AC127" s="64">
        <f t="shared" si="536"/>
        <v>0.18385434142758467</v>
      </c>
      <c r="AD127" s="64">
        <f t="shared" si="536"/>
        <v>0.28348938855967759</v>
      </c>
      <c r="AE127" s="64">
        <f t="shared" ref="AE127:AJ127" si="537">AE125/(AE29+AE32+AE37)</f>
        <v>0.30319595588193904</v>
      </c>
      <c r="AF127" s="64">
        <f t="shared" si="537"/>
        <v>0.2627464765582071</v>
      </c>
      <c r="AG127" s="64">
        <f t="shared" si="537"/>
        <v>0.1854721801247155</v>
      </c>
      <c r="AH127" s="64">
        <f t="shared" si="537"/>
        <v>0.20135620879230284</v>
      </c>
      <c r="AI127" s="64">
        <f t="shared" si="537"/>
        <v>3.2923701075453636E-2</v>
      </c>
      <c r="AJ127" s="64">
        <f t="shared" si="537"/>
        <v>0.16817666509907658</v>
      </c>
      <c r="AK127" s="64">
        <f t="shared" ref="AK127:AP127" si="538">AK125/(AK29+AK32+AK37)</f>
        <v>0.2984216976861031</v>
      </c>
      <c r="AL127" s="64">
        <f t="shared" si="538"/>
        <v>0.4120853819018433</v>
      </c>
      <c r="AM127" s="64">
        <f t="shared" si="538"/>
        <v>0.31964744166213149</v>
      </c>
      <c r="AN127" s="64">
        <f t="shared" si="538"/>
        <v>0.28234073204387228</v>
      </c>
      <c r="AO127" s="64">
        <f t="shared" si="538"/>
        <v>0.2423688424767432</v>
      </c>
      <c r="AP127" s="64">
        <f t="shared" si="538"/>
        <v>0.22620674736122279</v>
      </c>
      <c r="AQ127" s="64">
        <f t="shared" ref="AQ127:AV127" si="539">AQ125/(AQ29+AQ32+AQ37)</f>
        <v>0.13080287173396457</v>
      </c>
      <c r="AR127" s="64">
        <f t="shared" si="539"/>
        <v>9.5005074299210429E-2</v>
      </c>
      <c r="AS127" s="64">
        <f t="shared" si="539"/>
        <v>-1.7639949723984701E-2</v>
      </c>
      <c r="AT127" s="64">
        <f t="shared" si="539"/>
        <v>1.8477076212854392E-2</v>
      </c>
      <c r="AU127" s="64">
        <f t="shared" si="539"/>
        <v>3.5955266391966881E-3</v>
      </c>
      <c r="AV127" s="64">
        <f t="shared" si="539"/>
        <v>0.10741872594035176</v>
      </c>
      <c r="AW127" s="64">
        <f t="shared" ref="AW127:BB127" si="540">AW125/(AW29+AW32+AW37)</f>
        <v>9.4222259220560307E-4</v>
      </c>
      <c r="AX127" s="64">
        <f t="shared" si="540"/>
        <v>0.14392992320995754</v>
      </c>
      <c r="AY127" s="64">
        <f t="shared" si="540"/>
        <v>0.14622900229039298</v>
      </c>
      <c r="AZ127" s="64">
        <f t="shared" si="540"/>
        <v>0.20483099143062236</v>
      </c>
      <c r="BA127" s="64">
        <f t="shared" si="540"/>
        <v>0.16410463847477252</v>
      </c>
      <c r="BB127" s="64">
        <f t="shared" si="540"/>
        <v>0.2861587602879414</v>
      </c>
      <c r="BC127" s="64">
        <f>BC125/(BC29+BC32+BC37)</f>
        <v>0.25781378600610849</v>
      </c>
      <c r="BD127" s="64">
        <f>BD125/(BD29+BD32+BD37)</f>
        <v>0.22369611876935466</v>
      </c>
      <c r="BE127" s="64">
        <f>BE125/(BE29+BE32+BE37)</f>
        <v>0.13638982100728728</v>
      </c>
      <c r="BF127" s="64">
        <f>BF125/(BF29+BF32+BF37)</f>
        <v>0.32676430019127028</v>
      </c>
      <c r="BG127" s="142"/>
      <c r="BH127" s="64">
        <f>BH125/(BH29+BH32+BH37)</f>
        <v>0.29973360246171932</v>
      </c>
      <c r="BI127" s="64">
        <f>BI125/(BI29+BI32+BI37)</f>
        <v>0.27302546236329839</v>
      </c>
      <c r="BJ127" s="64">
        <f>BJ125/(BJ29+BJ32+BJ37)</f>
        <v>0.23524763541371013</v>
      </c>
      <c r="BK127" s="64">
        <f>BK125/(BK29+BK32+BK37)</f>
        <v>0.34579213832209194</v>
      </c>
      <c r="BL127" s="64">
        <f>BL125/(BL29+BL32+BL37)</f>
        <v>0.28348938855967759</v>
      </c>
      <c r="BM127" s="220"/>
      <c r="BN127" s="21">
        <f t="shared" ref="BN127:BS127" si="541">BN125/(BN29+BN32+BN37)</f>
        <v>0.19009588370901084</v>
      </c>
      <c r="BO127" s="21">
        <f t="shared" si="541"/>
        <v>0.17038897729060676</v>
      </c>
      <c r="BP127" s="21">
        <f t="shared" si="541"/>
        <v>0.18881568382655103</v>
      </c>
      <c r="BQ127" s="21">
        <f t="shared" si="541"/>
        <v>0.29356056651178808</v>
      </c>
      <c r="BR127" s="21">
        <f t="shared" si="541"/>
        <v>0.12381907622654434</v>
      </c>
      <c r="BS127" s="21">
        <f t="shared" si="541"/>
        <v>0.36615134911837965</v>
      </c>
      <c r="BT127" s="21">
        <f>BT125/(BT29+BT32+BT37)</f>
        <v>0.17471110053645184</v>
      </c>
      <c r="BU127" s="21">
        <f>BU125/(BU29+BU32+BU37)</f>
        <v>1.1070347109461767E-2</v>
      </c>
      <c r="BV127" s="21">
        <f>BV125/(BV29+BV32+BV37)</f>
        <v>0.14506343537292582</v>
      </c>
      <c r="BW127" s="21">
        <f>BW125/(BW29+BW32+BW37)</f>
        <v>0.2717397398771681</v>
      </c>
      <c r="BX127" s="220"/>
      <c r="BY127" s="21">
        <f>BY125/(BY29+BY32+BY37)</f>
        <v>0.28618597324276057</v>
      </c>
      <c r="BZ127" s="21">
        <f>BZ125/(BZ29+BZ32+BZ37)</f>
        <v>0.29356056651178808</v>
      </c>
      <c r="CA127" s="220"/>
      <c r="CB127" s="49"/>
      <c r="CC127" s="21"/>
      <c r="CD127" s="22"/>
      <c r="CE127" s="22"/>
      <c r="CG127" s="260"/>
      <c r="CH127" s="6"/>
    </row>
    <row r="128" spans="1:86" ht="13.5" customHeight="1">
      <c r="A128" s="28"/>
      <c r="B128" s="17" t="s">
        <v>363</v>
      </c>
      <c r="C128" s="46">
        <v>41975</v>
      </c>
      <c r="D128" s="46">
        <v>42341</v>
      </c>
      <c r="E128" s="46">
        <v>42708</v>
      </c>
      <c r="F128" s="253">
        <v>43073</v>
      </c>
      <c r="G128" s="253">
        <f t="shared" ref="G128:L128" si="542">G3</f>
        <v>43073</v>
      </c>
      <c r="H128" s="253">
        <f t="shared" si="542"/>
        <v>43438</v>
      </c>
      <c r="I128" s="253">
        <f t="shared" si="542"/>
        <v>43438</v>
      </c>
      <c r="J128" s="253">
        <f t="shared" si="542"/>
        <v>43803</v>
      </c>
      <c r="K128" s="253">
        <f t="shared" si="542"/>
        <v>44169</v>
      </c>
      <c r="L128" s="253">
        <f t="shared" si="542"/>
        <v>44534</v>
      </c>
      <c r="M128" s="253">
        <f>M3</f>
        <v>44899</v>
      </c>
      <c r="N128" s="253">
        <f>N3</f>
        <v>45264</v>
      </c>
      <c r="O128" s="253">
        <f>O3</f>
        <v>45630</v>
      </c>
      <c r="P128" s="253">
        <f>P3</f>
        <v>45995</v>
      </c>
      <c r="Q128" s="329"/>
      <c r="R128" s="46">
        <v>42437</v>
      </c>
      <c r="S128" s="46">
        <v>42527</v>
      </c>
      <c r="T128" s="46">
        <v>42622</v>
      </c>
      <c r="U128" s="46">
        <v>42714</v>
      </c>
      <c r="V128" s="46">
        <v>42801</v>
      </c>
      <c r="W128" s="46">
        <v>42892</v>
      </c>
      <c r="X128" s="46">
        <v>42987</v>
      </c>
      <c r="Y128" s="46">
        <v>43079</v>
      </c>
      <c r="Z128" s="46">
        <f t="shared" ref="Z128:AE128" si="543">Z3</f>
        <v>43166</v>
      </c>
      <c r="AA128" s="46">
        <f t="shared" si="543"/>
        <v>43257</v>
      </c>
      <c r="AB128" s="46">
        <f t="shared" si="543"/>
        <v>43352</v>
      </c>
      <c r="AC128" s="46">
        <f t="shared" si="543"/>
        <v>43444</v>
      </c>
      <c r="AD128" s="253">
        <f t="shared" si="543"/>
        <v>43531</v>
      </c>
      <c r="AE128" s="253">
        <f t="shared" si="543"/>
        <v>43622</v>
      </c>
      <c r="AF128" s="253">
        <f t="shared" ref="AF128:AK128" si="544">AF3</f>
        <v>43738</v>
      </c>
      <c r="AG128" s="46">
        <f t="shared" si="544"/>
        <v>43809</v>
      </c>
      <c r="AH128" s="253">
        <f t="shared" si="544"/>
        <v>43897</v>
      </c>
      <c r="AI128" s="253">
        <f t="shared" si="544"/>
        <v>43988</v>
      </c>
      <c r="AJ128" s="253">
        <f t="shared" si="544"/>
        <v>44104</v>
      </c>
      <c r="AK128" s="46">
        <f t="shared" si="544"/>
        <v>44175</v>
      </c>
      <c r="AL128" s="253">
        <f t="shared" ref="AL128:AQ128" si="545">AL3</f>
        <v>44262</v>
      </c>
      <c r="AM128" s="253">
        <f t="shared" si="545"/>
        <v>44348</v>
      </c>
      <c r="AN128" s="253">
        <f t="shared" si="545"/>
        <v>44469</v>
      </c>
      <c r="AO128" s="46">
        <f t="shared" si="545"/>
        <v>44540</v>
      </c>
      <c r="AP128" s="253">
        <f t="shared" si="545"/>
        <v>44651</v>
      </c>
      <c r="AQ128" s="253">
        <f t="shared" si="545"/>
        <v>44713</v>
      </c>
      <c r="AR128" s="253">
        <f t="shared" ref="AR128:AW128" si="546">AR3</f>
        <v>44834</v>
      </c>
      <c r="AS128" s="46">
        <f t="shared" si="546"/>
        <v>44905</v>
      </c>
      <c r="AT128" s="253">
        <f t="shared" si="546"/>
        <v>45016</v>
      </c>
      <c r="AU128" s="253">
        <f t="shared" si="546"/>
        <v>45078</v>
      </c>
      <c r="AV128" s="253">
        <f t="shared" si="546"/>
        <v>45199</v>
      </c>
      <c r="AW128" s="46">
        <f t="shared" si="546"/>
        <v>45270</v>
      </c>
      <c r="AX128" s="253">
        <f t="shared" ref="AX128:BC128" si="547">AX3</f>
        <v>45382</v>
      </c>
      <c r="AY128" s="253">
        <f t="shared" si="547"/>
        <v>45444</v>
      </c>
      <c r="AZ128" s="253">
        <f t="shared" si="547"/>
        <v>45565</v>
      </c>
      <c r="BA128" s="46">
        <f t="shared" si="547"/>
        <v>45636</v>
      </c>
      <c r="BB128" s="253">
        <f t="shared" si="547"/>
        <v>45747</v>
      </c>
      <c r="BC128" s="253">
        <f t="shared" si="547"/>
        <v>45809</v>
      </c>
      <c r="BD128" s="253">
        <f>BD3</f>
        <v>45930</v>
      </c>
      <c r="BE128" s="46">
        <f>BE3</f>
        <v>46001</v>
      </c>
      <c r="BF128" s="253">
        <f>BF3</f>
        <v>46112</v>
      </c>
      <c r="BG128" s="142"/>
      <c r="BH128" s="46">
        <f>BH3</f>
        <v>43166</v>
      </c>
      <c r="BI128" s="46">
        <f>BI3</f>
        <v>43281</v>
      </c>
      <c r="BJ128" s="46">
        <f>BJ3</f>
        <v>43373</v>
      </c>
      <c r="BK128" s="46">
        <f>BK3</f>
        <v>43444</v>
      </c>
      <c r="BL128" s="253">
        <f>BL3</f>
        <v>43531</v>
      </c>
      <c r="BM128" s="329"/>
      <c r="BN128" s="82">
        <v>42530</v>
      </c>
      <c r="BO128" s="82">
        <v>42896</v>
      </c>
      <c r="BP128" s="82">
        <f t="shared" ref="BP128:BU128" si="548">BP3</f>
        <v>43261</v>
      </c>
      <c r="BQ128" s="82">
        <f t="shared" si="548"/>
        <v>43646</v>
      </c>
      <c r="BR128" s="82">
        <f t="shared" si="548"/>
        <v>44012</v>
      </c>
      <c r="BS128" s="82">
        <f t="shared" si="548"/>
        <v>44377</v>
      </c>
      <c r="BT128" s="82">
        <f t="shared" si="548"/>
        <v>44742</v>
      </c>
      <c r="BU128" s="82">
        <f t="shared" si="548"/>
        <v>45107</v>
      </c>
      <c r="BV128" s="82">
        <f>BV3</f>
        <v>45473</v>
      </c>
      <c r="BW128" s="82">
        <f>BW3</f>
        <v>45838</v>
      </c>
      <c r="BX128" s="337"/>
      <c r="BY128" s="315">
        <f>BY3</f>
        <v>43281</v>
      </c>
      <c r="BZ128" s="315">
        <f>BZ3</f>
        <v>43646</v>
      </c>
      <c r="CA128" s="119"/>
      <c r="CC128" s="13"/>
      <c r="CD128" s="147"/>
      <c r="CE128" s="147"/>
      <c r="CG128" s="260"/>
      <c r="CH128" s="6"/>
    </row>
    <row r="129" spans="1:86" ht="13.5" customHeight="1">
      <c r="B129" s="5" t="s">
        <v>364</v>
      </c>
      <c r="C129" s="153">
        <v>1014807</v>
      </c>
      <c r="D129" s="153">
        <v>1113884</v>
      </c>
      <c r="E129" s="230">
        <v>1151481</v>
      </c>
      <c r="F129" s="236">
        <v>1213960</v>
      </c>
      <c r="G129" s="236">
        <v>1216362</v>
      </c>
      <c r="H129" s="236">
        <v>1204345</v>
      </c>
      <c r="I129" s="236">
        <v>1204249</v>
      </c>
      <c r="J129" s="236">
        <v>1141336</v>
      </c>
      <c r="K129" s="236">
        <v>828455</v>
      </c>
      <c r="L129" s="236">
        <v>1584236</v>
      </c>
      <c r="M129" s="236">
        <v>940418</v>
      </c>
      <c r="N129" s="236">
        <v>740784</v>
      </c>
      <c r="O129" s="236">
        <v>1451560</v>
      </c>
      <c r="P129" s="236">
        <v>1944953</v>
      </c>
      <c r="Q129" s="161"/>
      <c r="R129" s="231">
        <v>254232</v>
      </c>
      <c r="S129" s="231">
        <v>279789</v>
      </c>
      <c r="T129" s="231">
        <v>252401</v>
      </c>
      <c r="U129" s="231">
        <v>365059</v>
      </c>
      <c r="V129" s="231">
        <v>284793</v>
      </c>
      <c r="W129" s="153">
        <f>BO129-V129</f>
        <v>294593</v>
      </c>
      <c r="X129" s="231">
        <f>827620-W129-V129</f>
        <v>248234</v>
      </c>
      <c r="Y129" s="150">
        <f>F129-X129-W129-V129</f>
        <v>386340</v>
      </c>
      <c r="Z129" s="231">
        <v>296069</v>
      </c>
      <c r="AA129" s="259">
        <f>BP129-Z129</f>
        <v>305790</v>
      </c>
      <c r="AB129" s="231">
        <v>250383</v>
      </c>
      <c r="AC129" s="150">
        <f>H129-AB129-AA129-Z129</f>
        <v>352103</v>
      </c>
      <c r="AD129" s="301">
        <v>279239</v>
      </c>
      <c r="AE129" s="259">
        <f>BQ129-AD129</f>
        <v>315897</v>
      </c>
      <c r="AF129" s="301">
        <v>258287</v>
      </c>
      <c r="AG129" s="150">
        <f>J129-AF129-AE129-AD129</f>
        <v>287913</v>
      </c>
      <c r="AH129" s="301">
        <v>211498</v>
      </c>
      <c r="AI129" s="259">
        <f>BR129-AH129</f>
        <v>-25594</v>
      </c>
      <c r="AJ129" s="301">
        <v>179282</v>
      </c>
      <c r="AK129" s="150">
        <f>K129-AJ129-AI129-AH129</f>
        <v>463269</v>
      </c>
      <c r="AL129" s="301">
        <v>352243</v>
      </c>
      <c r="AM129" s="259">
        <f>BS129-AL129</f>
        <v>358993</v>
      </c>
      <c r="AN129" s="301">
        <v>389944</v>
      </c>
      <c r="AO129" s="150">
        <f>L129-AN129-AM129-AL129</f>
        <v>483056</v>
      </c>
      <c r="AP129" s="301">
        <v>292153</v>
      </c>
      <c r="AQ129" s="259">
        <f>BT129-AP129</f>
        <v>244586</v>
      </c>
      <c r="AR129" s="301">
        <v>178814</v>
      </c>
      <c r="AS129" s="150">
        <f>M129-AR129-AQ129-AP129</f>
        <v>224865</v>
      </c>
      <c r="AT129" s="301">
        <v>126977</v>
      </c>
      <c r="AU129" s="259">
        <f>BU129-AT129</f>
        <v>140715</v>
      </c>
      <c r="AV129" s="301">
        <v>181030</v>
      </c>
      <c r="AW129" s="150">
        <f>N129-AV129-AU129-AT129</f>
        <v>292062</v>
      </c>
      <c r="AX129" s="301">
        <v>296951</v>
      </c>
      <c r="AY129" s="259">
        <f>BV129-AX129</f>
        <v>324856</v>
      </c>
      <c r="AZ129" s="301">
        <v>330029</v>
      </c>
      <c r="BA129" s="150">
        <f>O129-AZ129-AY129-AX129</f>
        <v>499724</v>
      </c>
      <c r="BB129" s="301">
        <v>471112</v>
      </c>
      <c r="BC129" s="259">
        <f>BW129-BB129</f>
        <v>472748</v>
      </c>
      <c r="BD129" s="301">
        <v>413884</v>
      </c>
      <c r="BE129" s="150">
        <f>P129-BD129-BC129-BB129</f>
        <v>587209</v>
      </c>
      <c r="BF129" s="301">
        <v>541256</v>
      </c>
      <c r="BG129" s="142"/>
      <c r="BH129" s="301">
        <v>296031</v>
      </c>
      <c r="BI129" s="146">
        <f>BY129-BH129</f>
        <v>305658</v>
      </c>
      <c r="BJ129" s="301">
        <v>250109</v>
      </c>
      <c r="BK129" s="150">
        <f>I129-Z129-AB129-AA129</f>
        <v>352007</v>
      </c>
      <c r="BL129" s="301">
        <v>279239</v>
      </c>
      <c r="BM129" s="301"/>
      <c r="BN129" s="153">
        <v>534021</v>
      </c>
      <c r="BO129" s="153">
        <v>579386</v>
      </c>
      <c r="BP129" s="153">
        <v>601859</v>
      </c>
      <c r="BQ129" s="153">
        <v>595136</v>
      </c>
      <c r="BR129" s="153">
        <v>185904</v>
      </c>
      <c r="BS129" s="153">
        <v>711236</v>
      </c>
      <c r="BT129" s="153">
        <v>536739</v>
      </c>
      <c r="BU129" s="153">
        <v>267692</v>
      </c>
      <c r="BV129" s="153">
        <v>621807</v>
      </c>
      <c r="BW129" s="153">
        <v>943860</v>
      </c>
      <c r="BX129" s="153"/>
      <c r="BY129" s="153">
        <v>601689</v>
      </c>
      <c r="BZ129" s="153">
        <v>595136</v>
      </c>
      <c r="CA129" s="153"/>
      <c r="CC129" s="8">
        <v>238754</v>
      </c>
      <c r="CD129" s="8">
        <v>505753</v>
      </c>
      <c r="CE129" s="8">
        <v>744506</v>
      </c>
      <c r="CG129" s="260"/>
      <c r="CH129" s="6"/>
    </row>
    <row r="130" spans="1:86" ht="13.5" customHeight="1">
      <c r="B130" s="20" t="s">
        <v>283</v>
      </c>
      <c r="C130" s="173">
        <f>C129/900254-1</f>
        <v>0.12724519968808812</v>
      </c>
      <c r="D130" s="21">
        <f>+D129/C129-1</f>
        <v>9.7631372270786443E-2</v>
      </c>
      <c r="E130" s="21">
        <f>+E129/D129-1</f>
        <v>3.3753065848867614E-2</v>
      </c>
      <c r="F130" s="21">
        <f>+F129/E129-1</f>
        <v>5.4259688175488874E-2</v>
      </c>
      <c r="G130" s="21"/>
      <c r="H130" s="21">
        <f>+H129/G129-1</f>
        <v>-9.8794602264786757E-3</v>
      </c>
      <c r="I130" s="21">
        <f>+I129/G129-1</f>
        <v>-9.9583840994703632E-3</v>
      </c>
      <c r="J130" s="21">
        <f t="shared" ref="J130:P130" si="549">+J129/I129-1</f>
        <v>-5.224251795102175E-2</v>
      </c>
      <c r="K130" s="21">
        <f t="shared" si="549"/>
        <v>-0.27413574968282783</v>
      </c>
      <c r="L130" s="21">
        <f t="shared" si="549"/>
        <v>0.91227767350067301</v>
      </c>
      <c r="M130" s="21">
        <f t="shared" si="549"/>
        <v>-0.40639020953948779</v>
      </c>
      <c r="N130" s="21">
        <f t="shared" si="549"/>
        <v>-0.21228219791624581</v>
      </c>
      <c r="O130" s="21">
        <f t="shared" si="549"/>
        <v>0.95949156569256355</v>
      </c>
      <c r="P130" s="21">
        <f t="shared" si="549"/>
        <v>0.33990534321695276</v>
      </c>
      <c r="Q130" s="220"/>
      <c r="R130" s="173">
        <f>R129/243653-1</f>
        <v>4.3418303899397825E-2</v>
      </c>
      <c r="S130" s="173">
        <f>S129/262906-1</f>
        <v>6.421686838641949E-2</v>
      </c>
      <c r="T130" s="173">
        <f>T129/238754-1</f>
        <v>5.7159251782169074E-2</v>
      </c>
      <c r="U130" s="173">
        <f>U129/369378-1</f>
        <v>-1.1692629230760865E-2</v>
      </c>
      <c r="V130" s="64">
        <f t="shared" ref="V130:AC130" si="550">V129/R129-1</f>
        <v>0.12020910034928733</v>
      </c>
      <c r="W130" s="64">
        <f t="shared" si="550"/>
        <v>5.2911301016122847E-2</v>
      </c>
      <c r="X130" s="64">
        <f t="shared" si="550"/>
        <v>-1.6509443306484517E-2</v>
      </c>
      <c r="Y130" s="64">
        <f>Y129/U129-1</f>
        <v>5.8294686612301083E-2</v>
      </c>
      <c r="Z130" s="64">
        <f t="shared" si="550"/>
        <v>3.95936697882322E-2</v>
      </c>
      <c r="AA130" s="64">
        <f t="shared" si="550"/>
        <v>3.8008370870998398E-2</v>
      </c>
      <c r="AB130" s="64">
        <f t="shared" si="550"/>
        <v>8.6571541368225535E-3</v>
      </c>
      <c r="AC130" s="64">
        <f t="shared" si="550"/>
        <v>-8.8618833152145804E-2</v>
      </c>
      <c r="AD130" s="35">
        <f>AD129/BH129-1</f>
        <v>-5.672378906263198E-2</v>
      </c>
      <c r="AE130" s="64">
        <f>AE129/AA129-1</f>
        <v>3.3052094574708146E-2</v>
      </c>
      <c r="AF130" s="35">
        <f>AF129/BJ129-1</f>
        <v>3.2697743783710376E-2</v>
      </c>
      <c r="AG130" s="64">
        <f>AG129/AC129-1</f>
        <v>-0.18230460973067542</v>
      </c>
      <c r="AH130" s="35">
        <f>AH129/BL129-1</f>
        <v>-0.24259147182162955</v>
      </c>
      <c r="AI130" s="64">
        <f>AI129/AE129-1</f>
        <v>-1.0810200793296549</v>
      </c>
      <c r="AJ130" s="35">
        <f>AJ129/AF129-1</f>
        <v>-0.30588066762942001</v>
      </c>
      <c r="AK130" s="64">
        <f>AK129/AG129-1</f>
        <v>0.60905898656885937</v>
      </c>
      <c r="AL130" s="64">
        <f>AL129/AH129-1</f>
        <v>0.66546728574265468</v>
      </c>
      <c r="AM130" s="64">
        <f>-AM129/AI129-1</f>
        <v>13.026451512073143</v>
      </c>
      <c r="AN130" s="35">
        <f>AN129/AJ129-1</f>
        <v>1.1750315145971153</v>
      </c>
      <c r="AO130" s="64">
        <f>AO129/AK129-1</f>
        <v>4.2711685867174332E-2</v>
      </c>
      <c r="AP130" s="64">
        <f>AP129/AL129-1</f>
        <v>-0.17059246031858688</v>
      </c>
      <c r="AQ130" s="64">
        <f>-AQ129/AM129-1</f>
        <v>-1.6813113347614022</v>
      </c>
      <c r="AR130" s="35">
        <f>AR129/AN129-1</f>
        <v>-0.54143671911864266</v>
      </c>
      <c r="AS130" s="64">
        <f>AS129/AO129-1</f>
        <v>-0.53449496538703589</v>
      </c>
      <c r="AT130" s="64">
        <f>AT129/AP129-1</f>
        <v>-0.56537499187069784</v>
      </c>
      <c r="AU130" s="64">
        <f>-AU129/AQ129-1</f>
        <v>-1.5753191106604629</v>
      </c>
      <c r="AV130" s="35">
        <f>AV129/AR129-1</f>
        <v>1.2392765667117889E-2</v>
      </c>
      <c r="AW130" s="64">
        <f>AW129/AS129-1</f>
        <v>0.29883263291308126</v>
      </c>
      <c r="AX130" s="64">
        <f>AX129/AT129-1</f>
        <v>1.3386203800688312</v>
      </c>
      <c r="AY130" s="64">
        <f>-AY129/AU129-1</f>
        <v>-3.3086096009664927</v>
      </c>
      <c r="AZ130" s="35">
        <f>AZ129/AV129-1</f>
        <v>0.82306247583273495</v>
      </c>
      <c r="BA130" s="64">
        <f>BA129/AW129-1</f>
        <v>0.71102026282090791</v>
      </c>
      <c r="BB130" s="64">
        <f>BB129/AX129-1</f>
        <v>0.58649743560385392</v>
      </c>
      <c r="BC130" s="64">
        <f>-BC129/AY129-1</f>
        <v>-2.4552540202428155</v>
      </c>
      <c r="BD130" s="35">
        <f>BD129/AZ129-1</f>
        <v>0.2540837320356697</v>
      </c>
      <c r="BE130" s="64">
        <f>BE129/BA129-1</f>
        <v>0.17506663678350454</v>
      </c>
      <c r="BF130" s="64">
        <f>BF129/BB129-1</f>
        <v>0.14889028511266966</v>
      </c>
      <c r="BG130" s="142"/>
      <c r="BH130" s="35">
        <f>BH129/V129-1</f>
        <v>3.9460239542404407E-2</v>
      </c>
      <c r="BI130" s="35">
        <f>BI129/W129-1</f>
        <v>3.7560295051138448E-2</v>
      </c>
      <c r="BJ130" s="35">
        <f>BJ129/X129-1</f>
        <v>7.5533569132351097E-3</v>
      </c>
      <c r="BK130" s="64">
        <f>BK129/Y129-1</f>
        <v>-8.8867318941864726E-2</v>
      </c>
      <c r="BL130" s="35">
        <f>BL129/BH129-1</f>
        <v>-5.672378906263198E-2</v>
      </c>
      <c r="BM130" s="54"/>
      <c r="BN130" s="173">
        <f>BN129/CD129-1</f>
        <v>5.5892896334772013E-2</v>
      </c>
      <c r="BO130" s="21">
        <f>+BO129/BN129-1</f>
        <v>8.4949842796444353E-2</v>
      </c>
      <c r="BP130" s="21">
        <f>+BP129/BO129-1</f>
        <v>3.8787613093861362E-2</v>
      </c>
      <c r="BQ130" s="21">
        <f>+BQ129/BY129-1</f>
        <v>-1.0891008477801667E-2</v>
      </c>
      <c r="BR130" s="21">
        <f>+BR129/BZ129-1</f>
        <v>-0.68762770190343048</v>
      </c>
      <c r="BS130" s="21">
        <f>(BS129/BR129)-1</f>
        <v>2.8258240812462345</v>
      </c>
      <c r="BT130" s="21">
        <f>(BT129/BS129)-1</f>
        <v>-0.24534331782980612</v>
      </c>
      <c r="BU130" s="21">
        <f>(BU129/BT129)-1</f>
        <v>-0.50126225223059995</v>
      </c>
      <c r="BV130" s="21">
        <f>(BV129/BU129)-1</f>
        <v>1.3228449113159901</v>
      </c>
      <c r="BW130" s="21">
        <f>(BW129/BV129)-1</f>
        <v>0.51793080489605292</v>
      </c>
      <c r="BX130" s="220"/>
      <c r="BY130" s="21">
        <f>+BY129/BO129-1</f>
        <v>3.849419903138851E-2</v>
      </c>
      <c r="BZ130" s="21">
        <f>+BZ129/BY129-1</f>
        <v>-1.0891008477801667E-2</v>
      </c>
      <c r="CA130" s="220"/>
      <c r="CG130" s="260"/>
      <c r="CH130" s="6"/>
    </row>
    <row r="131" spans="1:86" ht="13.5" customHeight="1">
      <c r="B131" s="20" t="s">
        <v>355</v>
      </c>
      <c r="C131" s="21">
        <f t="shared" ref="C131:H131" si="551">C129/(C8+C29+C32+C37)</f>
        <v>0.13367343118216851</v>
      </c>
      <c r="D131" s="21">
        <f t="shared" si="551"/>
        <v>0.13297578887176079</v>
      </c>
      <c r="E131" s="21">
        <f t="shared" si="551"/>
        <v>0.13407428764790555</v>
      </c>
      <c r="F131" s="21">
        <f t="shared" si="551"/>
        <v>0.13538478605845167</v>
      </c>
      <c r="G131" s="21">
        <f t="shared" si="551"/>
        <v>0.1361129240618825</v>
      </c>
      <c r="H131" s="21">
        <f t="shared" si="551"/>
        <v>0.13039315385173891</v>
      </c>
      <c r="I131" s="21">
        <f t="shared" ref="I131:N131" si="552">I129/(I8+I29+I32+I37)</f>
        <v>0.13036747239276433</v>
      </c>
      <c r="J131" s="21">
        <f t="shared" si="552"/>
        <v>0.12127970815154868</v>
      </c>
      <c r="K131" s="21">
        <f t="shared" si="552"/>
        <v>8.7493131330315124E-2</v>
      </c>
      <c r="L131" s="21">
        <f t="shared" si="552"/>
        <v>0.13809729689458669</v>
      </c>
      <c r="M131" s="21">
        <f>M129/(M8+M29+M32+M37)</f>
        <v>7.6569007102293196E-2</v>
      </c>
      <c r="N131" s="21">
        <f t="shared" si="552"/>
        <v>6.5874639041809763E-2</v>
      </c>
      <c r="O131" s="21">
        <f>O129/(O8+O29+O32+O37)</f>
        <v>0.1194343744424254</v>
      </c>
      <c r="P131" s="21">
        <f>P129/(P8+P29+P32+P37)</f>
        <v>0.14606448187494372</v>
      </c>
      <c r="Q131" s="220"/>
      <c r="R131" s="21">
        <f t="shared" ref="R131:X131" si="553">R129/(R8+R29+R32+R37)</f>
        <v>0.12378956391349105</v>
      </c>
      <c r="S131" s="21">
        <f t="shared" si="553"/>
        <v>0.13197317270661751</v>
      </c>
      <c r="T131" s="21">
        <f t="shared" si="553"/>
        <v>0.12347371801782388</v>
      </c>
      <c r="U131" s="21">
        <f t="shared" si="553"/>
        <v>0.15400572946335067</v>
      </c>
      <c r="V131" s="64">
        <f t="shared" si="553"/>
        <v>0.13359266928422012</v>
      </c>
      <c r="W131" s="64">
        <f t="shared" si="553"/>
        <v>0.13378445311838999</v>
      </c>
      <c r="X131" s="64">
        <f t="shared" si="553"/>
        <v>0.11709814039233686</v>
      </c>
      <c r="Y131" s="64">
        <f t="shared" ref="Y131:AD131" si="554">Y129/(Y8+Y29+Y32+Y37)</f>
        <v>0.15373287639378738</v>
      </c>
      <c r="Z131" s="64">
        <f t="shared" si="554"/>
        <v>0.13528801306123972</v>
      </c>
      <c r="AA131" s="64">
        <f t="shared" si="554"/>
        <v>0.13349264774345282</v>
      </c>
      <c r="AB131" s="64">
        <f t="shared" si="554"/>
        <v>0.11393491689330298</v>
      </c>
      <c r="AC131" s="64">
        <f t="shared" si="554"/>
        <v>0.1375649559260424</v>
      </c>
      <c r="AD131" s="64">
        <f t="shared" si="554"/>
        <v>0.12398355856506975</v>
      </c>
      <c r="AE131" s="64">
        <f t="shared" ref="AE131:AJ131" si="555">AE129/(AE8+AE29+AE32+AE37)</f>
        <v>0.13533878063746016</v>
      </c>
      <c r="AF131" s="64">
        <f t="shared" si="555"/>
        <v>0.11614036816797528</v>
      </c>
      <c r="AG131" s="64">
        <f t="shared" si="555"/>
        <v>0.11071416825780653</v>
      </c>
      <c r="AH131" s="64">
        <f t="shared" si="555"/>
        <v>9.4473222711933605E-2</v>
      </c>
      <c r="AI131" s="64">
        <f t="shared" si="555"/>
        <v>-1.4560340920011657E-2</v>
      </c>
      <c r="AJ131" s="64">
        <f t="shared" si="555"/>
        <v>7.2117256043629632E-2</v>
      </c>
      <c r="AK131" s="64">
        <f t="shared" ref="AK131:AP131" si="556">AK129/(AK8+AK29+AK32+AK37)</f>
        <v>0.15513017263011747</v>
      </c>
      <c r="AL131" s="64">
        <f t="shared" si="556"/>
        <v>0.14207878571849469</v>
      </c>
      <c r="AM131" s="64">
        <f t="shared" si="556"/>
        <v>0.13554479407325076</v>
      </c>
      <c r="AN131" s="64">
        <f t="shared" si="556"/>
        <v>0.13444835746768938</v>
      </c>
      <c r="AO131" s="64">
        <f t="shared" si="556"/>
        <v>0.1402671265141969</v>
      </c>
      <c r="AP131" s="64">
        <f t="shared" si="556"/>
        <v>9.9590495858356234E-2</v>
      </c>
      <c r="AQ131" s="64">
        <f t="shared" ref="AQ131:AV131" si="557">AQ129/(AQ8+AQ29+AQ32+AQ37)</f>
        <v>7.9578280908730675E-2</v>
      </c>
      <c r="AR131" s="64">
        <f t="shared" si="557"/>
        <v>6.0125484496084437E-2</v>
      </c>
      <c r="AS131" s="64">
        <f t="shared" si="557"/>
        <v>6.8122675767734578E-2</v>
      </c>
      <c r="AT131" s="64">
        <f t="shared" si="557"/>
        <v>4.621482984234275E-2</v>
      </c>
      <c r="AU131" s="64">
        <f t="shared" si="557"/>
        <v>5.2341112218360381E-2</v>
      </c>
      <c r="AV131" s="64">
        <f t="shared" si="557"/>
        <v>6.7351566305785052E-2</v>
      </c>
      <c r="AW131" s="64">
        <f t="shared" ref="AW131:BB131" si="558">AW129/(AW8+AW29+AW32+AW37)</f>
        <v>9.3562744527982911E-2</v>
      </c>
      <c r="AX131" s="64">
        <f t="shared" si="558"/>
        <v>0.10371660295199131</v>
      </c>
      <c r="AY131" s="64">
        <f t="shared" si="558"/>
        <v>0.1119065937788407</v>
      </c>
      <c r="AZ131" s="64">
        <f t="shared" si="558"/>
        <v>0.11600117042628807</v>
      </c>
      <c r="BA131" s="64">
        <f t="shared" si="558"/>
        <v>0.14106335150616559</v>
      </c>
      <c r="BB131" s="64">
        <f t="shared" si="558"/>
        <v>0.15081436866758027</v>
      </c>
      <c r="BC131" s="64">
        <f>BC129/(BC8+BC29+BC32+BC37)</f>
        <v>0.1486283490491335</v>
      </c>
      <c r="BD131" s="64">
        <f>BD129/(BD8+BD29+BD32+BD37)</f>
        <v>0.13242230373513156</v>
      </c>
      <c r="BE131" s="64">
        <f>BE129/(BE8+BE29+BE32+BE37)</f>
        <v>0.15112040164557991</v>
      </c>
      <c r="BF131" s="64">
        <f>BF129/(BF8+BF29+BF32+BF37)</f>
        <v>0.16204752151049895</v>
      </c>
      <c r="BG131" s="142"/>
      <c r="BH131" s="64">
        <f>BH129/(BH8+BH29+BH32+BH37)</f>
        <v>0.13524612758517465</v>
      </c>
      <c r="BI131" s="64">
        <f>BI129/(BI8+BI29+BI32+BI37)</f>
        <v>0.13340644493135559</v>
      </c>
      <c r="BJ131" s="64">
        <f>BJ129/(BJ8+BJ29+BJ32+BJ37)</f>
        <v>0.11380902712741041</v>
      </c>
      <c r="BK131" s="64">
        <f>BK129/(BK8+BK29+BK32+BK37)</f>
        <v>0.13746927757477448</v>
      </c>
      <c r="BL131" s="64">
        <f>BL129/(BL8+BL29+BL32+BL37)</f>
        <v>0.12398355856506975</v>
      </c>
      <c r="BM131" s="220"/>
      <c r="BN131" s="21">
        <f t="shared" ref="BN131:BS131" si="559">BN129/(BN8+BN29+BN32+BN37)</f>
        <v>0.12794636709941171</v>
      </c>
      <c r="BO131" s="21">
        <f t="shared" si="559"/>
        <v>0.13369011439872541</v>
      </c>
      <c r="BP131" s="21">
        <f t="shared" si="559"/>
        <v>0.13436983735965385</v>
      </c>
      <c r="BQ131" s="21">
        <f t="shared" si="559"/>
        <v>0.12976254962680664</v>
      </c>
      <c r="BR131" s="21">
        <f t="shared" si="559"/>
        <v>4.6516737719179455E-2</v>
      </c>
      <c r="BS131" s="21">
        <f t="shared" si="559"/>
        <v>0.13870391833188739</v>
      </c>
      <c r="BT131" s="21">
        <f>BT129/(BT8+BT29+BT32+BT37)</f>
        <v>8.9351213846001087E-2</v>
      </c>
      <c r="BU131" s="21">
        <f>BU129/(BU8+BU29+BU32+BU37)</f>
        <v>4.92446594466961E-2</v>
      </c>
      <c r="BV131" s="21">
        <f>BV129/(BV8+BV29+BV32+BV37)</f>
        <v>0.10783987904748732</v>
      </c>
      <c r="BW131" s="21">
        <f>BW129/(BW8+BW29+BW32+BW37)</f>
        <v>0.14971148516873772</v>
      </c>
      <c r="BX131" s="220"/>
      <c r="BY131" s="21">
        <f>BY129/(BY8+BY29+BY32+BY37)</f>
        <v>0.13430527223446698</v>
      </c>
      <c r="BZ131" s="21">
        <f>BZ129/(BZ8+BZ29+BZ32+BZ37)</f>
        <v>0.12976254962680664</v>
      </c>
      <c r="CA131" s="220"/>
      <c r="CG131" s="260"/>
      <c r="CH131" s="6"/>
    </row>
    <row r="132" spans="1:86" ht="13.5" customHeight="1"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215"/>
      <c r="R132" s="152"/>
      <c r="S132" s="152"/>
      <c r="T132" s="152"/>
      <c r="U132" s="152"/>
      <c r="V132" s="215"/>
      <c r="W132" s="215"/>
      <c r="X132" s="54"/>
      <c r="Y132" s="152"/>
      <c r="Z132" s="54"/>
      <c r="AA132" s="215"/>
      <c r="AB132" s="54"/>
      <c r="AC132" s="152"/>
      <c r="AD132" s="54"/>
      <c r="AE132" s="215"/>
      <c r="AF132" s="54"/>
      <c r="AG132" s="152"/>
      <c r="AH132" s="54"/>
      <c r="AI132" s="215"/>
      <c r="AJ132" s="54"/>
      <c r="AK132" s="152"/>
      <c r="AL132" s="54"/>
      <c r="AM132" s="215"/>
      <c r="AN132" s="54"/>
      <c r="AO132" s="152"/>
      <c r="AP132" s="54"/>
      <c r="AQ132" s="215"/>
      <c r="AR132" s="54"/>
      <c r="AS132" s="152"/>
      <c r="AT132" s="54"/>
      <c r="AU132" s="215"/>
      <c r="AV132" s="54"/>
      <c r="AW132" s="152"/>
      <c r="AX132" s="54"/>
      <c r="AY132" s="215"/>
      <c r="AZ132" s="54"/>
      <c r="BA132" s="152"/>
      <c r="BB132" s="54"/>
      <c r="BC132" s="215"/>
      <c r="BD132" s="54"/>
      <c r="BF132" s="54"/>
      <c r="BG132" s="142"/>
      <c r="CG132" s="260"/>
      <c r="CH132" s="6"/>
    </row>
    <row r="133" spans="1:86" ht="13.5" customHeight="1">
      <c r="A133" s="28"/>
      <c r="B133" s="17" t="s">
        <v>365</v>
      </c>
      <c r="C133" s="46">
        <v>41975</v>
      </c>
      <c r="D133" s="46">
        <v>42341</v>
      </c>
      <c r="E133" s="253">
        <f t="shared" ref="E133:J133" si="560">E3</f>
        <v>42708</v>
      </c>
      <c r="F133" s="253">
        <f t="shared" si="560"/>
        <v>43073</v>
      </c>
      <c r="G133" s="253">
        <f t="shared" si="560"/>
        <v>43073</v>
      </c>
      <c r="H133" s="253">
        <f t="shared" si="560"/>
        <v>43438</v>
      </c>
      <c r="I133" s="253">
        <f t="shared" si="560"/>
        <v>43438</v>
      </c>
      <c r="J133" s="253">
        <f t="shared" si="560"/>
        <v>43803</v>
      </c>
      <c r="K133" s="253">
        <f t="shared" ref="K133:P133" si="561">K3</f>
        <v>44169</v>
      </c>
      <c r="L133" s="253">
        <f t="shared" si="561"/>
        <v>44534</v>
      </c>
      <c r="M133" s="253">
        <f t="shared" si="561"/>
        <v>44899</v>
      </c>
      <c r="N133" s="253">
        <f t="shared" si="561"/>
        <v>45264</v>
      </c>
      <c r="O133" s="253">
        <f t="shared" si="561"/>
        <v>45630</v>
      </c>
      <c r="P133" s="253">
        <f t="shared" si="561"/>
        <v>45995</v>
      </c>
      <c r="Q133" s="329"/>
      <c r="R133" s="46">
        <v>42437</v>
      </c>
      <c r="S133" s="46">
        <v>42527</v>
      </c>
      <c r="T133" s="46">
        <v>42622</v>
      </c>
      <c r="U133" s="46">
        <v>42714</v>
      </c>
      <c r="V133" s="46">
        <v>42801</v>
      </c>
      <c r="W133" s="46">
        <v>42892</v>
      </c>
      <c r="X133" s="46">
        <v>42987</v>
      </c>
      <c r="Y133" s="46">
        <v>43079</v>
      </c>
      <c r="Z133" s="46">
        <f t="shared" ref="Z133:AE133" si="562">Z3</f>
        <v>43166</v>
      </c>
      <c r="AA133" s="46">
        <f t="shared" si="562"/>
        <v>43257</v>
      </c>
      <c r="AB133" s="46">
        <f t="shared" si="562"/>
        <v>43352</v>
      </c>
      <c r="AC133" s="46">
        <f t="shared" si="562"/>
        <v>43444</v>
      </c>
      <c r="AD133" s="253">
        <f t="shared" si="562"/>
        <v>43531</v>
      </c>
      <c r="AE133" s="46">
        <f t="shared" si="562"/>
        <v>43622</v>
      </c>
      <c r="AF133" s="253">
        <f t="shared" ref="AF133:AK133" si="563">AF3</f>
        <v>43738</v>
      </c>
      <c r="AG133" s="46">
        <f t="shared" si="563"/>
        <v>43809</v>
      </c>
      <c r="AH133" s="253">
        <f t="shared" si="563"/>
        <v>43897</v>
      </c>
      <c r="AI133" s="46">
        <f t="shared" si="563"/>
        <v>43988</v>
      </c>
      <c r="AJ133" s="253">
        <f t="shared" si="563"/>
        <v>44104</v>
      </c>
      <c r="AK133" s="46">
        <f t="shared" si="563"/>
        <v>44175</v>
      </c>
      <c r="AL133" s="253">
        <f t="shared" ref="AL133:AQ133" si="564">AL3</f>
        <v>44262</v>
      </c>
      <c r="AM133" s="253">
        <f t="shared" si="564"/>
        <v>44348</v>
      </c>
      <c r="AN133" s="253">
        <f t="shared" si="564"/>
        <v>44469</v>
      </c>
      <c r="AO133" s="46">
        <f t="shared" si="564"/>
        <v>44540</v>
      </c>
      <c r="AP133" s="253">
        <f t="shared" si="564"/>
        <v>44651</v>
      </c>
      <c r="AQ133" s="253">
        <f t="shared" si="564"/>
        <v>44713</v>
      </c>
      <c r="AR133" s="253">
        <f t="shared" ref="AR133:AW133" si="565">AR3</f>
        <v>44834</v>
      </c>
      <c r="AS133" s="46">
        <f t="shared" si="565"/>
        <v>44905</v>
      </c>
      <c r="AT133" s="253">
        <f t="shared" si="565"/>
        <v>45016</v>
      </c>
      <c r="AU133" s="253">
        <f t="shared" si="565"/>
        <v>45078</v>
      </c>
      <c r="AV133" s="253">
        <f t="shared" si="565"/>
        <v>45199</v>
      </c>
      <c r="AW133" s="46">
        <f t="shared" si="565"/>
        <v>45270</v>
      </c>
      <c r="AX133" s="253">
        <f t="shared" ref="AX133:BC133" si="566">AX3</f>
        <v>45382</v>
      </c>
      <c r="AY133" s="253">
        <f t="shared" si="566"/>
        <v>45444</v>
      </c>
      <c r="AZ133" s="253">
        <f t="shared" si="566"/>
        <v>45565</v>
      </c>
      <c r="BA133" s="46">
        <f t="shared" si="566"/>
        <v>45636</v>
      </c>
      <c r="BB133" s="253">
        <f t="shared" si="566"/>
        <v>45747</v>
      </c>
      <c r="BC133" s="253">
        <f t="shared" si="566"/>
        <v>45809</v>
      </c>
      <c r="BD133" s="253">
        <f>BD3</f>
        <v>45930</v>
      </c>
      <c r="BE133" s="46">
        <f>BE3</f>
        <v>46001</v>
      </c>
      <c r="BF133" s="253">
        <f>BF3</f>
        <v>46112</v>
      </c>
      <c r="BG133" s="142"/>
      <c r="BH133" s="253">
        <f>BH3</f>
        <v>43166</v>
      </c>
      <c r="BI133" s="253">
        <f>BI3</f>
        <v>43281</v>
      </c>
      <c r="BJ133" s="253">
        <f>BJ3</f>
        <v>43373</v>
      </c>
      <c r="BK133" s="46">
        <f>BK3</f>
        <v>43444</v>
      </c>
      <c r="BL133" s="253">
        <f>BL3</f>
        <v>43531</v>
      </c>
      <c r="BM133" s="329"/>
      <c r="BN133" s="46">
        <v>42530</v>
      </c>
      <c r="BO133" s="46">
        <v>42896</v>
      </c>
      <c r="BP133" s="46">
        <f t="shared" ref="BP133:BU133" si="567">BP3</f>
        <v>43261</v>
      </c>
      <c r="BQ133" s="253">
        <f t="shared" si="567"/>
        <v>43646</v>
      </c>
      <c r="BR133" s="253">
        <f t="shared" si="567"/>
        <v>44012</v>
      </c>
      <c r="BS133" s="253">
        <f t="shared" si="567"/>
        <v>44377</v>
      </c>
      <c r="BT133" s="253">
        <f t="shared" si="567"/>
        <v>44742</v>
      </c>
      <c r="BU133" s="253">
        <f t="shared" si="567"/>
        <v>45107</v>
      </c>
      <c r="BV133" s="253">
        <f>BV3</f>
        <v>45473</v>
      </c>
      <c r="BW133" s="253">
        <f>BW3</f>
        <v>45838</v>
      </c>
      <c r="BX133" s="329"/>
      <c r="BY133" s="253">
        <f>BY3</f>
        <v>43281</v>
      </c>
      <c r="BZ133" s="253">
        <f>BZ3</f>
        <v>43646</v>
      </c>
      <c r="CA133" s="62"/>
      <c r="CC133" s="18"/>
      <c r="CD133" s="18"/>
      <c r="CE133" s="18"/>
      <c r="CG133" s="260"/>
      <c r="CH133" s="6"/>
    </row>
    <row r="134" spans="1:86" s="5" customFormat="1" ht="13.5" customHeight="1">
      <c r="B134" s="5" t="s">
        <v>366</v>
      </c>
      <c r="C134" s="8">
        <f t="shared" ref="C134:H134" si="568">C109</f>
        <v>895706</v>
      </c>
      <c r="D134" s="8">
        <f t="shared" si="568"/>
        <v>974815</v>
      </c>
      <c r="E134" s="8">
        <f t="shared" si="568"/>
        <v>1021405</v>
      </c>
      <c r="F134" s="8">
        <f t="shared" si="568"/>
        <v>1084357.895</v>
      </c>
      <c r="G134" s="8">
        <f t="shared" si="568"/>
        <v>1086759.895</v>
      </c>
      <c r="H134" s="8">
        <f t="shared" si="568"/>
        <v>1074021.3770000001</v>
      </c>
      <c r="I134" s="8">
        <f t="shared" ref="I134:N134" si="569">I109</f>
        <v>866383.94500000007</v>
      </c>
      <c r="J134" s="8">
        <f t="shared" si="569"/>
        <v>791232.74500000011</v>
      </c>
      <c r="K134" s="8">
        <f t="shared" si="569"/>
        <v>622552.37899999996</v>
      </c>
      <c r="L134" s="8">
        <f t="shared" si="569"/>
        <v>1233363.9020000002</v>
      </c>
      <c r="M134" s="8">
        <f>M109</f>
        <v>756358.39300000027</v>
      </c>
      <c r="N134" s="8">
        <f t="shared" si="569"/>
        <v>678211.42</v>
      </c>
      <c r="O134" s="8">
        <f>O109</f>
        <v>1150669.0729999999</v>
      </c>
      <c r="P134" s="8">
        <f>P109</f>
        <v>1502929.4209999999</v>
      </c>
      <c r="Q134" s="8"/>
      <c r="R134" s="8">
        <f>R109</f>
        <v>219905.372</v>
      </c>
      <c r="S134" s="8">
        <f>S109</f>
        <v>250356.68599999999</v>
      </c>
      <c r="T134" s="8">
        <f>T109</f>
        <v>217705.649</v>
      </c>
      <c r="U134" s="8">
        <f>U109</f>
        <v>333437.3189999999</v>
      </c>
      <c r="V134" s="8">
        <f>V109</f>
        <v>253372.09699999998</v>
      </c>
      <c r="W134" s="8">
        <f>BO134-V134</f>
        <v>263548.90300000005</v>
      </c>
      <c r="X134" s="8">
        <f t="shared" ref="X134:AC134" si="570">X109</f>
        <v>213973.76000000001</v>
      </c>
      <c r="Y134" s="8">
        <f t="shared" si="570"/>
        <v>353463.82999999996</v>
      </c>
      <c r="Z134" s="8">
        <f t="shared" si="570"/>
        <v>262155.10600000003</v>
      </c>
      <c r="AA134" s="8">
        <f t="shared" si="570"/>
        <v>271290.62600000005</v>
      </c>
      <c r="AB134" s="8">
        <f t="shared" si="570"/>
        <v>224759.58199999999</v>
      </c>
      <c r="AC134" s="8">
        <f t="shared" si="570"/>
        <v>315816.06299999997</v>
      </c>
      <c r="AD134" s="8">
        <f t="shared" ref="AD134:AI134" si="571">AD109</f>
        <v>187012.663</v>
      </c>
      <c r="AE134" s="8">
        <f t="shared" si="571"/>
        <v>212798.4499999999</v>
      </c>
      <c r="AF134" s="8">
        <f t="shared" si="571"/>
        <v>168305.60199999998</v>
      </c>
      <c r="AG134" s="8">
        <f t="shared" si="571"/>
        <v>223116.03000000006</v>
      </c>
      <c r="AH134" s="8">
        <f t="shared" si="571"/>
        <v>140819.99399999998</v>
      </c>
      <c r="AI134" s="8">
        <f t="shared" si="571"/>
        <v>-35452.159999999974</v>
      </c>
      <c r="AJ134" s="8">
        <f t="shared" ref="AJ134:AO134" si="572">AJ109</f>
        <v>134114.19299999991</v>
      </c>
      <c r="AK134" s="8">
        <f t="shared" si="572"/>
        <v>383070.35200000007</v>
      </c>
      <c r="AL134" s="8">
        <f t="shared" si="572"/>
        <v>244634.93199999997</v>
      </c>
      <c r="AM134" s="8">
        <f t="shared" si="572"/>
        <v>276546.16500000004</v>
      </c>
      <c r="AN134" s="8">
        <f t="shared" si="572"/>
        <v>311048.66499999992</v>
      </c>
      <c r="AO134" s="8">
        <f t="shared" si="572"/>
        <v>401134.14</v>
      </c>
      <c r="AP134" s="8">
        <f t="shared" ref="AP134:AU134" si="573">AP109</f>
        <v>204521.32200000004</v>
      </c>
      <c r="AQ134" s="8">
        <f t="shared" si="573"/>
        <v>185157.13299999991</v>
      </c>
      <c r="AR134" s="8">
        <f t="shared" si="573"/>
        <v>133035.35700000013</v>
      </c>
      <c r="AS134" s="8">
        <f t="shared" si="573"/>
        <v>233644.5809999998</v>
      </c>
      <c r="AT134" s="8">
        <f t="shared" si="573"/>
        <v>118240.82199999999</v>
      </c>
      <c r="AU134" s="8">
        <f t="shared" si="573"/>
        <v>139030.47900000011</v>
      </c>
      <c r="AV134" s="8">
        <f t="shared" ref="AV134:BA134" si="574">AV109</f>
        <v>129318.63499999999</v>
      </c>
      <c r="AW134" s="8">
        <f t="shared" si="574"/>
        <v>291621.484</v>
      </c>
      <c r="AX134" s="8">
        <f t="shared" si="574"/>
        <v>229221.27800000002</v>
      </c>
      <c r="AY134" s="8">
        <f t="shared" si="574"/>
        <v>257936.80799999999</v>
      </c>
      <c r="AZ134" s="8">
        <f t="shared" si="574"/>
        <v>239474.2410000001</v>
      </c>
      <c r="BA134" s="8">
        <f t="shared" si="574"/>
        <v>424036.74599999993</v>
      </c>
      <c r="BB134" s="8">
        <f>BB109</f>
        <v>336443.40100000007</v>
      </c>
      <c r="BC134" s="8">
        <f>BC109</f>
        <v>347122.95300000004</v>
      </c>
      <c r="BD134" s="8">
        <f>BD109</f>
        <v>303112.92199999979</v>
      </c>
      <c r="BE134" s="8">
        <f>BE109</f>
        <v>516250.14499999996</v>
      </c>
      <c r="BF134" s="8">
        <f>BF109</f>
        <v>353666.929</v>
      </c>
      <c r="BG134" s="142"/>
      <c r="BH134" s="8">
        <f>BH109</f>
        <v>205604.67700000003</v>
      </c>
      <c r="BI134" s="8">
        <f>BI109</f>
        <v>220866.33899999995</v>
      </c>
      <c r="BJ134" s="8">
        <f>BJ109</f>
        <v>174925.12700000004</v>
      </c>
      <c r="BK134" s="8">
        <f>BK109</f>
        <v>108178.63099999991</v>
      </c>
      <c r="BL134" s="8">
        <f>BL109</f>
        <v>187012.663</v>
      </c>
      <c r="BM134" s="8"/>
      <c r="BN134" s="8">
        <f t="shared" ref="BN134:BS134" si="575">BN109</f>
        <v>470262</v>
      </c>
      <c r="BO134" s="8">
        <f t="shared" si="575"/>
        <v>516921</v>
      </c>
      <c r="BP134" s="8">
        <f t="shared" si="575"/>
        <v>533445.73200000008</v>
      </c>
      <c r="BQ134" s="8">
        <f t="shared" si="575"/>
        <v>399811.11300000001</v>
      </c>
      <c r="BR134" s="8">
        <f t="shared" si="575"/>
        <v>105367.83400000003</v>
      </c>
      <c r="BS134" s="8">
        <f t="shared" si="575"/>
        <v>521181.09700000001</v>
      </c>
      <c r="BT134" s="8">
        <f>BT109</f>
        <v>389678.45500000002</v>
      </c>
      <c r="BU134" s="8">
        <f>BU109</f>
        <v>257271.30100000006</v>
      </c>
      <c r="BV134" s="8">
        <f>BV109</f>
        <v>487158.08600000013</v>
      </c>
      <c r="BW134" s="8">
        <f>BW109</f>
        <v>683566.35400000005</v>
      </c>
      <c r="BX134" s="8"/>
      <c r="BY134" s="8">
        <f>BY109</f>
        <v>426471.01599999995</v>
      </c>
      <c r="BZ134" s="8">
        <f>BZ109</f>
        <v>399811.11300000001</v>
      </c>
      <c r="CA134" s="8"/>
      <c r="CC134" s="8">
        <f>CC109</f>
        <v>204798.003</v>
      </c>
      <c r="CD134" s="8">
        <f>CD109</f>
        <v>438034.77</v>
      </c>
      <c r="CE134" s="8">
        <f>CE109</f>
        <v>641521.027</v>
      </c>
      <c r="CG134" s="260"/>
    </row>
    <row r="135" spans="1:86" ht="13.5" customHeight="1">
      <c r="B135" s="7" t="s">
        <v>367</v>
      </c>
      <c r="C135" s="4">
        <f>(1359023.097+916670.685-877521.25)-C233</f>
        <v>-124779.46799999988</v>
      </c>
      <c r="D135" s="6">
        <f>C233-D233</f>
        <v>-312260</v>
      </c>
      <c r="E135" s="6">
        <f>D233-E233</f>
        <v>-122753</v>
      </c>
      <c r="F135" s="6">
        <f>E233-F233</f>
        <v>-159524.2080000001</v>
      </c>
      <c r="G135" s="6">
        <f>E233-G233</f>
        <v>-160113.83600000013</v>
      </c>
      <c r="H135" s="6">
        <f>G233-H233</f>
        <v>-212842.23600000003</v>
      </c>
      <c r="I135" s="6">
        <f>G233-I233</f>
        <v>1221758.7240000002</v>
      </c>
      <c r="J135" s="6">
        <f>I233-J233</f>
        <v>168925.12800000003</v>
      </c>
      <c r="K135" s="6">
        <f>J233-K233</f>
        <v>294678.84299999988</v>
      </c>
      <c r="L135" s="6">
        <f>K233-L233</f>
        <v>-531121.52199999965</v>
      </c>
      <c r="M135" s="6">
        <f>L233-M233</f>
        <v>-356486.21500000032</v>
      </c>
      <c r="N135" s="6">
        <f>M233-N233</f>
        <v>596225.60899999994</v>
      </c>
      <c r="O135" s="6">
        <f>O233-N233</f>
        <v>-146360.39100000006</v>
      </c>
      <c r="P135" s="6">
        <f>P233-O233</f>
        <v>55355.699000000022</v>
      </c>
      <c r="Q135" s="6"/>
      <c r="R135" s="6">
        <f>D233-R233</f>
        <v>64010.841000000015</v>
      </c>
      <c r="S135" s="6">
        <f>R233-S233</f>
        <v>-188187.17099999962</v>
      </c>
      <c r="T135" s="6">
        <f>S233-T233</f>
        <v>-36255.865000000224</v>
      </c>
      <c r="U135" s="6">
        <f>E135-T135-S135-R135</f>
        <v>37679.194999999832</v>
      </c>
      <c r="V135" s="6">
        <f>E233-V233</f>
        <v>4504.4870000001974</v>
      </c>
      <c r="W135" s="6">
        <f>V233-W233</f>
        <v>-146646.4870000002</v>
      </c>
      <c r="X135" s="6">
        <f>W233-X233</f>
        <v>-3621.8509999997914</v>
      </c>
      <c r="Y135" s="6">
        <f>F135-X135-W135-V135</f>
        <v>-13760.357000000309</v>
      </c>
      <c r="Z135" s="6">
        <f>Y233-Z233</f>
        <v>19552.851999999955</v>
      </c>
      <c r="AA135" s="6">
        <f>Z233-AA233</f>
        <v>-173413.16000000015</v>
      </c>
      <c r="AB135" s="6" t="e">
        <f>#REF!-AB233</f>
        <v>#REF!</v>
      </c>
      <c r="AC135" s="151" t="e">
        <f>H135-AB135-AA135-Z135</f>
        <v>#REF!</v>
      </c>
      <c r="AD135" s="6">
        <f>AC233-AD233</f>
        <v>1522303.7920000001</v>
      </c>
      <c r="AE135" s="6">
        <f>AD233-AE233</f>
        <v>-152678.87999999989</v>
      </c>
      <c r="AF135" s="6">
        <f>AE233-AF233</f>
        <v>16600.511999999871</v>
      </c>
      <c r="AG135" s="151">
        <f>J135-AF135-AE135-AD135</f>
        <v>-1217300.2960000001</v>
      </c>
      <c r="AH135" s="6">
        <f>AG233-AH233</f>
        <v>-104699.16000000015</v>
      </c>
      <c r="AI135" s="6">
        <f>AH233-AI233</f>
        <v>47851.760000000126</v>
      </c>
      <c r="AJ135" s="6">
        <f>AI233-AJ233</f>
        <v>190737.63999999978</v>
      </c>
      <c r="AK135" s="151">
        <f>K135-AJ135-AI135-AH135</f>
        <v>160788.60300000012</v>
      </c>
      <c r="AL135" s="6">
        <f>AK233-AL233</f>
        <v>-125136.09100000001</v>
      </c>
      <c r="AM135" s="6">
        <f>AL233-AM233</f>
        <v>-51918.107999999775</v>
      </c>
      <c r="AN135" s="6">
        <f>AM233-AN233</f>
        <v>-290451.75300000026</v>
      </c>
      <c r="AO135" s="151">
        <f>L135-AN135-AM135-AL135</f>
        <v>-63615.5699999996</v>
      </c>
      <c r="AP135" s="6">
        <f>AO233-AP233</f>
        <v>-210928.91300000018</v>
      </c>
      <c r="AQ135" s="6">
        <f>AP233-AQ233</f>
        <v>-306808.19200000004</v>
      </c>
      <c r="AR135" s="6">
        <f>AQ233-AR233</f>
        <v>-92985.233999999706</v>
      </c>
      <c r="AS135" s="151">
        <f>M135-AR135-AQ135-AP135</f>
        <v>254236.1239999996</v>
      </c>
      <c r="AT135" s="6">
        <f>AS233-AT233</f>
        <v>306954.93900000001</v>
      </c>
      <c r="AU135" s="6">
        <f>BU135-AT135</f>
        <v>-151978.97400000016</v>
      </c>
      <c r="AV135" s="6">
        <f>AU233-AV233</f>
        <v>154624.09300000011</v>
      </c>
      <c r="AW135" s="151">
        <f>N135-AV135-AU135-AT135</f>
        <v>286625.55099999998</v>
      </c>
      <c r="AX135" s="6">
        <f>AW233-AX233</f>
        <v>-123150.3870000001</v>
      </c>
      <c r="AY135" s="6">
        <f>BV135-AX135</f>
        <v>-240189.27500000014</v>
      </c>
      <c r="AZ135" s="6">
        <f>AY233-AZ233</f>
        <v>165043.13600000041</v>
      </c>
      <c r="BA135" s="151">
        <f>O135-AZ135-AY135-AX135</f>
        <v>51936.134999999776</v>
      </c>
      <c r="BB135" s="6">
        <f>BA233-BB233</f>
        <v>-198901.29799999972</v>
      </c>
      <c r="BC135" s="6">
        <f>BW135-BB135</f>
        <v>-166705.82200000016</v>
      </c>
      <c r="BD135" s="6">
        <f>BC233-BD233</f>
        <v>-23328.923000000417</v>
      </c>
      <c r="BE135" s="151">
        <f>P135-BD135-BC135-BB135</f>
        <v>444291.74200000032</v>
      </c>
      <c r="BF135" s="6">
        <f>BE233-BF233</f>
        <v>146367.5689999999</v>
      </c>
      <c r="BG135" s="142"/>
      <c r="BH135" s="6">
        <f>Z135</f>
        <v>19552.851999999955</v>
      </c>
      <c r="BI135" s="6">
        <f>AA135</f>
        <v>-173413.16000000015</v>
      </c>
      <c r="BJ135" s="6" t="e">
        <f>AB135</f>
        <v>#REF!</v>
      </c>
      <c r="BK135" s="151" t="e">
        <f>I135-Z135-AB135-AA135</f>
        <v>#REF!</v>
      </c>
      <c r="BL135" s="6">
        <f>BK233-BL233</f>
        <v>-808617.28</v>
      </c>
      <c r="BM135" s="6"/>
      <c r="BN135" s="6">
        <f>D233-BN233</f>
        <v>-124176.32999999961</v>
      </c>
      <c r="BO135" s="6">
        <f>E233-BO233</f>
        <v>-142142</v>
      </c>
      <c r="BP135" s="6">
        <f>F233-BP233</f>
        <v>-153860.30800000019</v>
      </c>
      <c r="BQ135" s="6">
        <f>H233-BQ233</f>
        <v>1369624.9120000002</v>
      </c>
      <c r="BR135" s="6">
        <f t="shared" ref="BR135:BW135" si="576">J233-BR233</f>
        <v>-56847.400000000023</v>
      </c>
      <c r="BS135" s="6">
        <f t="shared" si="576"/>
        <v>-177054.19899999979</v>
      </c>
      <c r="BT135" s="6">
        <f t="shared" si="576"/>
        <v>-517737.10500000021</v>
      </c>
      <c r="BU135" s="6">
        <f t="shared" si="576"/>
        <v>154975.96499999985</v>
      </c>
      <c r="BV135" s="6">
        <f t="shared" si="576"/>
        <v>-363339.66200000024</v>
      </c>
      <c r="BW135" s="6">
        <f t="shared" si="576"/>
        <v>-365607.11999999988</v>
      </c>
      <c r="BX135" s="6"/>
      <c r="BY135" s="6">
        <f>BP135</f>
        <v>-153860.30800000019</v>
      </c>
      <c r="BZ135" s="6">
        <f>BQ135</f>
        <v>1369624.9120000002</v>
      </c>
      <c r="CA135" s="6"/>
      <c r="CC135" s="6">
        <f>C233-CC233</f>
        <v>-27338.746999999741</v>
      </c>
      <c r="CD135" s="6">
        <f>C233-CD233</f>
        <v>-195561.6660000002</v>
      </c>
      <c r="CE135" s="6">
        <f>C233-CE233</f>
        <v>-241946.40299999993</v>
      </c>
      <c r="CG135" s="260"/>
    </row>
    <row r="136" spans="1:86" ht="13.5" customHeight="1">
      <c r="B136" s="7" t="s">
        <v>368</v>
      </c>
      <c r="C136" s="4">
        <v>-96087.932000000001</v>
      </c>
      <c r="D136" s="4">
        <v>-126155.139</v>
      </c>
      <c r="E136" s="4">
        <v>-155870.23699999999</v>
      </c>
      <c r="F136" s="4">
        <v>-154680.84400000001</v>
      </c>
      <c r="G136" s="4">
        <v>-154680.84400000001</v>
      </c>
      <c r="H136" s="4">
        <v>-192063.30300000001</v>
      </c>
      <c r="I136" s="4">
        <v>-140370.761</v>
      </c>
      <c r="J136" s="4">
        <v>-106184.75</v>
      </c>
      <c r="K136" s="4">
        <v>13252.206</v>
      </c>
      <c r="L136" s="4">
        <v>-35105.536</v>
      </c>
      <c r="M136" s="4">
        <v>-166498.40599999999</v>
      </c>
      <c r="N136" s="4">
        <v>-81077.619000000006</v>
      </c>
      <c r="O136" s="4">
        <v>-122517.56600000001</v>
      </c>
      <c r="P136" s="4">
        <v>-164312.23800000001</v>
      </c>
      <c r="Q136" s="4"/>
      <c r="R136" s="4">
        <v>-37592.434000000001</v>
      </c>
      <c r="S136" s="6">
        <f>BN136-R136</f>
        <v>-37899.181000000004</v>
      </c>
      <c r="T136" s="4">
        <f>-117606.937-S136-R136</f>
        <v>-42115.321999999993</v>
      </c>
      <c r="U136" s="6">
        <f>E136-T136-S136-R136</f>
        <v>-38263.299999999996</v>
      </c>
      <c r="V136" s="4">
        <v>-53313.864000000001</v>
      </c>
      <c r="W136" s="6">
        <f>BO136-V136</f>
        <v>-26372.260999999999</v>
      </c>
      <c r="X136" s="4">
        <f>-119400.702-W136-V136</f>
        <v>-39714.577000000005</v>
      </c>
      <c r="Y136" s="6">
        <f>F136-X136-W136-V136</f>
        <v>-35280.142000000007</v>
      </c>
      <c r="Z136" s="4">
        <v>-57712.709000000003</v>
      </c>
      <c r="AA136" s="6">
        <f>BP136-Z136</f>
        <v>-65803.870999999999</v>
      </c>
      <c r="AB136" s="4">
        <f>-168617.43-AA136-Z136</f>
        <v>-45100.849999999991</v>
      </c>
      <c r="AC136" s="151">
        <f>H136-AB136-AA136-Z136</f>
        <v>-23445.873000000036</v>
      </c>
      <c r="AD136" s="4">
        <v>-28407.348000000002</v>
      </c>
      <c r="AE136" s="6">
        <f>BQ136-AD136</f>
        <v>-41539.186000000002</v>
      </c>
      <c r="AF136" s="4">
        <f>-76348.361-AE136-AD136</f>
        <v>-6401.8270000000011</v>
      </c>
      <c r="AG136" s="151">
        <f>J136-AF136-AE136-AD136</f>
        <v>-29836.388999999992</v>
      </c>
      <c r="AH136" s="4">
        <v>-36173.809000000001</v>
      </c>
      <c r="AI136" s="6">
        <f>BR136-AH136</f>
        <v>64651.851999999999</v>
      </c>
      <c r="AJ136" s="4">
        <f>21594.01-AI136-AH136</f>
        <v>-6884.0330000000031</v>
      </c>
      <c r="AK136" s="151">
        <f>K136-AJ136-AI136-AH136</f>
        <v>-8341.8039999999964</v>
      </c>
      <c r="AL136" s="4">
        <v>-13614.609</v>
      </c>
      <c r="AM136" s="6">
        <f>BS136-AL136</f>
        <v>-12410.416000000001</v>
      </c>
      <c r="AN136" s="4">
        <f>-39665.744-AM136-AL136</f>
        <v>-13640.718999999997</v>
      </c>
      <c r="AO136" s="151">
        <f>L136-AN136-AM136-AL136</f>
        <v>4560.2079999999987</v>
      </c>
      <c r="AP136" s="4">
        <v>-27989.496999999999</v>
      </c>
      <c r="AQ136" s="6">
        <f>BT136-AP136</f>
        <v>-91458.11</v>
      </c>
      <c r="AR136" s="4">
        <f>-143869.033-AQ136-AP136</f>
        <v>-24421.425999999996</v>
      </c>
      <c r="AS136" s="151">
        <f>M136-AR136-AQ136-AP136</f>
        <v>-22629.372999999981</v>
      </c>
      <c r="AT136" s="4">
        <v>-34509.97</v>
      </c>
      <c r="AU136" s="6">
        <f>BU136-AT136</f>
        <v>-23090.442999999999</v>
      </c>
      <c r="AV136" s="4">
        <f>-59248.161-AU136-AT136</f>
        <v>-1647.7479999999996</v>
      </c>
      <c r="AW136" s="151">
        <f>N136-AV136-AU136-AT136</f>
        <v>-21829.458000000013</v>
      </c>
      <c r="AX136" s="4">
        <v>-43458.184000000001</v>
      </c>
      <c r="AY136" s="6">
        <f>BV136-AX136</f>
        <v>-25389.048000000003</v>
      </c>
      <c r="AZ136" s="4">
        <f>-93098.014-AY136-AX136</f>
        <v>-24250.781999999985</v>
      </c>
      <c r="BA136" s="151">
        <f>O136-AZ136-AY136-AX136</f>
        <v>-29419.552000000003</v>
      </c>
      <c r="BB136" s="4">
        <v>-49384.866000000002</v>
      </c>
      <c r="BC136" s="6">
        <f>BW136-BB136</f>
        <v>-44639.662999999993</v>
      </c>
      <c r="BD136" s="4">
        <f>-139969.78-BC136-BB136</f>
        <v>-45945.250999999997</v>
      </c>
      <c r="BE136" s="151">
        <f>P136-BD136-BC136-BB136</f>
        <v>-24342.458000000021</v>
      </c>
      <c r="BF136" s="4">
        <v>-65748.926000000007</v>
      </c>
      <c r="BG136" s="142"/>
      <c r="BH136" s="4">
        <v>-45995.139000000003</v>
      </c>
      <c r="BI136" s="203">
        <f>BY136-BH136</f>
        <v>-48826.909999999996</v>
      </c>
      <c r="BJ136" s="4">
        <f>-126479.544-BI136-BH136</f>
        <v>-31657.494999999988</v>
      </c>
      <c r="BK136" s="151">
        <f>I136-Z136-AB136-AA136</f>
        <v>28246.668999999994</v>
      </c>
      <c r="BL136" s="4">
        <v>-28407.348000000002</v>
      </c>
      <c r="BM136" s="4"/>
      <c r="BN136" s="4">
        <v>-75491.615000000005</v>
      </c>
      <c r="BO136" s="4">
        <v>-79686.125</v>
      </c>
      <c r="BP136" s="4">
        <v>-123516.58</v>
      </c>
      <c r="BQ136" s="4">
        <v>-69946.534</v>
      </c>
      <c r="BR136" s="4">
        <v>28478.043000000001</v>
      </c>
      <c r="BS136" s="4">
        <v>-26025.025000000001</v>
      </c>
      <c r="BT136" s="4">
        <v>-119447.607</v>
      </c>
      <c r="BU136" s="4">
        <v>-57600.413</v>
      </c>
      <c r="BV136" s="4">
        <v>-68847.232000000004</v>
      </c>
      <c r="BW136" s="4">
        <v>-94024.528999999995</v>
      </c>
      <c r="BX136" s="4"/>
      <c r="BY136" s="4">
        <v>-94822.048999999999</v>
      </c>
      <c r="BZ136" s="4">
        <v>-69946.534</v>
      </c>
      <c r="CA136" s="4"/>
      <c r="CC136" s="4">
        <v>-33727.705000000002</v>
      </c>
      <c r="CD136" s="4">
        <v>-69926.429000000004</v>
      </c>
      <c r="CE136" s="4">
        <v>-99771.861000000004</v>
      </c>
      <c r="CG136" s="260"/>
    </row>
    <row r="137" spans="1:86" ht="13.5" customHeight="1">
      <c r="B137" s="7" t="s">
        <v>369</v>
      </c>
      <c r="C137" s="4">
        <v>-88246.884999999995</v>
      </c>
      <c r="D137" s="4">
        <v>-152688.95699999999</v>
      </c>
      <c r="E137" s="4">
        <v>-168467.36799999999</v>
      </c>
      <c r="F137" s="4">
        <v>-166699.508</v>
      </c>
      <c r="G137" s="4">
        <v>-166699.508</v>
      </c>
      <c r="H137" s="4">
        <v>-168127.34099999999</v>
      </c>
      <c r="I137" s="4">
        <v>-165482.272</v>
      </c>
      <c r="J137" s="4">
        <v>-148775.18599999999</v>
      </c>
      <c r="K137" s="4">
        <v>-186551.639</v>
      </c>
      <c r="L137" s="4">
        <v>-152165.73300000001</v>
      </c>
      <c r="M137" s="4">
        <v>-194267.098</v>
      </c>
      <c r="N137" s="4">
        <v>-238051.59</v>
      </c>
      <c r="O137" s="4">
        <v>-242276.573</v>
      </c>
      <c r="P137" s="4">
        <v>-198387.57399999999</v>
      </c>
      <c r="Q137" s="4"/>
      <c r="R137" s="4">
        <v>-39871.027999999998</v>
      </c>
      <c r="S137" s="6">
        <f>BN137-R137</f>
        <v>-48800.654000000002</v>
      </c>
      <c r="T137" s="4">
        <f>-133398.065-S137-R137</f>
        <v>-44726.382999999994</v>
      </c>
      <c r="U137" s="6">
        <f>E137-T137-S137-R137</f>
        <v>-35069.302999999978</v>
      </c>
      <c r="V137" s="4">
        <v>-39692.322</v>
      </c>
      <c r="W137" s="6">
        <f>BO137-V137</f>
        <v>-32344.263999999996</v>
      </c>
      <c r="X137" s="4">
        <f>-125499.171-W137-V137</f>
        <v>-53462.585000000006</v>
      </c>
      <c r="Y137" s="6">
        <f>F137-X137-W137-V137</f>
        <v>-41200.337</v>
      </c>
      <c r="Z137" s="4">
        <v>-38400.623</v>
      </c>
      <c r="AA137" s="6">
        <f>BP137-Z137</f>
        <v>-75011.545000000013</v>
      </c>
      <c r="AB137" s="4">
        <f>-132400.653-AA137-Z137</f>
        <v>-18988.484999999979</v>
      </c>
      <c r="AC137" s="151">
        <f>H137-AB137-AA137-Z137</f>
        <v>-35726.687999999987</v>
      </c>
      <c r="AD137" s="4">
        <v>-34457.868000000002</v>
      </c>
      <c r="AE137" s="6">
        <f>BQ137-AD137</f>
        <v>-37794.868000000002</v>
      </c>
      <c r="AF137" s="4">
        <f>-100688.365-AE137-AD137</f>
        <v>-28435.629000000001</v>
      </c>
      <c r="AG137" s="151">
        <f>J137-AF137-AE137-AD137</f>
        <v>-48086.820999999982</v>
      </c>
      <c r="AH137" s="4">
        <v>-34738.993999999999</v>
      </c>
      <c r="AI137" s="6">
        <f>BR137-AH137</f>
        <v>-60504.659999999996</v>
      </c>
      <c r="AJ137" s="4">
        <f>-132727.539-AI137-AH137</f>
        <v>-37483.884999999987</v>
      </c>
      <c r="AK137" s="151">
        <f>K137-AJ137-AI137-AH137</f>
        <v>-53824.100000000013</v>
      </c>
      <c r="AL137" s="4">
        <v>-27108.2</v>
      </c>
      <c r="AM137" s="6">
        <f>BS137-AL137</f>
        <v>-53574.385000000009</v>
      </c>
      <c r="AN137" s="4">
        <f>-141418.557-AM137-AL137</f>
        <v>-60735.971999999994</v>
      </c>
      <c r="AO137" s="151">
        <f>L137-AN137-AM137-AL137</f>
        <v>-10747.176000000003</v>
      </c>
      <c r="AP137" s="4">
        <v>-23626.305</v>
      </c>
      <c r="AQ137" s="6">
        <f>BT137-AP137</f>
        <v>-54062.786</v>
      </c>
      <c r="AR137" s="4">
        <f>-126985.034-AQ137-AP137</f>
        <v>-49295.942999999992</v>
      </c>
      <c r="AS137" s="151">
        <f>M137-AR137-AQ137-AP137</f>
        <v>-67282.064000000013</v>
      </c>
      <c r="AT137" s="4">
        <v>-53382.000999999997</v>
      </c>
      <c r="AU137" s="6">
        <f>BU137-AT137</f>
        <v>-65407.853999999999</v>
      </c>
      <c r="AV137" s="4">
        <f>-162101.024-AU137-AT137</f>
        <v>-43311.169000000016</v>
      </c>
      <c r="AW137" s="151">
        <f>N137-AV137-AU137-AT137</f>
        <v>-75950.565999999992</v>
      </c>
      <c r="AX137" s="4">
        <v>-57979.741000000002</v>
      </c>
      <c r="AY137" s="6">
        <f>BV137-AX137</f>
        <v>-65582.247999999992</v>
      </c>
      <c r="AZ137" s="4">
        <f>-180400.798-AY137-AX137</f>
        <v>-56838.809000000016</v>
      </c>
      <c r="BA137" s="151">
        <f>O137-AZ137-AY137-AX137</f>
        <v>-61875.775000000001</v>
      </c>
      <c r="BB137" s="4">
        <v>-51468.449000000001</v>
      </c>
      <c r="BC137" s="6">
        <f>BW137-BB137</f>
        <v>-59084.064000000006</v>
      </c>
      <c r="BD137" s="4">
        <f>-150978.922-BC137-BB137</f>
        <v>-40426.408999999978</v>
      </c>
      <c r="BE137" s="151">
        <f>P137-BD137-BC137-BB137</f>
        <v>-47408.651999999995</v>
      </c>
      <c r="BF137" s="4">
        <v>-39133.614000000001</v>
      </c>
      <c r="BG137" s="142"/>
      <c r="BH137" s="4">
        <v>-34792.161</v>
      </c>
      <c r="BI137" s="203">
        <f>BY137-BH137</f>
        <v>-65772.05799999999</v>
      </c>
      <c r="BJ137" s="4">
        <f>-112551.323-BI137-BH137</f>
        <v>-11987.104000000014</v>
      </c>
      <c r="BK137" s="151">
        <f>I137-Z137-AB137-AA137</f>
        <v>-33081.619000000006</v>
      </c>
      <c r="BL137" s="4">
        <v>-34457.868000000002</v>
      </c>
      <c r="BM137" s="4"/>
      <c r="BN137" s="4">
        <v>-88671.682000000001</v>
      </c>
      <c r="BO137" s="4">
        <v>-72036.585999999996</v>
      </c>
      <c r="BP137" s="4">
        <v>-113412.16800000001</v>
      </c>
      <c r="BQ137" s="4">
        <v>-72252.736000000004</v>
      </c>
      <c r="BR137" s="4">
        <v>-95243.653999999995</v>
      </c>
      <c r="BS137" s="4">
        <v>-80682.585000000006</v>
      </c>
      <c r="BT137" s="4">
        <v>-77689.091</v>
      </c>
      <c r="BU137" s="4">
        <v>-118789.855</v>
      </c>
      <c r="BV137" s="4">
        <v>-123561.989</v>
      </c>
      <c r="BW137" s="4">
        <v>-110552.51300000001</v>
      </c>
      <c r="BX137" s="4"/>
      <c r="BY137" s="4">
        <v>-100564.219</v>
      </c>
      <c r="BZ137" s="4">
        <v>-72252.736000000004</v>
      </c>
      <c r="CA137" s="4"/>
      <c r="CC137" s="4">
        <v>-18322.349999999999</v>
      </c>
      <c r="CD137" s="4">
        <v>-62334.027000000002</v>
      </c>
      <c r="CE137" s="4">
        <v>-111901.586</v>
      </c>
      <c r="CG137" s="260"/>
    </row>
    <row r="138" spans="1:86" s="5" customFormat="1" ht="13.5" customHeight="1">
      <c r="B138" s="5" t="s">
        <v>370</v>
      </c>
      <c r="C138" s="38">
        <f t="shared" ref="C138:H138" si="577">SUM(C134:C137)</f>
        <v>586591.71500000008</v>
      </c>
      <c r="D138" s="38">
        <f t="shared" si="577"/>
        <v>383710.90400000004</v>
      </c>
      <c r="E138" s="38">
        <f t="shared" si="577"/>
        <v>574314.39500000002</v>
      </c>
      <c r="F138" s="38">
        <f t="shared" si="577"/>
        <v>603453.33499999985</v>
      </c>
      <c r="G138" s="38">
        <f t="shared" si="577"/>
        <v>605265.70699999982</v>
      </c>
      <c r="H138" s="38">
        <f t="shared" si="577"/>
        <v>500988.49699999997</v>
      </c>
      <c r="I138" s="38">
        <f t="shared" ref="I138:N138" si="578">SUM(I134:I137)</f>
        <v>1782289.6360000004</v>
      </c>
      <c r="J138" s="38">
        <f t="shared" si="578"/>
        <v>705197.93700000015</v>
      </c>
      <c r="K138" s="38">
        <f t="shared" si="578"/>
        <v>743931.78899999987</v>
      </c>
      <c r="L138" s="38">
        <f t="shared" si="578"/>
        <v>514971.11100000062</v>
      </c>
      <c r="M138" s="38">
        <f>SUM(M134:M137)</f>
        <v>39106.67399999997</v>
      </c>
      <c r="N138" s="38">
        <f t="shared" si="578"/>
        <v>955307.82000000018</v>
      </c>
      <c r="O138" s="38">
        <f>SUM(O134:O137)</f>
        <v>639514.54299999983</v>
      </c>
      <c r="P138" s="38">
        <f>SUM(P134:P137)</f>
        <v>1195585.3079999997</v>
      </c>
      <c r="Q138" s="29"/>
      <c r="R138" s="38">
        <f t="shared" ref="R138:X138" si="579">SUM(R134:R137)</f>
        <v>206452.75099999999</v>
      </c>
      <c r="S138" s="38">
        <f t="shared" si="579"/>
        <v>-24530.319999999643</v>
      </c>
      <c r="T138" s="38">
        <f t="shared" si="579"/>
        <v>94608.078999999794</v>
      </c>
      <c r="U138" s="38">
        <f t="shared" si="579"/>
        <v>297783.91099999979</v>
      </c>
      <c r="V138" s="38">
        <f t="shared" si="579"/>
        <v>164870.39800000016</v>
      </c>
      <c r="W138" s="38">
        <f t="shared" si="579"/>
        <v>58185.890999999858</v>
      </c>
      <c r="X138" s="38">
        <f t="shared" si="579"/>
        <v>117174.74700000022</v>
      </c>
      <c r="Y138" s="38">
        <f t="shared" ref="Y138:AD138" si="580">SUM(Y134:Y137)</f>
        <v>263222.99399999966</v>
      </c>
      <c r="Z138" s="38">
        <f t="shared" si="580"/>
        <v>185594.62599999999</v>
      </c>
      <c r="AA138" s="38">
        <f t="shared" si="580"/>
        <v>-42937.950000000114</v>
      </c>
      <c r="AB138" s="38" t="e">
        <f t="shared" si="580"/>
        <v>#REF!</v>
      </c>
      <c r="AC138" s="38" t="e">
        <f t="shared" si="580"/>
        <v>#REF!</v>
      </c>
      <c r="AD138" s="38">
        <f t="shared" si="580"/>
        <v>1646451.2390000001</v>
      </c>
      <c r="AE138" s="38">
        <f t="shared" ref="AE138:AJ138" si="581">SUM(AE134:AE137)</f>
        <v>-19214.483999999997</v>
      </c>
      <c r="AF138" s="38">
        <f t="shared" si="581"/>
        <v>150068.65799999988</v>
      </c>
      <c r="AG138" s="38">
        <f t="shared" si="581"/>
        <v>-1072107.476</v>
      </c>
      <c r="AH138" s="38">
        <f t="shared" si="581"/>
        <v>-34791.969000000172</v>
      </c>
      <c r="AI138" s="38">
        <f t="shared" si="581"/>
        <v>16546.792000000154</v>
      </c>
      <c r="AJ138" s="38">
        <f t="shared" si="581"/>
        <v>280483.91499999969</v>
      </c>
      <c r="AK138" s="38">
        <f t="shared" ref="AK138:AP138" si="582">SUM(AK134:AK137)</f>
        <v>481693.05100000015</v>
      </c>
      <c r="AL138" s="38">
        <f t="shared" si="582"/>
        <v>78776.031999999963</v>
      </c>
      <c r="AM138" s="38">
        <f t="shared" si="582"/>
        <v>158643.25600000026</v>
      </c>
      <c r="AN138" s="38">
        <f t="shared" si="582"/>
        <v>-53779.77900000033</v>
      </c>
      <c r="AO138" s="38">
        <f t="shared" si="582"/>
        <v>331331.60200000042</v>
      </c>
      <c r="AP138" s="38">
        <f t="shared" si="582"/>
        <v>-58023.393000000135</v>
      </c>
      <c r="AQ138" s="38">
        <f t="shared" ref="AQ138:AV138" si="583">SUM(AQ134:AQ137)</f>
        <v>-267171.95500000013</v>
      </c>
      <c r="AR138" s="38">
        <f t="shared" si="583"/>
        <v>-33667.245999999563</v>
      </c>
      <c r="AS138" s="38">
        <f t="shared" si="583"/>
        <v>397969.2679999994</v>
      </c>
      <c r="AT138" s="38">
        <f t="shared" si="583"/>
        <v>337303.79</v>
      </c>
      <c r="AU138" s="38">
        <f t="shared" si="583"/>
        <v>-101446.79200000004</v>
      </c>
      <c r="AV138" s="38">
        <f t="shared" si="583"/>
        <v>238983.81100000007</v>
      </c>
      <c r="AW138" s="38">
        <f t="shared" ref="AW138:BB138" si="584">SUM(AW134:AW137)</f>
        <v>480467.01099999994</v>
      </c>
      <c r="AX138" s="38">
        <f t="shared" si="584"/>
        <v>4632.965999999913</v>
      </c>
      <c r="AY138" s="38">
        <f t="shared" si="584"/>
        <v>-73223.763000000152</v>
      </c>
      <c r="AZ138" s="38">
        <f t="shared" si="584"/>
        <v>323427.78600000049</v>
      </c>
      <c r="BA138" s="38">
        <f t="shared" si="584"/>
        <v>384677.55399999965</v>
      </c>
      <c r="BB138" s="38">
        <f t="shared" si="584"/>
        <v>36688.788000000342</v>
      </c>
      <c r="BC138" s="38">
        <f>SUM(BC134:BC137)</f>
        <v>76693.403999999864</v>
      </c>
      <c r="BD138" s="38">
        <f>SUM(BD134:BD137)</f>
        <v>193412.3389999994</v>
      </c>
      <c r="BE138" s="38">
        <f>SUM(BE134:BE137)</f>
        <v>888790.77700000035</v>
      </c>
      <c r="BF138" s="38">
        <f>SUM(BF134:BF137)</f>
        <v>395151.95799999993</v>
      </c>
      <c r="BG138" s="142"/>
      <c r="BH138" s="38">
        <f>SUM(BH134:BH137)</f>
        <v>144370.22899999999</v>
      </c>
      <c r="BI138" s="38">
        <f>SUM(BI134:BI137)</f>
        <v>-67145.789000000193</v>
      </c>
      <c r="BJ138" s="38" t="e">
        <f>SUM(BJ134:BJ137)</f>
        <v>#REF!</v>
      </c>
      <c r="BK138" s="38" t="e">
        <f>SUM(BK134:BK137)</f>
        <v>#REF!</v>
      </c>
      <c r="BL138" s="38">
        <f>SUM(BL134:BL137)</f>
        <v>-684469.8330000001</v>
      </c>
      <c r="BM138" s="38"/>
      <c r="BN138" s="38">
        <f t="shared" ref="BN138:BS138" si="585">SUM(BN134:BN137)</f>
        <v>181922.3730000004</v>
      </c>
      <c r="BO138" s="38">
        <f t="shared" si="585"/>
        <v>223056.28899999999</v>
      </c>
      <c r="BP138" s="38">
        <f t="shared" si="585"/>
        <v>142656.67599999986</v>
      </c>
      <c r="BQ138" s="38">
        <f t="shared" si="585"/>
        <v>1627236.7550000004</v>
      </c>
      <c r="BR138" s="38">
        <f t="shared" si="585"/>
        <v>-18245.176999999981</v>
      </c>
      <c r="BS138" s="38">
        <f t="shared" si="585"/>
        <v>237419.28800000018</v>
      </c>
      <c r="BT138" s="38">
        <f>SUM(BT134:BT137)</f>
        <v>-325195.34800000023</v>
      </c>
      <c r="BU138" s="38">
        <f>SUM(BU134:BU137)</f>
        <v>235856.99799999996</v>
      </c>
      <c r="BV138" s="38">
        <f>SUM(BV134:BV137)</f>
        <v>-68590.797000000122</v>
      </c>
      <c r="BW138" s="38">
        <f>SUM(BW134:BW137)</f>
        <v>113382.19200000018</v>
      </c>
      <c r="BX138" s="38"/>
      <c r="BY138" s="38">
        <f>SUM(BY134:BY137)</f>
        <v>77224.439999999755</v>
      </c>
      <c r="BZ138" s="38">
        <f>SUM(BZ134:BZ137)</f>
        <v>1627236.7550000004</v>
      </c>
      <c r="CA138" s="38"/>
      <c r="CC138" s="38">
        <f>SUM(CC134:CC137)</f>
        <v>125409.20100000026</v>
      </c>
      <c r="CD138" s="38">
        <f>SUM(CD134:CD137)</f>
        <v>110212.64799999981</v>
      </c>
      <c r="CE138" s="38">
        <f>SUM(CE134:CE137)</f>
        <v>187901.17700000003</v>
      </c>
      <c r="CG138" s="260"/>
    </row>
    <row r="139" spans="1:86" ht="13.5" customHeight="1">
      <c r="B139" s="7" t="s">
        <v>371</v>
      </c>
      <c r="C139" s="4">
        <f>-368093.957-175579.14</f>
        <v>-543673.09700000007</v>
      </c>
      <c r="D139" s="4">
        <f>-329915.643-148799.729</f>
        <v>-478715.37199999997</v>
      </c>
      <c r="E139" s="4">
        <f>-316211.151-138983.678</f>
        <v>-455194.82900000003</v>
      </c>
      <c r="F139" s="143">
        <f>-375895.985-157183.611</f>
        <v>-533079.59600000002</v>
      </c>
      <c r="G139" s="143">
        <f>-375895.985-157183.611</f>
        <v>-533079.59600000002</v>
      </c>
      <c r="H139" s="143">
        <f>-362589.652-100630.655</f>
        <v>-463220.30700000003</v>
      </c>
      <c r="I139" s="143">
        <f>-362589.652-100630.655</f>
        <v>-463220.30700000003</v>
      </c>
      <c r="J139" s="143">
        <f>-367167.794-183581.724</f>
        <v>-550749.51799999992</v>
      </c>
      <c r="K139" s="143">
        <f>-279388.984-123383.685</f>
        <v>-402772.66899999999</v>
      </c>
      <c r="L139" s="143">
        <f>-286987.282-80366.015</f>
        <v>-367353.29700000002</v>
      </c>
      <c r="M139" s="143">
        <f>-291618.003-123402.499</f>
        <v>-415020.50200000004</v>
      </c>
      <c r="N139" s="143">
        <f>-254519.015-125747.491</f>
        <v>-380266.50599999999</v>
      </c>
      <c r="O139" s="4">
        <f>-166947.561-79649.122</f>
        <v>-246596.68299999999</v>
      </c>
      <c r="P139" s="4">
        <f>-197435.764-103856.125</f>
        <v>-301291.88899999997</v>
      </c>
      <c r="Q139" s="29"/>
      <c r="R139" s="4">
        <f>-63617.438-22939.734</f>
        <v>-86557.172000000006</v>
      </c>
      <c r="S139" s="6">
        <f>BN139-R139</f>
        <v>-97911.936000000002</v>
      </c>
      <c r="T139" s="4">
        <f>-221625.884-91256.638-S139-R139</f>
        <v>-128413.414</v>
      </c>
      <c r="U139" s="6">
        <f>E139-T139-S139-R139</f>
        <v>-142312.30700000003</v>
      </c>
      <c r="V139" s="4">
        <f>-80487.709-33285.574</f>
        <v>-113773.283</v>
      </c>
      <c r="W139" s="6">
        <f>BO139-V139</f>
        <v>-126488.69099999999</v>
      </c>
      <c r="X139" s="4">
        <f>-262973.744-115068.418-W139-V139</f>
        <v>-137780.18800000002</v>
      </c>
      <c r="Y139" s="261">
        <f>F139-X139-W139-V139</f>
        <v>-155037.43400000001</v>
      </c>
      <c r="Z139" s="4">
        <f>-81539.391-26992.667</f>
        <v>-108532.058</v>
      </c>
      <c r="AA139" s="6">
        <f>BP139-Z139</f>
        <v>-114243.69099999998</v>
      </c>
      <c r="AB139" s="4">
        <f>-264516.662-74735.05-AA139-Z139</f>
        <v>-116475.963</v>
      </c>
      <c r="AC139" s="151">
        <f>H139-AB139-AA139-Z139</f>
        <v>-123968.59500000004</v>
      </c>
      <c r="AD139" s="4">
        <f>-78303.09-27506.951</f>
        <v>-105810.041</v>
      </c>
      <c r="AE139" s="6">
        <f>BQ139-AD139</f>
        <v>-143814.75399999999</v>
      </c>
      <c r="AF139" s="4">
        <f>-272291.749-111914.866-AE139-AD139</f>
        <v>-134581.82</v>
      </c>
      <c r="AG139" s="151">
        <f>J139-AF139-AE139-AD139</f>
        <v>-166542.9029999999</v>
      </c>
      <c r="AH139" s="4">
        <f>-95015.114-43083.083+231.707</f>
        <v>-137866.49</v>
      </c>
      <c r="AI139" s="6">
        <f>BR139-AH139</f>
        <v>-106214.08500000002</v>
      </c>
      <c r="AJ139" s="4">
        <f>-205365.58-102209.61-AI139-AH139</f>
        <v>-63494.614999999991</v>
      </c>
      <c r="AK139" s="151">
        <f>K139-AJ139-AI139-AH139</f>
        <v>-95197.478999999992</v>
      </c>
      <c r="AL139" s="4">
        <f>-60719.269-17162.34+656.082</f>
        <v>-77225.527000000002</v>
      </c>
      <c r="AM139" s="6">
        <f>BS139-AL139</f>
        <v>-62991.117999999988</v>
      </c>
      <c r="AN139" s="4">
        <f>-188554.714-48009.839-AM139-AL139</f>
        <v>-96347.908000000025</v>
      </c>
      <c r="AO139" s="151">
        <f>L139-AN139-AM139-AL139</f>
        <v>-130788.74399999998</v>
      </c>
      <c r="AP139" s="4">
        <f>-53613.058-16332.205+261.833</f>
        <v>-69683.429999999993</v>
      </c>
      <c r="AQ139" s="6">
        <f>BT139-AP139</f>
        <v>-95871.203000000009</v>
      </c>
      <c r="AR139" s="4">
        <f>-188942.436-75874.315-AQ139-AP139</f>
        <v>-99262.117999999988</v>
      </c>
      <c r="AS139" s="151">
        <f>M139-AR139-AQ139-AP139</f>
        <v>-150203.75100000008</v>
      </c>
      <c r="AT139" s="4">
        <f>-58181.197-18390.794+412.54</f>
        <v>-76159.451000000015</v>
      </c>
      <c r="AU139" s="6">
        <f>BU139-AT139</f>
        <v>-91834.863999999987</v>
      </c>
      <c r="AV139" s="4">
        <f>-179214.311-74533.683-AU139-AT139</f>
        <v>-85753.678999999989</v>
      </c>
      <c r="AW139" s="151">
        <f>N139-AV139-AU139-AT139</f>
        <v>-126518.51199999997</v>
      </c>
      <c r="AX139" s="4">
        <f>-54162.403-20216.461+7728.425</f>
        <v>-66650.438999999998</v>
      </c>
      <c r="AY139" s="6">
        <f>BV139-AX139</f>
        <v>-61895.686999999991</v>
      </c>
      <c r="AZ139" s="4">
        <f>-105657.326-65915.905-AY139-AX139</f>
        <v>-43027.10500000001</v>
      </c>
      <c r="BA139" s="151">
        <f>O139-AZ139-AY139-AX139</f>
        <v>-75023.452000000005</v>
      </c>
      <c r="BB139" s="4">
        <f>-19732.403-16522.785+1007.929</f>
        <v>-35247.258999999998</v>
      </c>
      <c r="BC139" s="6">
        <f>BW139-BB139</f>
        <v>-52177.357000000011</v>
      </c>
      <c r="BD139" s="4">
        <f>-90930.07-59494.398-BC139-BB139</f>
        <v>-62999.851999999977</v>
      </c>
      <c r="BE139" s="151">
        <f>P139-BD139-BC139-BB139</f>
        <v>-150867.42099999997</v>
      </c>
      <c r="BF139" s="4">
        <f>-24298.692-28022.055+2092.67+2252.782</f>
        <v>-47975.295000000006</v>
      </c>
      <c r="BG139" s="142"/>
      <c r="BH139" s="4">
        <f>-81539.391-26992.667</f>
        <v>-108532.058</v>
      </c>
      <c r="BI139" s="203">
        <f>BY139-BH139</f>
        <v>-114243.69099999998</v>
      </c>
      <c r="BJ139" s="4">
        <f>-264516.662-74735.05-BI139-BH139</f>
        <v>-116475.963</v>
      </c>
      <c r="BK139" s="151">
        <f>I139-Z139-AB139-AA139</f>
        <v>-123968.59500000004</v>
      </c>
      <c r="BL139" s="4">
        <f>-78303.09-27506.951</f>
        <v>-105810.041</v>
      </c>
      <c r="BM139" s="4"/>
      <c r="BN139" s="4">
        <f>-137565.567-46903.541</f>
        <v>-184469.10800000001</v>
      </c>
      <c r="BO139" s="4">
        <f>-158569.372-81692.602</f>
        <v>-240261.97399999999</v>
      </c>
      <c r="BP139" s="4">
        <f>-171053.357-51722.392</f>
        <v>-222775.74899999998</v>
      </c>
      <c r="BQ139" s="4">
        <f>-180757.74-68867.055</f>
        <v>-249624.79499999998</v>
      </c>
      <c r="BR139" s="4">
        <f>-164867.707-79212.868</f>
        <v>-244080.57500000001</v>
      </c>
      <c r="BS139" s="4">
        <f>-108954.021-31262.624</f>
        <v>-140216.64499999999</v>
      </c>
      <c r="BT139" s="4">
        <f>-125688.984-39865.649</f>
        <v>-165554.633</v>
      </c>
      <c r="BU139" s="4">
        <f>-127371.246-40623.069</f>
        <v>-167994.315</v>
      </c>
      <c r="BV139" s="4">
        <f>-81786.453-46759.673</f>
        <v>-128546.12599999999</v>
      </c>
      <c r="BW139" s="4">
        <f>-55435.671-31988.945</f>
        <v>-87424.616000000009</v>
      </c>
      <c r="BX139" s="4"/>
      <c r="BY139" s="4">
        <f>-171053.357-51722.392</f>
        <v>-222775.74899999998</v>
      </c>
      <c r="BZ139" s="4">
        <f>-180757.74-68867.055</f>
        <v>-249624.79499999998</v>
      </c>
      <c r="CA139" s="4"/>
      <c r="CC139" s="4">
        <f>-78533.26</f>
        <v>-78533.259999999995</v>
      </c>
      <c r="CD139" s="4">
        <v>-131584.533</v>
      </c>
      <c r="CE139" s="4">
        <v>-238147.21799999999</v>
      </c>
      <c r="CG139" s="260"/>
    </row>
    <row r="140" spans="1:86" ht="13.5" customHeight="1">
      <c r="B140" s="7" t="s">
        <v>372</v>
      </c>
      <c r="C140" s="4">
        <v>-31274.803</v>
      </c>
      <c r="D140" s="4">
        <v>-31320.396000000001</v>
      </c>
      <c r="E140" s="4">
        <v>-40362.985999999997</v>
      </c>
      <c r="F140" s="4">
        <v>-43739.158000000003</v>
      </c>
      <c r="G140" s="4">
        <v>-43739.158000000003</v>
      </c>
      <c r="H140" s="4">
        <v>-55153.317000000003</v>
      </c>
      <c r="I140" s="4">
        <v>-55153.317000000003</v>
      </c>
      <c r="J140" s="4">
        <v>-65317.188999999998</v>
      </c>
      <c r="K140" s="4">
        <v>-49918.932000000001</v>
      </c>
      <c r="L140" s="4">
        <v>-46308.324000000001</v>
      </c>
      <c r="M140" s="4">
        <v>-48207.752999999997</v>
      </c>
      <c r="N140" s="4">
        <v>-15477.153</v>
      </c>
      <c r="O140" s="4">
        <v>-10273.776</v>
      </c>
      <c r="P140" s="4">
        <v>-10037.32</v>
      </c>
      <c r="Q140" s="29"/>
      <c r="R140" s="4">
        <v>-7480.4260000000004</v>
      </c>
      <c r="S140" s="6">
        <f>BN140-R140</f>
        <v>-9505.6189999999988</v>
      </c>
      <c r="T140" s="4">
        <f>-29496.184-S140-R140</f>
        <v>-12510.139000000003</v>
      </c>
      <c r="U140" s="6">
        <f>E140-T140-S140-R140</f>
        <v>-10866.801999999996</v>
      </c>
      <c r="V140" s="4">
        <v>-8465.5390000000007</v>
      </c>
      <c r="W140" s="6">
        <f>BO140-V140</f>
        <v>-10837.666000000001</v>
      </c>
      <c r="X140" s="4">
        <f>-30670.489-W140-V140</f>
        <v>-11367.284</v>
      </c>
      <c r="Y140" s="6">
        <f>F140-X140-W140-V140</f>
        <v>-13068.669000000002</v>
      </c>
      <c r="Z140" s="4">
        <v>-15961.34</v>
      </c>
      <c r="AA140" s="6">
        <f>BP140-Z140</f>
        <v>-12480.064999999999</v>
      </c>
      <c r="AB140" s="4">
        <f>-40091.574-AA140-Z140</f>
        <v>-11650.169000000002</v>
      </c>
      <c r="AC140" s="151">
        <f>H140-AB140-AA140-Z140</f>
        <v>-15061.743000000002</v>
      </c>
      <c r="AD140" s="4">
        <v>-13229.056</v>
      </c>
      <c r="AE140" s="6">
        <f>BQ140-AD140</f>
        <v>-12815.005000000001</v>
      </c>
      <c r="AF140" s="4">
        <f>-41550.975-AE140-AD140</f>
        <v>-15506.913999999997</v>
      </c>
      <c r="AG140" s="151">
        <f>J140-AF140-AE140-AD140</f>
        <v>-23766.214000000004</v>
      </c>
      <c r="AH140" s="4">
        <v>-14206.928</v>
      </c>
      <c r="AI140" s="6">
        <f>BR140-AH140</f>
        <v>-544.05399999999827</v>
      </c>
      <c r="AJ140" s="4">
        <f>-41511.119-AI140-AH140</f>
        <v>-26760.137000000002</v>
      </c>
      <c r="AK140" s="151">
        <f>K140-AJ140-AI140-AH140</f>
        <v>-8407.8130000000019</v>
      </c>
      <c r="AL140" s="4">
        <v>-11341.903</v>
      </c>
      <c r="AM140" s="6">
        <f>BS140-AL140</f>
        <v>-2139.368999999997</v>
      </c>
      <c r="AN140" s="4">
        <f>-30330.709-AM140-AL140</f>
        <v>-16849.437000000005</v>
      </c>
      <c r="AO140" s="151">
        <f>L140-AN140-AM140-AL140</f>
        <v>-15977.614999999996</v>
      </c>
      <c r="AP140" s="4">
        <v>-12718.504000000001</v>
      </c>
      <c r="AQ140" s="6">
        <f>BT140-AP140</f>
        <v>8151.2960000000021</v>
      </c>
      <c r="AR140" s="4">
        <f>-37328.006-AQ140-AP140</f>
        <v>-32760.798000000003</v>
      </c>
      <c r="AS140" s="151">
        <f>M140-AR140-AQ140-AP140</f>
        <v>-10879.746999999996</v>
      </c>
      <c r="AT140" s="4">
        <v>-3365.317</v>
      </c>
      <c r="AU140" s="6">
        <f>BU140-AT140</f>
        <v>-1784.5479999999998</v>
      </c>
      <c r="AV140" s="4">
        <f>-9102.831-AU140-AT140</f>
        <v>-3952.9660000000003</v>
      </c>
      <c r="AW140" s="151">
        <f>N140-AV140-AU140-AT140</f>
        <v>-6374.3219999999992</v>
      </c>
      <c r="AX140" s="4">
        <f>-1619.848+7821.832</f>
        <v>6201.9840000000004</v>
      </c>
      <c r="AY140" s="6">
        <f>BV140-AX140</f>
        <v>-8241.27</v>
      </c>
      <c r="AZ140" s="4">
        <f>-4922.766-AY140-AX140</f>
        <v>-2883.4799999999996</v>
      </c>
      <c r="BA140" s="151">
        <f>O140-AZ140-AY140-AX140</f>
        <v>-5351.01</v>
      </c>
      <c r="BB140" s="4">
        <f>-2089.028+3835.356</f>
        <v>1746.3280000000004</v>
      </c>
      <c r="BC140" s="6">
        <f>BW140-BB140</f>
        <v>174608.28700000001</v>
      </c>
      <c r="BD140" s="4">
        <f>-7192.849-BC140-BB140</f>
        <v>-183547.46400000001</v>
      </c>
      <c r="BE140" s="151">
        <f>P140-BD140-BC140-BB140</f>
        <v>-2844.4710000000114</v>
      </c>
      <c r="BF140" s="4">
        <f>-2852.182</f>
        <v>-2852.1819999999998</v>
      </c>
      <c r="BG140" s="142"/>
      <c r="BH140" s="4">
        <v>-15961.34</v>
      </c>
      <c r="BI140" s="203">
        <f>BY140-BH140</f>
        <v>-12480.064999999999</v>
      </c>
      <c r="BJ140" s="4">
        <f>-40091.574-BI140-BH140</f>
        <v>-11650.169000000002</v>
      </c>
      <c r="BK140" s="151">
        <f>I140-Z140-AB140-AA140</f>
        <v>-15061.742999999999</v>
      </c>
      <c r="BL140" s="4">
        <v>-13229.056</v>
      </c>
      <c r="BM140" s="4"/>
      <c r="BN140" s="4">
        <v>-16986.044999999998</v>
      </c>
      <c r="BO140" s="4">
        <v>-19303.205000000002</v>
      </c>
      <c r="BP140" s="4">
        <v>-28441.404999999999</v>
      </c>
      <c r="BQ140" s="4">
        <v>-26044.061000000002</v>
      </c>
      <c r="BR140" s="4">
        <f>-28116.602+13365.62</f>
        <v>-14750.981999999998</v>
      </c>
      <c r="BS140" s="4">
        <f>-19877.456+6396.184</f>
        <v>-13481.271999999997</v>
      </c>
      <c r="BT140" s="4">
        <f>-22472.823+17905.615</f>
        <v>-4567.2079999999987</v>
      </c>
      <c r="BU140" s="4">
        <f>-5149.865</f>
        <v>-5149.8649999999998</v>
      </c>
      <c r="BV140" s="4">
        <f>-2480.118+440.832</f>
        <v>-2039.2860000000001</v>
      </c>
      <c r="BW140" s="4">
        <f>-4403.381+180757.996</f>
        <v>176354.61500000002</v>
      </c>
      <c r="BX140" s="4"/>
      <c r="BY140" s="4">
        <v>-28441.404999999999</v>
      </c>
      <c r="BZ140" s="4">
        <v>-26044.061000000002</v>
      </c>
      <c r="CA140" s="4"/>
      <c r="CC140" s="4">
        <v>-8612.7099999999991</v>
      </c>
      <c r="CD140" s="4">
        <v>-20248.358</v>
      </c>
      <c r="CE140" s="4">
        <v>-21526.780999999999</v>
      </c>
      <c r="CG140" s="260"/>
    </row>
    <row r="141" spans="1:86" ht="13.5" customHeight="1">
      <c r="B141" s="7" t="s">
        <v>373</v>
      </c>
      <c r="C141" s="4">
        <f>-290890.488-4571.22+3342.178+488.038</f>
        <v>-291631.49199999997</v>
      </c>
      <c r="D141" s="4">
        <f>4289.281+249.38-4090.717</f>
        <v>447.94399999999996</v>
      </c>
      <c r="E141" s="4">
        <f>53875.552</f>
        <v>53875.552000000003</v>
      </c>
      <c r="F141" s="4">
        <v>2251.308</v>
      </c>
      <c r="G141" s="4">
        <v>2251.308</v>
      </c>
      <c r="H141" s="4">
        <f>86782.388-87420.365</f>
        <v>-637.97699999999895</v>
      </c>
      <c r="I141" s="4">
        <f>86782.388-87420.365</f>
        <v>-637.97699999999895</v>
      </c>
      <c r="J141" s="4">
        <f>7641.469+1898.806</f>
        <v>9540.2749999999996</v>
      </c>
      <c r="K141" s="4">
        <f>1538.896+4209.95-18421.834</f>
        <v>-12672.987999999999</v>
      </c>
      <c r="L141" s="4">
        <f>9108.127+3287.485-30365.76</f>
        <v>-17970.147999999997</v>
      </c>
      <c r="M141" s="4">
        <f>4239.9+0-0</f>
        <v>4239.8999999999996</v>
      </c>
      <c r="N141" s="4">
        <v>3272.3980000000001</v>
      </c>
      <c r="O141" s="4">
        <v>0</v>
      </c>
      <c r="P141" s="4">
        <v>388.39</v>
      </c>
      <c r="Q141" s="29"/>
      <c r="R141" s="4">
        <f>2019.836</f>
        <v>2019.836</v>
      </c>
      <c r="S141" s="6">
        <f>BN141-R141</f>
        <v>-229.62599999999998</v>
      </c>
      <c r="T141" s="4">
        <f>3758.019-S141-R141</f>
        <v>1967.8089999999995</v>
      </c>
      <c r="U141" s="6">
        <f>E141-T141-S141-R141</f>
        <v>50117.532999999996</v>
      </c>
      <c r="V141" s="4">
        <f>818.273</f>
        <v>818.27300000000002</v>
      </c>
      <c r="W141" s="6">
        <f>BO141-V141</f>
        <v>1350.2449999999999</v>
      </c>
      <c r="X141" s="4">
        <f>2003.811-W141-V141</f>
        <v>-164.70699999999999</v>
      </c>
      <c r="Y141" s="6">
        <f>F141-X141-W141-V141</f>
        <v>247.49699999999996</v>
      </c>
      <c r="Z141" s="4">
        <f>28457.675-6627.664</f>
        <v>21830.010999999999</v>
      </c>
      <c r="AA141" s="6">
        <f>BP141-Z141</f>
        <v>6951.1740000000027</v>
      </c>
      <c r="AB141" s="4">
        <f>-87420.365+29466.153-AA141-Z141</f>
        <v>-86735.397000000012</v>
      </c>
      <c r="AC141" s="151">
        <f>H141-AB141-AA141-Z141</f>
        <v>57316.235000000015</v>
      </c>
      <c r="AD141" s="4">
        <v>3200.7930000000001</v>
      </c>
      <c r="AE141" s="6">
        <f>BQ141-AD141</f>
        <v>1247.7509999999997</v>
      </c>
      <c r="AF141" s="4">
        <f>1898.806+6635.249-AE141-AD141</f>
        <v>4085.511</v>
      </c>
      <c r="AG141" s="151">
        <f>J141-AF141-AE141-AD141</f>
        <v>1006.2199999999989</v>
      </c>
      <c r="AH141" s="4">
        <v>0</v>
      </c>
      <c r="AI141" s="6">
        <f>BR141-AH141</f>
        <v>4647.8279999999995</v>
      </c>
      <c r="AJ141" s="4">
        <f>4209.95+1968.501-27121.5-18060-AI141-AH141</f>
        <v>-43650.877</v>
      </c>
      <c r="AK141" s="151">
        <f>K141-AJ141-AI141-AH141</f>
        <v>26330.061000000002</v>
      </c>
      <c r="AL141" s="4">
        <v>0</v>
      </c>
      <c r="AM141" s="6">
        <f>BS141-AL141</f>
        <v>9792.0360000000001</v>
      </c>
      <c r="AN141" s="4">
        <f>3123.502+7339.298-0-AM141-AL141</f>
        <v>670.76399999999921</v>
      </c>
      <c r="AO141" s="151">
        <f>L141-AN141-AM141-AL141</f>
        <v>-28432.947999999997</v>
      </c>
      <c r="AP141" s="4">
        <v>0</v>
      </c>
      <c r="AQ141" s="6">
        <f>BT141-AP141</f>
        <v>2741.2289999999998</v>
      </c>
      <c r="AR141" s="4">
        <f>4133.234-AQ141-AP141</f>
        <v>1392.0050000000006</v>
      </c>
      <c r="AS141" s="151">
        <f>M141-AR141-AQ141-AP141</f>
        <v>106.66599999999926</v>
      </c>
      <c r="AT141" s="4">
        <v>0</v>
      </c>
      <c r="AU141" s="6">
        <f>BU141-AT141</f>
        <v>865.73699999999997</v>
      </c>
      <c r="AV141" s="4">
        <f>1341.622-AU141-AT141</f>
        <v>475.8850000000001</v>
      </c>
      <c r="AW141" s="151">
        <f>N141-AV141-AU141-AT141</f>
        <v>1930.7759999999998</v>
      </c>
      <c r="AX141" s="4">
        <v>0</v>
      </c>
      <c r="AY141" s="6">
        <f>BV141-AX141</f>
        <v>27702.231</v>
      </c>
      <c r="AZ141" s="4">
        <f>0-AY141-AX141</f>
        <v>-27702.231</v>
      </c>
      <c r="BA141" s="151">
        <f>O141-AZ141-AY141-AX141</f>
        <v>0</v>
      </c>
      <c r="BB141" s="4">
        <v>388.39</v>
      </c>
      <c r="BC141" s="6">
        <f>BW141-BB141</f>
        <v>0</v>
      </c>
      <c r="BD141" s="4">
        <f>388.39 -BC141-BB141</f>
        <v>0</v>
      </c>
      <c r="BE141" s="151">
        <f>P141-BD141-BC141-BB141</f>
        <v>0</v>
      </c>
      <c r="BF141" s="4">
        <v>7229.1379999999999</v>
      </c>
      <c r="BG141" s="4"/>
      <c r="BH141" s="4">
        <v>28457.674999999999</v>
      </c>
      <c r="BI141" s="203">
        <f>BY141-BH141</f>
        <v>323.51000000000204</v>
      </c>
      <c r="BJ141" s="4">
        <f>-87420.365+29466.153-BI141-BH141</f>
        <v>-86735.397000000012</v>
      </c>
      <c r="BK141" s="151">
        <f>I141-Z141-AB141-AA141</f>
        <v>57316.235000000015</v>
      </c>
      <c r="BL141" s="4">
        <v>3200.7930000000001</v>
      </c>
      <c r="BM141" s="4"/>
      <c r="BN141" s="4">
        <f>1790.21</f>
        <v>1790.21</v>
      </c>
      <c r="BO141" s="4">
        <v>2168.518</v>
      </c>
      <c r="BP141" s="4">
        <v>28781.185000000001</v>
      </c>
      <c r="BQ141" s="4">
        <f>1004.219+3444.325</f>
        <v>4448.5439999999999</v>
      </c>
      <c r="BR141" s="4">
        <f>437.878 +4209.95</f>
        <v>4647.8279999999995</v>
      </c>
      <c r="BS141" s="4">
        <f>6668.534+3123.502</f>
        <v>9792.0360000000001</v>
      </c>
      <c r="BT141" s="4">
        <v>2741.2289999999998</v>
      </c>
      <c r="BU141" s="4">
        <v>865.73699999999997</v>
      </c>
      <c r="BV141" s="4">
        <v>27702.231</v>
      </c>
      <c r="BW141" s="4">
        <f>388.39</f>
        <v>388.39</v>
      </c>
      <c r="BX141" s="4"/>
      <c r="BY141" s="4">
        <v>28781.185000000001</v>
      </c>
      <c r="BZ141" s="4">
        <f>1004.219+3444.325</f>
        <v>4448.5439999999999</v>
      </c>
      <c r="CA141" s="4"/>
      <c r="CC141" s="4">
        <f>-421.098-32845.422</f>
        <v>-33266.519999999997</v>
      </c>
      <c r="CD141" s="4">
        <f>1610.326-56551.45</f>
        <v>-54941.123999999996</v>
      </c>
      <c r="CE141" s="4">
        <f>3643.171-94843.898</f>
        <v>-91200.726999999999</v>
      </c>
      <c r="CG141" s="260"/>
    </row>
    <row r="142" spans="1:86" ht="13.5" customHeight="1">
      <c r="B142" s="7" t="s">
        <v>374</v>
      </c>
      <c r="C142" s="4">
        <f>19826.717</f>
        <v>19826.717000000001</v>
      </c>
      <c r="D142" s="4">
        <v>11698.120999999999</v>
      </c>
      <c r="E142" s="4">
        <v>11145.597</v>
      </c>
      <c r="F142" s="4">
        <v>15541.227999999999</v>
      </c>
      <c r="G142" s="4">
        <v>15541.227999999999</v>
      </c>
      <c r="H142" s="4">
        <v>19629.721000000001</v>
      </c>
      <c r="I142" s="4">
        <v>19291.7</v>
      </c>
      <c r="J142" s="4">
        <v>11556.512000000001</v>
      </c>
      <c r="K142" s="4">
        <v>24914.282999999999</v>
      </c>
      <c r="L142" s="4">
        <v>28120.697</v>
      </c>
      <c r="M142" s="4">
        <v>32170.116000000002</v>
      </c>
      <c r="N142" s="4">
        <f>43560.044</f>
        <v>43560.044000000002</v>
      </c>
      <c r="O142" s="4">
        <v>56512.5</v>
      </c>
      <c r="P142" s="4">
        <v>56105.286</v>
      </c>
      <c r="Q142" s="29"/>
      <c r="R142" s="4">
        <v>1802.665</v>
      </c>
      <c r="S142" s="6">
        <f>BN142-R142</f>
        <v>2779.2550000000001</v>
      </c>
      <c r="T142" s="4">
        <f>5709.71-S142-R142</f>
        <v>1127.79</v>
      </c>
      <c r="U142" s="6">
        <f>E142-T142-S142-R142</f>
        <v>5435.8870000000006</v>
      </c>
      <c r="V142" s="4">
        <v>1090.9110000000001</v>
      </c>
      <c r="W142" s="6">
        <f>BO142-V142</f>
        <v>5351.9520000000002</v>
      </c>
      <c r="X142" s="4">
        <f>10516.973-W142-V142</f>
        <v>4074.1099999999997</v>
      </c>
      <c r="Y142" s="6">
        <f>F142-X142-W142-V142</f>
        <v>5024.2549999999983</v>
      </c>
      <c r="Z142" s="4">
        <v>3718.47</v>
      </c>
      <c r="AA142" s="6">
        <f>BP142-Z142</f>
        <v>5636.6149999999998</v>
      </c>
      <c r="AB142" s="4">
        <f>18503.242-AA142-Z142</f>
        <v>9148.1569999999992</v>
      </c>
      <c r="AC142" s="151">
        <f>H142-AB142-AA142-Z142</f>
        <v>1126.4790000000025</v>
      </c>
      <c r="AD142" s="4">
        <v>3810.288</v>
      </c>
      <c r="AE142" s="6">
        <f>BQ142-AD142</f>
        <v>1582.7090000000003</v>
      </c>
      <c r="AF142" s="4">
        <f>8755.489-AE142-AD142</f>
        <v>3362.4919999999988</v>
      </c>
      <c r="AG142" s="151">
        <f>J142-AF142-AE142-AD142</f>
        <v>2801.0230000000015</v>
      </c>
      <c r="AH142" s="4">
        <v>5774.8869999999997</v>
      </c>
      <c r="AI142" s="6">
        <f>BR142-AH142</f>
        <v>2347.277</v>
      </c>
      <c r="AJ142" s="4">
        <f>18947.817+13365.62-AI142-AH142</f>
        <v>24191.272999999997</v>
      </c>
      <c r="AK142" s="151">
        <f>K142-AJ142-AI142-AH142</f>
        <v>-7399.1539999999977</v>
      </c>
      <c r="AL142" s="4">
        <v>3584.7379999999998</v>
      </c>
      <c r="AM142" s="6">
        <f>BS142-AL142</f>
        <v>6478.1290000000008</v>
      </c>
      <c r="AN142" s="4">
        <f>16988.812-AM142-AL142</f>
        <v>6925.9450000000015</v>
      </c>
      <c r="AO142" s="151">
        <f>L142-AN142-AM142-AL142</f>
        <v>11131.885</v>
      </c>
      <c r="AP142" s="4">
        <v>4442.5450000000001</v>
      </c>
      <c r="AQ142" s="6">
        <f>BT142-AP142</f>
        <v>10998.481</v>
      </c>
      <c r="AR142" s="4">
        <f>26104.851-AQ142-AP142</f>
        <v>10663.824999999999</v>
      </c>
      <c r="AS142" s="151">
        <f>M142-AR142-AQ142-AP142</f>
        <v>6065.2650000000049</v>
      </c>
      <c r="AT142" s="4">
        <v>13274.883</v>
      </c>
      <c r="AU142" s="6">
        <f>BU142-AT142</f>
        <v>8536.3020000000015</v>
      </c>
      <c r="AV142" s="4">
        <f>33086.563-AU142-AT142</f>
        <v>11275.377999999999</v>
      </c>
      <c r="AW142" s="151">
        <f>N142-AV142-AU142-AT142</f>
        <v>10473.481000000002</v>
      </c>
      <c r="AX142" s="4">
        <v>14187.538</v>
      </c>
      <c r="AY142" s="6">
        <f>BV142-AX142</f>
        <v>3816.6850000000013</v>
      </c>
      <c r="AZ142" s="4">
        <f>34485.838-AY142-AX142</f>
        <v>16481.615000000002</v>
      </c>
      <c r="BA142" s="151">
        <f>O142-AZ142-AY142-AX142</f>
        <v>22026.661999999997</v>
      </c>
      <c r="BB142" s="4">
        <v>10965.905000000001</v>
      </c>
      <c r="BC142" s="6">
        <f>BW142-BB142</f>
        <v>12553.356999999998</v>
      </c>
      <c r="BD142" s="4">
        <f>37421.137-BC142-BB142</f>
        <v>13901.875000000005</v>
      </c>
      <c r="BE142" s="151">
        <f>P142-BD142-BC142-BB142</f>
        <v>18684.148999999998</v>
      </c>
      <c r="BF142" s="4">
        <v>16916.448</v>
      </c>
      <c r="BG142" s="142"/>
      <c r="BH142" s="4">
        <v>3592.3649999999998</v>
      </c>
      <c r="BI142" s="203">
        <f>BY142-BH142</f>
        <v>5561.9740000000002</v>
      </c>
      <c r="BJ142" s="4">
        <f>18232.979-BI142-BH142</f>
        <v>9078.64</v>
      </c>
      <c r="BK142" s="151">
        <f>I142-Z142-AB142-AA142</f>
        <v>788.45800000000236</v>
      </c>
      <c r="BL142" s="4">
        <v>3810.288</v>
      </c>
      <c r="BM142" s="4"/>
      <c r="BN142" s="4">
        <v>4581.92</v>
      </c>
      <c r="BO142" s="4">
        <v>6442.8630000000003</v>
      </c>
      <c r="BP142" s="4">
        <v>9355.0849999999991</v>
      </c>
      <c r="BQ142" s="4">
        <v>5392.9970000000003</v>
      </c>
      <c r="BR142" s="4">
        <v>8122.1639999999998</v>
      </c>
      <c r="BS142" s="4">
        <v>10062.867</v>
      </c>
      <c r="BT142" s="4">
        <v>15441.026</v>
      </c>
      <c r="BU142" s="4">
        <v>21811.185000000001</v>
      </c>
      <c r="BV142" s="4">
        <v>18004.223000000002</v>
      </c>
      <c r="BW142" s="4">
        <v>23519.261999999999</v>
      </c>
      <c r="BX142" s="4"/>
      <c r="BY142" s="4">
        <v>9154.3389999999999</v>
      </c>
      <c r="BZ142" s="4">
        <v>5392.9970000000003</v>
      </c>
      <c r="CA142" s="4"/>
      <c r="CC142" s="4">
        <v>4349.2659999999996</v>
      </c>
      <c r="CD142" s="4">
        <v>2966.9070000000002</v>
      </c>
      <c r="CE142" s="4">
        <v>6336.8789999999999</v>
      </c>
      <c r="CG142" s="260"/>
    </row>
    <row r="143" spans="1:86" ht="13.5" customHeight="1">
      <c r="B143" s="7" t="s">
        <v>375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29"/>
      <c r="R143" s="4">
        <v>0</v>
      </c>
      <c r="S143" s="6">
        <f>BN143-R143</f>
        <v>0</v>
      </c>
      <c r="T143" s="4">
        <f>0-S143-R143</f>
        <v>0</v>
      </c>
      <c r="U143" s="6">
        <f>E143-T143-S143-R143</f>
        <v>0</v>
      </c>
      <c r="V143" s="4">
        <v>0</v>
      </c>
      <c r="W143" s="6">
        <f>BO143-V143</f>
        <v>0</v>
      </c>
      <c r="X143" s="4">
        <f>0-W143-V143</f>
        <v>0</v>
      </c>
      <c r="Y143" s="6">
        <f>F143-X143-W143-V143</f>
        <v>0</v>
      </c>
      <c r="Z143" s="4">
        <v>0</v>
      </c>
      <c r="AA143" s="6">
        <f>BP143-Z143</f>
        <v>0</v>
      </c>
      <c r="AB143" s="4">
        <f>-AA143-Z143</f>
        <v>0</v>
      </c>
      <c r="AC143" s="151">
        <f>H143-AB143-AA143-Z143</f>
        <v>0</v>
      </c>
      <c r="AD143" s="4">
        <v>0</v>
      </c>
      <c r="AE143" s="6">
        <f>BQ143-AD143</f>
        <v>0</v>
      </c>
      <c r="AF143" s="4">
        <f>-AE143-AD143</f>
        <v>0</v>
      </c>
      <c r="AG143" s="151">
        <f>J143-AF143-AE143-AD143</f>
        <v>0</v>
      </c>
      <c r="AH143" s="4">
        <v>0</v>
      </c>
      <c r="AI143" s="6">
        <f>BR143-AH143</f>
        <v>0</v>
      </c>
      <c r="AJ143" s="4">
        <f>-AI143-AH143</f>
        <v>0</v>
      </c>
      <c r="AK143" s="151">
        <f>K143-AJ143-AI143-AH143</f>
        <v>0</v>
      </c>
      <c r="AL143" s="4">
        <v>0</v>
      </c>
      <c r="AM143" s="6">
        <f>BS143-AL143</f>
        <v>0</v>
      </c>
      <c r="AN143" s="4">
        <f>-AM143-AL143</f>
        <v>0</v>
      </c>
      <c r="AO143" s="151">
        <f>L143-AN143-AM143-AL143</f>
        <v>0</v>
      </c>
      <c r="AP143" s="4">
        <v>0</v>
      </c>
      <c r="AQ143" s="6">
        <f>BT143-AP143</f>
        <v>0</v>
      </c>
      <c r="AR143" s="4">
        <f>0-AQ143-AP143</f>
        <v>0</v>
      </c>
      <c r="AS143" s="151">
        <f>M143-AR143-AQ143-AP143</f>
        <v>0</v>
      </c>
      <c r="AT143" s="4">
        <v>0</v>
      </c>
      <c r="AU143" s="6">
        <f>BU143-AT143</f>
        <v>0</v>
      </c>
      <c r="AV143" s="4">
        <f>0-AU143-AT143</f>
        <v>0</v>
      </c>
      <c r="AW143" s="151">
        <f>N143-AV143-AU143-AT143</f>
        <v>0</v>
      </c>
      <c r="AX143" s="4">
        <v>0</v>
      </c>
      <c r="AY143" s="6">
        <f>BV143-AX143</f>
        <v>0</v>
      </c>
      <c r="AZ143" s="4">
        <f>0-AY143-AX143</f>
        <v>0</v>
      </c>
      <c r="BA143" s="151">
        <f>O143-AZ143-AY143-AX143</f>
        <v>0</v>
      </c>
      <c r="BB143" s="4">
        <v>0</v>
      </c>
      <c r="BC143" s="6">
        <f>BW143-BB143</f>
        <v>0</v>
      </c>
      <c r="BD143" s="4">
        <f>0-BC143-BB143</f>
        <v>0</v>
      </c>
      <c r="BE143" s="151">
        <f>P143-BD143-BC143-BB143</f>
        <v>0</v>
      </c>
      <c r="BF143" s="4">
        <v>0</v>
      </c>
      <c r="BG143" s="142"/>
      <c r="BH143" s="4">
        <v>0</v>
      </c>
      <c r="BI143" s="203">
        <f>BY143-BH143</f>
        <v>0</v>
      </c>
      <c r="BJ143" s="4">
        <f>-BI143-BH143</f>
        <v>0</v>
      </c>
      <c r="BK143" s="151">
        <f>I143-Z143-AB143-AA143</f>
        <v>0</v>
      </c>
      <c r="BL143" s="4">
        <v>0</v>
      </c>
      <c r="BM143" s="4"/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/>
      <c r="BY143" s="4">
        <v>0</v>
      </c>
      <c r="BZ143" s="4">
        <v>0</v>
      </c>
      <c r="CA143" s="4"/>
      <c r="CC143" s="4">
        <v>0</v>
      </c>
      <c r="CD143" s="4">
        <v>0</v>
      </c>
      <c r="CE143" s="4">
        <v>0</v>
      </c>
      <c r="CG143" s="260"/>
    </row>
    <row r="144" spans="1:86" s="5" customFormat="1" ht="13.5" customHeight="1">
      <c r="B144" s="16" t="s">
        <v>376</v>
      </c>
      <c r="C144" s="8">
        <f t="shared" ref="C144:H144" si="586">SUM(C138:C143)</f>
        <v>-260160.95999999996</v>
      </c>
      <c r="D144" s="8">
        <f t="shared" si="586"/>
        <v>-114178.79899999994</v>
      </c>
      <c r="E144" s="8">
        <f t="shared" si="586"/>
        <v>143777.72899999999</v>
      </c>
      <c r="F144" s="8">
        <f t="shared" si="586"/>
        <v>44427.116999999824</v>
      </c>
      <c r="G144" s="8">
        <f t="shared" si="586"/>
        <v>46239.488999999798</v>
      </c>
      <c r="H144" s="8">
        <f t="shared" si="586"/>
        <v>1606.6169999999438</v>
      </c>
      <c r="I144" s="8">
        <f t="shared" ref="I144:N144" si="587">SUM(I138:I143)</f>
        <v>1282569.7350000003</v>
      </c>
      <c r="J144" s="8">
        <f t="shared" si="587"/>
        <v>110228.01700000023</v>
      </c>
      <c r="K144" s="8">
        <f t="shared" si="587"/>
        <v>303481.48299999983</v>
      </c>
      <c r="L144" s="8">
        <f t="shared" si="587"/>
        <v>111460.0390000006</v>
      </c>
      <c r="M144" s="8">
        <f>SUM(M138:M143)</f>
        <v>-387711.56500000012</v>
      </c>
      <c r="N144" s="8">
        <f t="shared" si="587"/>
        <v>606396.60300000024</v>
      </c>
      <c r="O144" s="8">
        <f>SUM(O138:O143)</f>
        <v>439156.58399999986</v>
      </c>
      <c r="P144" s="8">
        <f>SUM(P138:P143)</f>
        <v>940749.77499999979</v>
      </c>
      <c r="Q144" s="29"/>
      <c r="R144" s="8">
        <f t="shared" ref="R144:AC144" si="588">SUM(R138:R143)</f>
        <v>116237.65399999997</v>
      </c>
      <c r="S144" s="8">
        <f t="shared" si="588"/>
        <v>-129398.24599999964</v>
      </c>
      <c r="T144" s="8">
        <f t="shared" si="588"/>
        <v>-43219.875000000211</v>
      </c>
      <c r="U144" s="8">
        <f t="shared" si="588"/>
        <v>200158.22199999975</v>
      </c>
      <c r="V144" s="8">
        <f t="shared" si="588"/>
        <v>44540.760000000162</v>
      </c>
      <c r="W144" s="8">
        <f t="shared" si="588"/>
        <v>-72438.269000000131</v>
      </c>
      <c r="X144" s="8">
        <f t="shared" si="588"/>
        <v>-28063.3219999998</v>
      </c>
      <c r="Y144" s="8">
        <f t="shared" si="588"/>
        <v>100388.64299999966</v>
      </c>
      <c r="Z144" s="8">
        <f t="shared" si="588"/>
        <v>86649.708999999988</v>
      </c>
      <c r="AA144" s="8">
        <f t="shared" si="588"/>
        <v>-157073.9170000001</v>
      </c>
      <c r="AB144" s="8" t="e">
        <f t="shared" si="588"/>
        <v>#REF!</v>
      </c>
      <c r="AC144" s="8" t="e">
        <f t="shared" si="588"/>
        <v>#REF!</v>
      </c>
      <c r="AD144" s="8">
        <f t="shared" ref="AD144:AI144" si="589">SUM(AD138:AD143)</f>
        <v>1534423.223</v>
      </c>
      <c r="AE144" s="8">
        <f t="shared" si="589"/>
        <v>-173013.783</v>
      </c>
      <c r="AF144" s="8">
        <f t="shared" si="589"/>
        <v>7427.9269999998742</v>
      </c>
      <c r="AG144" s="8">
        <f t="shared" si="589"/>
        <v>-1258609.3499999999</v>
      </c>
      <c r="AH144" s="8">
        <f t="shared" si="589"/>
        <v>-181090.50000000017</v>
      </c>
      <c r="AI144" s="8">
        <f t="shared" si="589"/>
        <v>-83216.241999999867</v>
      </c>
      <c r="AJ144" s="8">
        <f t="shared" ref="AJ144:AO144" si="590">SUM(AJ138:AJ143)</f>
        <v>170769.55899999969</v>
      </c>
      <c r="AK144" s="8">
        <f t="shared" si="590"/>
        <v>397018.66600000014</v>
      </c>
      <c r="AL144" s="8">
        <f t="shared" si="590"/>
        <v>-6206.6600000000399</v>
      </c>
      <c r="AM144" s="8">
        <f t="shared" si="590"/>
        <v>109782.93400000028</v>
      </c>
      <c r="AN144" s="8">
        <f t="shared" si="590"/>
        <v>-159380.41500000036</v>
      </c>
      <c r="AO144" s="8">
        <f t="shared" si="590"/>
        <v>167264.18000000046</v>
      </c>
      <c r="AP144" s="8">
        <f t="shared" ref="AP144:AU144" si="591">SUM(AP138:AP143)</f>
        <v>-135982.78200000009</v>
      </c>
      <c r="AQ144" s="8">
        <f t="shared" si="591"/>
        <v>-341152.15200000023</v>
      </c>
      <c r="AR144" s="8">
        <f t="shared" si="591"/>
        <v>-153634.33199999953</v>
      </c>
      <c r="AS144" s="8">
        <f t="shared" si="591"/>
        <v>243057.70099999933</v>
      </c>
      <c r="AT144" s="8">
        <f t="shared" si="591"/>
        <v>271053.90499999997</v>
      </c>
      <c r="AU144" s="8">
        <f t="shared" si="591"/>
        <v>-185664.16500000004</v>
      </c>
      <c r="AV144" s="8">
        <f t="shared" ref="AV144:BA144" si="592">SUM(AV138:AV143)</f>
        <v>161028.42900000009</v>
      </c>
      <c r="AW144" s="8">
        <f t="shared" si="592"/>
        <v>359978.43400000001</v>
      </c>
      <c r="AX144" s="8">
        <f t="shared" si="592"/>
        <v>-41627.951000000088</v>
      </c>
      <c r="AY144" s="8">
        <f t="shared" si="592"/>
        <v>-111841.80400000012</v>
      </c>
      <c r="AZ144" s="8">
        <f t="shared" si="592"/>
        <v>266296.58500000049</v>
      </c>
      <c r="BA144" s="8">
        <f t="shared" si="592"/>
        <v>326329.75399999967</v>
      </c>
      <c r="BB144" s="8">
        <f>SUM(BB138:BB143)</f>
        <v>14542.152000000346</v>
      </c>
      <c r="BC144" s="8">
        <f>SUM(BC138:BC143)</f>
        <v>211677.69099999985</v>
      </c>
      <c r="BD144" s="8">
        <f>SUM(BD138:BD143)</f>
        <v>-39233.102000000588</v>
      </c>
      <c r="BE144" s="8">
        <f>SUM(BE138:BE143)</f>
        <v>753763.03400000033</v>
      </c>
      <c r="BF144" s="8">
        <f>SUM(BF138:BF143)</f>
        <v>368470.06699999992</v>
      </c>
      <c r="BG144" s="142"/>
      <c r="BH144" s="8">
        <f>SUM(BH138:BH143)</f>
        <v>51926.870999999985</v>
      </c>
      <c r="BI144" s="8">
        <f>SUM(BI138:BI143)</f>
        <v>-187984.06100000016</v>
      </c>
      <c r="BJ144" s="8" t="e">
        <f>SUM(BJ138:BJ143)</f>
        <v>#REF!</v>
      </c>
      <c r="BK144" s="8" t="e">
        <f>SUM(BK138:BK143)</f>
        <v>#REF!</v>
      </c>
      <c r="BL144" s="8">
        <f>SUM(BL138:BL143)</f>
        <v>-796497.84900000016</v>
      </c>
      <c r="BM144" s="8"/>
      <c r="BN144" s="8">
        <f t="shared" ref="BN144:BS144" si="593">SUM(BN138:BN143)</f>
        <v>-13160.649999999607</v>
      </c>
      <c r="BO144" s="8">
        <f t="shared" si="593"/>
        <v>-27897.509000000002</v>
      </c>
      <c r="BP144" s="8">
        <f t="shared" si="593"/>
        <v>-70424.20800000013</v>
      </c>
      <c r="BQ144" s="8">
        <f t="shared" si="593"/>
        <v>1361409.4400000004</v>
      </c>
      <c r="BR144" s="8">
        <f t="shared" si="593"/>
        <v>-264306.74200000003</v>
      </c>
      <c r="BS144" s="8">
        <f t="shared" si="593"/>
        <v>103576.27400000018</v>
      </c>
      <c r="BT144" s="8">
        <f>SUM(BT138:BT143)</f>
        <v>-477134.93400000024</v>
      </c>
      <c r="BU144" s="8">
        <f>SUM(BU138:BU143)</f>
        <v>85389.739999999962</v>
      </c>
      <c r="BV144" s="8">
        <f>SUM(BV138:BV143)</f>
        <v>-153469.75500000012</v>
      </c>
      <c r="BW144" s="8">
        <f>SUM(BW138:BW143)</f>
        <v>226219.8430000002</v>
      </c>
      <c r="BX144" s="8"/>
      <c r="BY144" s="8">
        <f>SUM(BY138:BY143)</f>
        <v>-136057.19000000024</v>
      </c>
      <c r="BZ144" s="8">
        <f>SUM(BZ138:BZ143)</f>
        <v>1361409.4400000004</v>
      </c>
      <c r="CA144" s="8"/>
      <c r="CC144" s="8">
        <f>SUM(CC138:CC143)</f>
        <v>9345.9770000002718</v>
      </c>
      <c r="CD144" s="8">
        <f>SUM(CD138:CD143)</f>
        <v>-93594.460000000166</v>
      </c>
      <c r="CE144" s="8">
        <f>SUM(CE138:CE143)</f>
        <v>-156636.66999999998</v>
      </c>
      <c r="CG144" s="260"/>
    </row>
    <row r="145" spans="1:85" ht="13.5" customHeight="1">
      <c r="B145" s="7" t="s">
        <v>377</v>
      </c>
      <c r="C145" s="4">
        <f>53379.941-3495.432</f>
        <v>49884.508999999998</v>
      </c>
      <c r="D145" s="4">
        <f>3831.268-5136.917</f>
        <v>-1305.6490000000003</v>
      </c>
      <c r="E145" s="4">
        <f>11081.793-26493.283</f>
        <v>-15411.49</v>
      </c>
      <c r="F145" s="4">
        <f>6924.284+10929.316</f>
        <v>17853.599999999999</v>
      </c>
      <c r="G145" s="4">
        <f>6924.284+10929.316</f>
        <v>17853.599999999999</v>
      </c>
      <c r="H145" s="4">
        <f>397209.317-14881.439</f>
        <v>382327.87799999997</v>
      </c>
      <c r="I145" s="4">
        <f>397209.317-14881.439</f>
        <v>382327.87799999997</v>
      </c>
      <c r="J145" s="4">
        <f>14951.189+1301.278</f>
        <v>16252.467000000001</v>
      </c>
      <c r="K145" s="4">
        <f>4959.484+0</f>
        <v>4959.4840000000004</v>
      </c>
      <c r="L145" s="4">
        <f>8080.281+10175.892</f>
        <v>18256.172999999999</v>
      </c>
      <c r="M145" s="4">
        <f>21887.95+0</f>
        <v>21887.95</v>
      </c>
      <c r="N145" s="4">
        <f>1753.502+8580.459</f>
        <v>10333.961000000001</v>
      </c>
      <c r="O145" s="4">
        <v>312402.98700000002</v>
      </c>
      <c r="P145" s="4">
        <v>0</v>
      </c>
      <c r="Q145" s="29"/>
      <c r="R145" s="4">
        <v>-10036.616</v>
      </c>
      <c r="S145" s="6">
        <f>BN145-R145</f>
        <v>-9042.8680000000004</v>
      </c>
      <c r="T145" s="4">
        <f>7413.799-26493.283-S145-R145</f>
        <v>0</v>
      </c>
      <c r="U145" s="6">
        <f>E145-T145-S145-R145</f>
        <v>3667.9940000000006</v>
      </c>
      <c r="V145" s="4">
        <v>0</v>
      </c>
      <c r="W145" s="6">
        <f>BO145-V145</f>
        <v>1610</v>
      </c>
      <c r="X145" s="4">
        <f>5973.984+4610.768-W145-V145</f>
        <v>8974.7520000000004</v>
      </c>
      <c r="Y145" s="6">
        <f>F145-X145-W145-V145</f>
        <v>7268.8479999999981</v>
      </c>
      <c r="Z145" s="4">
        <f>4653.9+3667.905</f>
        <v>8321.8050000000003</v>
      </c>
      <c r="AA145" s="6">
        <f>BP145-Z145</f>
        <v>-17856.821</v>
      </c>
      <c r="AB145" s="4">
        <f>5645.105-14881.439-AA145-Z145</f>
        <v>298.68199999999888</v>
      </c>
      <c r="AC145" s="151">
        <f>H145-AB145-AA145-Z145</f>
        <v>391564.212</v>
      </c>
      <c r="AD145" s="4">
        <v>332.76799999999997</v>
      </c>
      <c r="AE145" s="6">
        <f>BQ145-AD145</f>
        <v>1723.8589999999999</v>
      </c>
      <c r="AF145" s="4">
        <f>1729.584+882.844-AE145-AD145</f>
        <v>555.80099999999993</v>
      </c>
      <c r="AG145" s="151">
        <f>J145-AF145-AE145-AD145</f>
        <v>13640.039000000001</v>
      </c>
      <c r="AH145" s="4">
        <v>2975.42</v>
      </c>
      <c r="AI145" s="6">
        <f>BR145-AH145</f>
        <v>1001.9279999999999</v>
      </c>
      <c r="AJ145" s="4">
        <f>3977.348+0-AI145-AH145</f>
        <v>0</v>
      </c>
      <c r="AK145" s="151">
        <f>K145-AJ145-AI145-AH145</f>
        <v>982.13600000000042</v>
      </c>
      <c r="AL145" s="4">
        <v>1846.3810000000001</v>
      </c>
      <c r="AM145" s="6">
        <f>BS145-AL145</f>
        <v>680.8889999999999</v>
      </c>
      <c r="AN145" s="4">
        <f>3304.83+10175.892-AM145-AL145</f>
        <v>10953.452000000001</v>
      </c>
      <c r="AO145" s="151">
        <f>L145-AN145-AM145-AL145</f>
        <v>4775.4509999999973</v>
      </c>
      <c r="AP145" s="4">
        <v>2611.6999999999998</v>
      </c>
      <c r="AQ145" s="6">
        <f>BT145-AP145</f>
        <v>13987.75</v>
      </c>
      <c r="AR145" s="4">
        <f>21887.95-AQ145-AP145</f>
        <v>5288.5000000000009</v>
      </c>
      <c r="AS145" s="151">
        <f>M145-AR145-AQ145-AP145</f>
        <v>0</v>
      </c>
      <c r="AT145" s="4">
        <v>1753.502</v>
      </c>
      <c r="AU145" s="6">
        <f>BU145-AT145</f>
        <v>-155917.66999999998</v>
      </c>
      <c r="AV145" s="4">
        <f>1753.502+8580.459-164498.129-AU145-AT145</f>
        <v>7.73070496506989E-12</v>
      </c>
      <c r="AW145" s="151">
        <f>N145-AV145-AU145-AT145</f>
        <v>164498.12899999996</v>
      </c>
      <c r="AX145" s="4">
        <v>3607.77</v>
      </c>
      <c r="AY145" s="6">
        <f>BV145-AX145</f>
        <v>0</v>
      </c>
      <c r="AZ145" s="4">
        <f>312034.459-AY145-AX145</f>
        <v>308426.68899999995</v>
      </c>
      <c r="BA145" s="151">
        <f>O145-AZ145-AY145-AX145</f>
        <v>368.528000000068</v>
      </c>
      <c r="BB145" s="4">
        <v>0</v>
      </c>
      <c r="BC145" s="6">
        <f>BW145-BB145</f>
        <v>0</v>
      </c>
      <c r="BD145" s="4">
        <f>0-BC145-BB145</f>
        <v>0</v>
      </c>
      <c r="BE145" s="151">
        <f>P145-BD145-BC145-BB145</f>
        <v>0</v>
      </c>
      <c r="BF145" s="4">
        <v>0</v>
      </c>
      <c r="BG145" s="142"/>
      <c r="BH145" s="4">
        <f>4653.9+3667.905</f>
        <v>8321.8050000000003</v>
      </c>
      <c r="BI145" s="203">
        <f>BY145-BH145</f>
        <v>-17856.821</v>
      </c>
      <c r="BJ145" s="4">
        <f>5645.105-14881.439-BI145-BH145</f>
        <v>298.68199999999888</v>
      </c>
      <c r="BK145" s="151">
        <f>I145-Z145-AB145-AA145</f>
        <v>391564.212</v>
      </c>
      <c r="BL145" s="4">
        <v>332.76799999999997</v>
      </c>
      <c r="BM145" s="4"/>
      <c r="BN145" s="4">
        <f>7413.799-26493.283</f>
        <v>-19079.484</v>
      </c>
      <c r="BO145" s="4">
        <v>1610</v>
      </c>
      <c r="BP145" s="4">
        <f>5346.423-14881.439</f>
        <v>-9535.0159999999996</v>
      </c>
      <c r="BQ145" s="4">
        <f>1617.757+438.87</f>
        <v>2056.627</v>
      </c>
      <c r="BR145" s="4">
        <f>3977.348+0</f>
        <v>3977.348</v>
      </c>
      <c r="BS145" s="4">
        <v>2527.27</v>
      </c>
      <c r="BT145" s="4">
        <v>16599.45</v>
      </c>
      <c r="BU145" s="4">
        <f>1753.502+8580.459-164498.129</f>
        <v>-154164.16799999998</v>
      </c>
      <c r="BV145" s="4">
        <f>3607.77+0-0</f>
        <v>3607.77</v>
      </c>
      <c r="BW145" s="4">
        <v>0</v>
      </c>
      <c r="BX145" s="4"/>
      <c r="BY145" s="4">
        <f>5346.423-14881.439</f>
        <v>-9535.0159999999996</v>
      </c>
      <c r="BZ145" s="4">
        <f>1617.757+438.87</f>
        <v>2056.627</v>
      </c>
      <c r="CA145" s="4"/>
      <c r="CC145" s="4">
        <v>0</v>
      </c>
      <c r="CD145" s="4">
        <v>-1400.9010000000001</v>
      </c>
      <c r="CE145" s="4">
        <f>3816.562-2262.507</f>
        <v>1554.0549999999998</v>
      </c>
      <c r="CG145" s="260"/>
    </row>
    <row r="146" spans="1:85" ht="13.5" customHeight="1">
      <c r="B146" s="7" t="s">
        <v>378</v>
      </c>
      <c r="C146" s="4">
        <f>-179029.165+4544.614</f>
        <v>-174484.55100000001</v>
      </c>
      <c r="D146" s="4">
        <f>-197397.585+9217.815</f>
        <v>-188179.77</v>
      </c>
      <c r="E146" s="4">
        <f>-215513.372+720.474</f>
        <v>-214792.89800000002</v>
      </c>
      <c r="F146" s="4">
        <f>5201.313-215061.388</f>
        <v>-209860.07500000001</v>
      </c>
      <c r="G146" s="4">
        <f>5201.313-215061.388</f>
        <v>-209860.07500000001</v>
      </c>
      <c r="H146" s="4">
        <f>5396.419-154142.646</f>
        <v>-148746.22700000001</v>
      </c>
      <c r="I146" s="4">
        <f>5396.419-154142.646</f>
        <v>-148746.22700000001</v>
      </c>
      <c r="J146" s="4">
        <f>10881.23-212541.867</f>
        <v>-201660.63699999999</v>
      </c>
      <c r="K146" s="4">
        <f>16186.707-108030.689</f>
        <v>-91843.982000000004</v>
      </c>
      <c r="L146" s="4">
        <f>39164.111-93063.481</f>
        <v>-53899.37</v>
      </c>
      <c r="M146" s="4">
        <f>11350.722-255958.31</f>
        <v>-244607.58799999999</v>
      </c>
      <c r="N146" s="4">
        <f>8696.086-9032.554</f>
        <v>-336.46800000000076</v>
      </c>
      <c r="O146" s="4">
        <f>28307.37-59641.665</f>
        <v>-31334.295000000002</v>
      </c>
      <c r="P146" s="4">
        <f>36617.647-343895.128</f>
        <v>-307277.48100000003</v>
      </c>
      <c r="Q146" s="29"/>
      <c r="R146" s="4">
        <f>-1643.788+4.328</f>
        <v>-1639.46</v>
      </c>
      <c r="S146" s="6">
        <f>BN146-R146</f>
        <v>-146030.97200000001</v>
      </c>
      <c r="T146" s="4">
        <f>-148382.281+716.15-S146-R146</f>
        <v>4.3010000000149375</v>
      </c>
      <c r="U146" s="6">
        <f>E146-T146-S146-R146</f>
        <v>-67126.767000000007</v>
      </c>
      <c r="V146" s="4">
        <f>-1601.76+4.337</f>
        <v>-1597.423</v>
      </c>
      <c r="W146" s="6">
        <f>BO146-V146</f>
        <v>-142736.40999999997</v>
      </c>
      <c r="X146" s="4">
        <f>-149528.394+5196.923-W146-V146</f>
        <v>2.3619999999839365</v>
      </c>
      <c r="Y146" s="6">
        <f>F146-X146-W146-V146</f>
        <v>-65528.604000000028</v>
      </c>
      <c r="Z146" s="4">
        <f>-23.137+4.31</f>
        <v>-18.827000000000002</v>
      </c>
      <c r="AA146" s="6">
        <f>BP146-Z146</f>
        <v>-143873.38999999998</v>
      </c>
      <c r="AB146" s="4">
        <f>-149506.051+5622.538-AA146-Z146</f>
        <v>8.7039999999785813</v>
      </c>
      <c r="AC146" s="151">
        <f>H146-AB146-AA146-Z146</f>
        <v>-4862.7139999999972</v>
      </c>
      <c r="AD146" s="4">
        <f>-68613.858+4.423</f>
        <v>-68609.434999999998</v>
      </c>
      <c r="AE146" s="6">
        <f>BQ146-AD146</f>
        <v>-130692.55700000003</v>
      </c>
      <c r="AF146" s="4">
        <f>-202831.479+10876.718-AE146-AD146</f>
        <v>7347.2310000000289</v>
      </c>
      <c r="AG146" s="151">
        <f>J146-AF146-AE146-AD146</f>
        <v>-9705.8759999999893</v>
      </c>
      <c r="AH146" s="4">
        <f>-44987.392+4.554</f>
        <v>-44982.838000000003</v>
      </c>
      <c r="AI146" s="6">
        <f>BR146-AH146</f>
        <v>-48423.781999999992</v>
      </c>
      <c r="AJ146" s="4">
        <f>-107021.449+4632.231-AI146-AH146</f>
        <v>-8982.5979999999981</v>
      </c>
      <c r="AK146" s="151">
        <f>K146-AJ146-AI146-AH146</f>
        <v>10545.23599999999</v>
      </c>
      <c r="AL146" s="4">
        <f>0+4.681</f>
        <v>4.681</v>
      </c>
      <c r="AM146" s="6">
        <f>BS146-AL146</f>
        <v>-2171.0729999999999</v>
      </c>
      <c r="AN146" s="4">
        <f>-90994.61+18512.755-AM146-AL146</f>
        <v>-70315.462999999989</v>
      </c>
      <c r="AO146" s="151">
        <f>L146-AN146-AM146-AL146</f>
        <v>18582.484999999986</v>
      </c>
      <c r="AP146" s="4">
        <f>5.016-5414.083</f>
        <v>-5409.067</v>
      </c>
      <c r="AQ146" s="6">
        <f>BT146-AP146</f>
        <v>-170938.53099999999</v>
      </c>
      <c r="AR146" s="4">
        <f>-187928.796+11344.893-AQ146-AP146</f>
        <v>-236.30500000000302</v>
      </c>
      <c r="AS146" s="151">
        <f>M146-AR146-AQ146-AP146</f>
        <v>-68023.685000000012</v>
      </c>
      <c r="AT146" s="4">
        <f>5.667-230.01</f>
        <v>-224.34299999999999</v>
      </c>
      <c r="AU146" s="6">
        <f>BU146-AT146</f>
        <v>1245.9680000000001</v>
      </c>
      <c r="AV146" s="4">
        <f>-8066.833+8690.098-AU146-AT146</f>
        <v>-398.35999999999979</v>
      </c>
      <c r="AW146" s="151">
        <f>N146-AV146-AU146-AT146</f>
        <v>-959.73300000000097</v>
      </c>
      <c r="AX146" s="4">
        <f>5.906-2968.065</f>
        <v>-2962.1590000000001</v>
      </c>
      <c r="AY146" s="6">
        <f>BV146-AX146</f>
        <v>-15897.757999999998</v>
      </c>
      <c r="AZ146" s="4">
        <f>-36684.677+17276.109-AY146-AX146</f>
        <v>-548.65100000000484</v>
      </c>
      <c r="BA146" s="151">
        <f>O146-AZ146-AY146-AX146</f>
        <v>-11925.726999999999</v>
      </c>
      <c r="BB146" s="4">
        <f>6.483-55497.999</f>
        <v>-55491.516000000003</v>
      </c>
      <c r="BC146" s="6">
        <f>BW146-BB146</f>
        <v>-133105.83600000001</v>
      </c>
      <c r="BD146" s="4">
        <f>35174.054-227252.247-BC146-BB146</f>
        <v>-3480.8409999999858</v>
      </c>
      <c r="BE146" s="151">
        <f>P146-BD146-BC146-BB146</f>
        <v>-115199.288</v>
      </c>
      <c r="BF146" s="4">
        <f>22938.38-254.385</f>
        <v>22683.995000000003</v>
      </c>
      <c r="BG146" s="142"/>
      <c r="BH146" s="4">
        <f>-23.137+4.31</f>
        <v>-18.827000000000002</v>
      </c>
      <c r="BI146" s="203">
        <f>BY146-BH146</f>
        <v>155138.71</v>
      </c>
      <c r="BJ146" s="4">
        <f>-149506.05+5622.538-BI146-BH146</f>
        <v>-299003.39499999996</v>
      </c>
      <c r="BK146" s="151">
        <f>I146-Z146-AB146-AA146</f>
        <v>-4862.7140000000072</v>
      </c>
      <c r="BL146" s="4">
        <f>-68613.858+4.423</f>
        <v>-68609.434999999998</v>
      </c>
      <c r="BM146" s="4"/>
      <c r="BN146" s="4">
        <f>-148382.281+711.849</f>
        <v>-147670.432</v>
      </c>
      <c r="BO146" s="4">
        <f>-149526.484+5192.651</f>
        <v>-144333.83299999998</v>
      </c>
      <c r="BP146" s="4">
        <f>-149506.05+5613.833</f>
        <v>-143892.21699999998</v>
      </c>
      <c r="BQ146" s="4">
        <f>-199408.227+106.235</f>
        <v>-199301.99200000003</v>
      </c>
      <c r="BR146" s="4">
        <f>-93415.775+9.155</f>
        <v>-93406.62</v>
      </c>
      <c r="BS146" s="4">
        <f>-18912.603+16746.211</f>
        <v>-2166.3919999999998</v>
      </c>
      <c r="BT146" s="4">
        <f>-187687.402+11339.804</f>
        <v>-176347.598</v>
      </c>
      <c r="BU146" s="4">
        <f>-7662.534+8684.159</f>
        <v>1021.625</v>
      </c>
      <c r="BV146" s="4">
        <f>-36129.833+17269.916</f>
        <v>-18859.916999999998</v>
      </c>
      <c r="BW146" s="4">
        <f>-198174.358+9577.006</f>
        <v>-188597.35200000001</v>
      </c>
      <c r="BX146" s="4"/>
      <c r="BY146" s="4">
        <f>149506.05+5613.833</f>
        <v>155119.883</v>
      </c>
      <c r="BZ146" s="4">
        <f>-199408.227+106.235</f>
        <v>-199301.99200000003</v>
      </c>
      <c r="CA146" s="4"/>
      <c r="CC146" s="4">
        <v>0</v>
      </c>
      <c r="CD146" s="4">
        <v>-129399.92600000001</v>
      </c>
      <c r="CE146" s="4">
        <v>-130161.14599999999</v>
      </c>
      <c r="CG146" s="260"/>
    </row>
    <row r="147" spans="1:85" ht="15.75" customHeight="1">
      <c r="B147" s="7" t="s">
        <v>379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29"/>
      <c r="R147" s="4">
        <v>0</v>
      </c>
      <c r="S147" s="6">
        <f>BN147-R147</f>
        <v>0</v>
      </c>
      <c r="T147" s="4">
        <v>0</v>
      </c>
      <c r="U147" s="6">
        <f>E147-T147-S147-R147</f>
        <v>0</v>
      </c>
      <c r="V147" s="4">
        <v>0</v>
      </c>
      <c r="W147" s="6">
        <f>BO147-V147</f>
        <v>0</v>
      </c>
      <c r="X147" s="4">
        <f>0-W147-V147</f>
        <v>0</v>
      </c>
      <c r="Y147" s="6">
        <f>F147-X147-W147-V147</f>
        <v>0</v>
      </c>
      <c r="Z147" s="4">
        <v>0</v>
      </c>
      <c r="AA147" s="6">
        <f>BP147-Z147</f>
        <v>0</v>
      </c>
      <c r="AB147" s="4">
        <f>-AA147-Z147</f>
        <v>0</v>
      </c>
      <c r="AC147" s="151">
        <f>H147-AB147-AA147-Z147</f>
        <v>0</v>
      </c>
      <c r="AD147" s="4">
        <v>0</v>
      </c>
      <c r="AE147" s="6">
        <f>BQ147-AD147</f>
        <v>0</v>
      </c>
      <c r="AF147" s="4">
        <f>-AE147-AD147</f>
        <v>0</v>
      </c>
      <c r="AG147" s="151">
        <f>J147-AF147-AE147-AD147</f>
        <v>0</v>
      </c>
      <c r="AH147" s="4">
        <v>0</v>
      </c>
      <c r="AI147" s="6">
        <f>BR147-AH147</f>
        <v>0</v>
      </c>
      <c r="AJ147" s="4">
        <f>-AI147-AH147</f>
        <v>0</v>
      </c>
      <c r="AK147" s="151">
        <f>K147-AJ147-AI147-AH147</f>
        <v>0</v>
      </c>
      <c r="AL147" s="4">
        <v>0</v>
      </c>
      <c r="AM147" s="6">
        <f>BS147-AL147</f>
        <v>0</v>
      </c>
      <c r="AN147" s="4">
        <f>-AM147-AL147</f>
        <v>0</v>
      </c>
      <c r="AO147" s="151">
        <f>L147-AN147-AM147-AL147</f>
        <v>0</v>
      </c>
      <c r="AP147" s="4">
        <v>0</v>
      </c>
      <c r="AQ147" s="6">
        <f>BT147-AP147</f>
        <v>0</v>
      </c>
      <c r="AR147" s="4">
        <f>0-AQ147-AP147</f>
        <v>0</v>
      </c>
      <c r="AS147" s="151">
        <f>M147-AR147-AQ147-AP147</f>
        <v>0</v>
      </c>
      <c r="AT147" s="4">
        <v>0</v>
      </c>
      <c r="AU147" s="6">
        <f>BU147-AT147</f>
        <v>0</v>
      </c>
      <c r="AV147" s="4">
        <f>0-AU147-AT147</f>
        <v>0</v>
      </c>
      <c r="AW147" s="151">
        <f>N147-AV147-AU147-AT147</f>
        <v>0</v>
      </c>
      <c r="AX147" s="4">
        <v>0</v>
      </c>
      <c r="AY147" s="6">
        <f>BV147-AX147</f>
        <v>0</v>
      </c>
      <c r="AZ147" s="4">
        <f>0-AY147-AX147</f>
        <v>0</v>
      </c>
      <c r="BA147" s="151">
        <f>O147-AZ147-AY147-AX147</f>
        <v>0</v>
      </c>
      <c r="BB147" s="4">
        <v>0</v>
      </c>
      <c r="BC147" s="6">
        <f>BW147-BB147</f>
        <v>0</v>
      </c>
      <c r="BD147" s="4">
        <f>0-BC147-BB147</f>
        <v>0</v>
      </c>
      <c r="BE147" s="151">
        <f>P147-BD147-BC147-BB147</f>
        <v>0</v>
      </c>
      <c r="BF147" s="4">
        <v>0</v>
      </c>
      <c r="BG147" s="142"/>
      <c r="BH147" s="4">
        <v>0</v>
      </c>
      <c r="BI147" s="203">
        <f>BY147-BH147</f>
        <v>0</v>
      </c>
      <c r="BJ147" s="4">
        <f>-BI147-BH147</f>
        <v>0</v>
      </c>
      <c r="BK147" s="151">
        <f>I147-Z147-AB147-AA147</f>
        <v>0</v>
      </c>
      <c r="BL147" s="4">
        <v>0</v>
      </c>
      <c r="BM147" s="4"/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/>
      <c r="BY147" s="4">
        <v>0</v>
      </c>
      <c r="BZ147" s="4">
        <v>0</v>
      </c>
      <c r="CA147" s="4"/>
      <c r="CC147" s="4">
        <v>0</v>
      </c>
      <c r="CD147" s="4">
        <v>0</v>
      </c>
      <c r="CE147" s="4">
        <v>0</v>
      </c>
      <c r="CG147" s="260"/>
    </row>
    <row r="148" spans="1:85" ht="13.5" customHeight="1">
      <c r="B148" s="7" t="s">
        <v>380</v>
      </c>
      <c r="C148" s="4">
        <f>833657.276+2599217.628-3101725.973-17297.516</f>
        <v>313851.41499999986</v>
      </c>
      <c r="D148" s="4">
        <f>256796.22+3000044.363-2998109.042-24997.036</f>
        <v>233734.50500000021</v>
      </c>
      <c r="E148" s="4">
        <f>898610.084+2434950.996-2918044.69-18031.378</f>
        <v>397485.0120000001</v>
      </c>
      <c r="F148" s="4">
        <f>362571.213+2362155.656-2622413.341-18352.153</f>
        <v>83961.374999999942</v>
      </c>
      <c r="G148" s="4">
        <f>2724726.869-2622413.341-18352.153</f>
        <v>83961.374999999942</v>
      </c>
      <c r="H148" s="4">
        <f>2499121.385-2691655.869-21629.321</f>
        <v>-214163.80500000017</v>
      </c>
      <c r="I148" s="4">
        <f>2049121.385-2390635.19</f>
        <v>-341513.80499999993</v>
      </c>
      <c r="J148" s="4">
        <f>1269838.308-1517463.862</f>
        <v>-247625.554</v>
      </c>
      <c r="K148" s="4">
        <f>2707918.486-2044888.397</f>
        <v>663030.08899999992</v>
      </c>
      <c r="L148" s="4">
        <f>1351942.903-1753763.358</f>
        <v>-401820.45500000007</v>
      </c>
      <c r="M148" s="4">
        <f>3908478.132-3242059.701</f>
        <v>666418.43100000033</v>
      </c>
      <c r="N148" s="4">
        <f>1491503.957-1676566.34</f>
        <v>-185062.38300000015</v>
      </c>
      <c r="O148" s="4">
        <f>885708.772-1152462.098</f>
        <v>-266753.326</v>
      </c>
      <c r="P148" s="4">
        <f>841661.563-1721545.404</f>
        <v>-879883.84100000013</v>
      </c>
      <c r="Q148" s="29"/>
      <c r="R148" s="4">
        <f>552683.767+3095.39-628641.913-6271.609</f>
        <v>-79134.364999999932</v>
      </c>
      <c r="S148" s="6">
        <f>BN148-R148</f>
        <v>175598.67299999992</v>
      </c>
      <c r="T148" s="4">
        <f>2130214.835-1939261.986-14253.023-2414.989-S148-R148</f>
        <v>77820.528999999951</v>
      </c>
      <c r="U148" s="6">
        <f>E148-T148-S148-R148</f>
        <v>223200.17500000013</v>
      </c>
      <c r="V148" s="47">
        <f>561970.166-2436.528-617718.496-6088.291</f>
        <v>-64273.149000000121</v>
      </c>
      <c r="W148" s="6">
        <f>BO148-V148</f>
        <v>122663.59000000008</v>
      </c>
      <c r="X148" s="4">
        <f>1801768.093-1662517.244-15251.795-1756.829-W148-V148</f>
        <v>63851.784000000203</v>
      </c>
      <c r="Y148" s="6">
        <f>F148-X148-W148-V148</f>
        <v>-38280.850000000224</v>
      </c>
      <c r="Z148" s="4">
        <f>726802.05-774400.868-5306.367</f>
        <v>-52905.184999999969</v>
      </c>
      <c r="AA148" s="6">
        <f>BP148-Z148</f>
        <v>219559.79899999985</v>
      </c>
      <c r="AB148" s="4">
        <f>1948422.996+6062.399-1609141.229-20341.897-AA148-Z148</f>
        <v>158347.65500000009</v>
      </c>
      <c r="AC148" s="151">
        <f>H148-AB148-AA148-Z148</f>
        <v>-539166.07400000014</v>
      </c>
      <c r="AD148" s="4">
        <f>314984.364-339536.568-34451.896</f>
        <v>-59004.100000000028</v>
      </c>
      <c r="AE148" s="6">
        <f>BQ148-AD148</f>
        <v>-16408.527999999984</v>
      </c>
      <c r="AF148" s="4">
        <f>1012131.228+1993.652-1005153.275-24846.339-AE148-AD148</f>
        <v>59537.893999999993</v>
      </c>
      <c r="AG148" s="151">
        <f>J148-AF148-AE148-AD148</f>
        <v>-231750.81999999995</v>
      </c>
      <c r="AH148" s="4">
        <f>1182586.759-230552.29</f>
        <v>952034.46900000004</v>
      </c>
      <c r="AI148" s="6">
        <f>BR148-AH148</f>
        <v>463443.9739999997</v>
      </c>
      <c r="AJ148" s="4">
        <f>2673620.163+1395.79-1536592.884-AI148-AH148</f>
        <v>-277055.3739999996</v>
      </c>
      <c r="AK148" s="151">
        <f>K148-AJ148-AI148-AH148</f>
        <v>-475392.98000000021</v>
      </c>
      <c r="AL148" s="4">
        <f>326475.04-377514.536</f>
        <v>-51039.496000000043</v>
      </c>
      <c r="AM148" s="6">
        <f>BS148-AL148</f>
        <v>-279494.67499999999</v>
      </c>
      <c r="AN148" s="4">
        <f>573811.47+0-1006606.73-AM148-AL148</f>
        <v>-102261.08899999998</v>
      </c>
      <c r="AO148" s="151">
        <f>L148-AN148-AM148-AL148</f>
        <v>30974.804999999935</v>
      </c>
      <c r="AP148" s="4">
        <f>716620.42-600098.177</f>
        <v>116522.24300000002</v>
      </c>
      <c r="AQ148" s="6">
        <f>BT148-AP148</f>
        <v>416514.60199999996</v>
      </c>
      <c r="AR148" s="4">
        <f>3272925.055-2353189.866--AQ148-AP148</f>
        <v>1219727.5480000002</v>
      </c>
      <c r="AS148" s="151">
        <f>M148-AR148-AQ148-AP148</f>
        <v>-1086345.9619999998</v>
      </c>
      <c r="AT148" s="4">
        <f>870029.58-953194.642</f>
        <v>-83165.062000000034</v>
      </c>
      <c r="AU148" s="6">
        <f>BU148-AT148</f>
        <v>-55456.107999999891</v>
      </c>
      <c r="AV148" s="4">
        <f>1355484.899-1556245.805-AU148-AT148</f>
        <v>-62139.736000000034</v>
      </c>
      <c r="AW148" s="151">
        <f>N148-AV148-AU148-AT148</f>
        <v>15698.522999999812</v>
      </c>
      <c r="AX148" s="4">
        <f>201056.693-206916.174</f>
        <v>-5859.4809999999998</v>
      </c>
      <c r="AY148" s="6">
        <f>BV148-AX148</f>
        <v>18227.050999999949</v>
      </c>
      <c r="AZ148" s="4">
        <f>822558.505-801374.821-AY148-AX148</f>
        <v>8816.1140000000596</v>
      </c>
      <c r="BA148" s="151">
        <f>O148-AZ148-AY148-AX148</f>
        <v>-287937.01</v>
      </c>
      <c r="BB148" s="4">
        <f>281491.457-694733.004</f>
        <v>-413241.54699999996</v>
      </c>
      <c r="BC148" s="6">
        <f>BW148-BB148</f>
        <v>-19297.731000000087</v>
      </c>
      <c r="BD148" s="4">
        <f>653346.738-1252100.967-BC148-BB148</f>
        <v>-166214.95099999994</v>
      </c>
      <c r="BE148" s="151">
        <f>P148-BD148-BC148-BB148</f>
        <v>-281129.61200000002</v>
      </c>
      <c r="BF148" s="4">
        <f>180293.247-55019.32</f>
        <v>125273.927</v>
      </c>
      <c r="BG148" s="142"/>
      <c r="BH148" s="4">
        <f>666802.05-666750.868-5306.367</f>
        <v>-5255.1849999999704</v>
      </c>
      <c r="BI148" s="203">
        <f>BY148-BH148</f>
        <v>144559.79899999985</v>
      </c>
      <c r="BJ148" s="4">
        <f>1638422.996+6062.399-1386491.229-20341.897-BI148-BH148</f>
        <v>98347.655000000086</v>
      </c>
      <c r="BK148" s="151">
        <f>I148-Z148-AB148-AA148</f>
        <v>-666516.07399999991</v>
      </c>
      <c r="BL148" s="4">
        <f>314984.364-340645.455</f>
        <v>-25661.091000000015</v>
      </c>
      <c r="BM148" s="4"/>
      <c r="BN148" s="4">
        <f>149363.561+1096354.245+1802.223-1140710.522-10345.199</f>
        <v>96464.30799999999</v>
      </c>
      <c r="BO148" s="4">
        <f>108093.911+1074733.454-3799.189-1110942.726-9695.009</f>
        <v>58390.440999999955</v>
      </c>
      <c r="BP148" s="4">
        <f>1364697.065-1178744.158-19298.293</f>
        <v>166654.61399999988</v>
      </c>
      <c r="BQ148" s="4">
        <f>674863.496-694448.462-55827.662</f>
        <v>-75412.628000000012</v>
      </c>
      <c r="BR148" s="4">
        <f>2161699.922-746221.479</f>
        <v>1415478.4429999997</v>
      </c>
      <c r="BS148" s="4">
        <f>429550.058-760084.229</f>
        <v>-330534.17100000003</v>
      </c>
      <c r="BT148" s="4">
        <f>2047031.025-1513994.18</f>
        <v>533036.84499999997</v>
      </c>
      <c r="BU148" s="4">
        <f>1293031.323-1431652.493</f>
        <v>-138621.16999999993</v>
      </c>
      <c r="BV148" s="4">
        <f>504836.22-492468.65</f>
        <v>12367.569999999949</v>
      </c>
      <c r="BW148" s="4">
        <f>570586.69-1003125.968</f>
        <v>-432539.27800000005</v>
      </c>
      <c r="BX148" s="4"/>
      <c r="BY148" s="4">
        <f>1174697.065-1016094.158-19298.293</f>
        <v>139304.61399999988</v>
      </c>
      <c r="BZ148" s="4">
        <f>674863.496-701727.972</f>
        <v>-26864.475999999908</v>
      </c>
      <c r="CA148" s="4"/>
      <c r="CB148" s="4"/>
      <c r="CC148" s="4">
        <f>872639.166-954355.674-5180.656</f>
        <v>-86897.164000000033</v>
      </c>
      <c r="CD148" s="4">
        <f>1708736.473+962.665-1562360.703-9591.984</f>
        <v>137746.45100000006</v>
      </c>
      <c r="CE148" s="4">
        <f>2311813.688-2144439.333-20831.666</f>
        <v>146542.68899999998</v>
      </c>
      <c r="CG148" s="260"/>
    </row>
    <row r="149" spans="1:85" ht="13.5" customHeight="1">
      <c r="B149" s="7" t="s">
        <v>381</v>
      </c>
      <c r="C149" s="4">
        <f>18574.471+4235.845-1161.013</f>
        <v>21649.303000000004</v>
      </c>
      <c r="D149" s="4">
        <f>22622.814+4012.861</f>
        <v>26635.674999999999</v>
      </c>
      <c r="E149" s="4">
        <f>22031.969-126887.026</f>
        <v>-104855.057</v>
      </c>
      <c r="F149" s="143">
        <f>-13431.348-25737.222-2967.781</f>
        <v>-42136.351000000002</v>
      </c>
      <c r="G149" s="143">
        <f>-13431.348-25737.222-2967.781</f>
        <v>-42136.351000000002</v>
      </c>
      <c r="H149" s="143">
        <f>-3997.815-38220.224-582.606-71402.887</f>
        <v>-114203.53200000001</v>
      </c>
      <c r="I149" s="143">
        <f>-3997.815-38220.224-582.606-71402.887</f>
        <v>-114203.53200000001</v>
      </c>
      <c r="J149" s="143">
        <f>-24048.504-8247.99+2185.044+16563.489</f>
        <v>-13547.960999999996</v>
      </c>
      <c r="K149" s="143">
        <f>-29275.407-2047.852-6708.836+3483.996+13366.043</f>
        <v>-21182.056000000004</v>
      </c>
      <c r="L149" s="143">
        <f>-33283.172-7930.022+6405.494+7244.082+845.809</f>
        <v>-26717.808999999994</v>
      </c>
      <c r="M149" s="143">
        <f>-31060.01-22383.522+22609.156+6125.542-227.09</f>
        <v>-24935.923999999999</v>
      </c>
      <c r="N149" s="143">
        <f>-20889.75+9166.527+3976.938+5387.416-797.452-164498.129</f>
        <v>-167654.44999999998</v>
      </c>
      <c r="O149" s="4">
        <f>-27073.43-43.104+12916.713+25375.823-8688.627-8017.434+36780.259</f>
        <v>31250.199999999997</v>
      </c>
      <c r="P149" s="4">
        <f>37077.291-10782.93-216.523+187285.635+1185.87-22574.072</f>
        <v>191975.27100000001</v>
      </c>
      <c r="Q149" s="142"/>
      <c r="R149" s="4">
        <f>6559.639+68.371</f>
        <v>6628.01</v>
      </c>
      <c r="S149" s="6">
        <f>BN149-R149</f>
        <v>10381.178000000002</v>
      </c>
      <c r="T149" s="4">
        <f>19291.04-17274.966-S149-R149</f>
        <v>-14993.114000000001</v>
      </c>
      <c r="U149" s="6">
        <f>E149-T149-S149-R149</f>
        <v>-106871.13099999999</v>
      </c>
      <c r="V149" s="4">
        <f>2387.87-330.726</f>
        <v>2057.1439999999998</v>
      </c>
      <c r="W149" s="6">
        <f>BO149-V149</f>
        <v>-10059.969000000001</v>
      </c>
      <c r="X149" s="4">
        <f>-12832.241-15104.27-W149-V149</f>
        <v>-19933.685999999998</v>
      </c>
      <c r="Y149" s="281">
        <f>F149-X149-W149-V149</f>
        <v>-14199.840000000004</v>
      </c>
      <c r="Z149" s="4">
        <f>-5608.465+4647.742</f>
        <v>-960.72299999999996</v>
      </c>
      <c r="AA149" s="6">
        <f>BP149-Z149</f>
        <v>-13859.236999999999</v>
      </c>
      <c r="AB149" s="4">
        <f>-3997.815-22181.371-121.543-66391.91-AA149-Z149</f>
        <v>-77872.679000000004</v>
      </c>
      <c r="AC149" s="151">
        <f>H149-AB149-AA149-Z149</f>
        <v>-21510.893000000004</v>
      </c>
      <c r="AD149" s="4">
        <f>-5769.777+5746.222-6924.084</f>
        <v>-6947.6390000000001</v>
      </c>
      <c r="AE149" s="6">
        <f>BQ149-AD149</f>
        <v>-10639.967000000001</v>
      </c>
      <c r="AF149" s="4">
        <f>-13493.342+530.937+8730.426-AE149-AD149</f>
        <v>13355.627</v>
      </c>
      <c r="AG149" s="151">
        <f>J149-AF149-AE149-AD149</f>
        <v>-9315.9819999999963</v>
      </c>
      <c r="AH149" s="4">
        <f>-12332.3-8511.402+17059.935-4606.758</f>
        <v>-8390.524999999996</v>
      </c>
      <c r="AI149" s="6">
        <f>BR149-AH149</f>
        <v>-19256.573000000004</v>
      </c>
      <c r="AJ149" s="4">
        <f>-24739.767+638.556+7792.742-AI149-AH149</f>
        <v>11338.629000000001</v>
      </c>
      <c r="AK149" s="151">
        <f>K149-AJ149-AI149-AH149</f>
        <v>-4873.587000000005</v>
      </c>
      <c r="AL149" s="4">
        <f>-13698.187-941.228+5561.436-7577.808</f>
        <v>-16655.787</v>
      </c>
      <c r="AM149" s="6">
        <f>BS149-AL149</f>
        <v>2794.5510000000031</v>
      </c>
      <c r="AN149" s="4">
        <f>-14965.589+4934.45+3406.2-31320.172+6405.494-AM149-AL149</f>
        <v>-17678.381000000005</v>
      </c>
      <c r="AO149" s="151">
        <f>L149-AN149-AM149-AL149</f>
        <v>4821.8080000000082</v>
      </c>
      <c r="AP149" s="4">
        <f>-10129.5-8480.954-1529.961-7177.851</f>
        <v>-27318.265999999996</v>
      </c>
      <c r="AQ149" s="6">
        <f>BT149-AP149</f>
        <v>-6191.5480000000025</v>
      </c>
      <c r="AR149" s="4">
        <f>-24345.575-5302.186-12613.424-22819.26+20215.47-AQ149-AP149</f>
        <v>-11355.160999999993</v>
      </c>
      <c r="AS149" s="151">
        <f>M149-AR149-AQ149-AP149</f>
        <v>19929.050999999992</v>
      </c>
      <c r="AT149" s="4">
        <f>-8794-8736.07-2665.592+2164.711-8637.973</f>
        <v>-26668.923999999999</v>
      </c>
      <c r="AU149" s="6">
        <f>BU149-AT149</f>
        <v>-2945.4840000000004</v>
      </c>
      <c r="AV149" s="4">
        <f>-218.426+21242.416-12547.145-17088+3976.938-AU149-AT149</f>
        <v>24980.190999999999</v>
      </c>
      <c r="AW149" s="151">
        <f>N149-AV149-AU149-AT149</f>
        <v>-163020.23299999998</v>
      </c>
      <c r="AX149" s="4">
        <f>-7327.95+7139.826+6913.023+0+461.851</f>
        <v>7186.75</v>
      </c>
      <c r="AY149" s="6">
        <f>BV149-AX149</f>
        <v>-20382.554</v>
      </c>
      <c r="AZ149" s="4">
        <f>-23429.045+11063.709+7794.693-8151.646+5834.985-AY149-AX149+29164.31</f>
        <v>35472.810000000005</v>
      </c>
      <c r="BA149" s="151">
        <f>O149-AZ149-AY149-AX149</f>
        <v>8973.1939999999922</v>
      </c>
      <c r="BB149" s="4">
        <f>-7168+2378.496-106.665+0-6206.348</f>
        <v>-11102.517</v>
      </c>
      <c r="BC149" s="6">
        <f>BW149-BB149</f>
        <v>16598.156000000003</v>
      </c>
      <c r="BD149" s="4">
        <f>-9612-149.522+353.107-14723.975+180757.996+36457.22-BC149-BB149</f>
        <v>187587.18700000003</v>
      </c>
      <c r="BE149" s="151">
        <f>P149-BD149-BC149-BB149</f>
        <v>-1107.5550000000294</v>
      </c>
      <c r="BF149" s="4">
        <f>-3980+-27515.285+29.265-142125.505-6096.19</f>
        <v>-179687.715</v>
      </c>
      <c r="BG149" s="4"/>
      <c r="BH149" s="4">
        <f>-6627.664-5608.465+4647.742</f>
        <v>-7588.3870000000006</v>
      </c>
      <c r="BI149" s="203">
        <f>BY149-BH149</f>
        <v>-7231.5729999999985</v>
      </c>
      <c r="BJ149" s="4">
        <f>-3997.815-22181.371-121.543-66391.91-BI149-BH149</f>
        <v>-77872.678999999989</v>
      </c>
      <c r="BK149" s="151">
        <f>I149-Z149-AB149-AA149</f>
        <v>-21510.893000000004</v>
      </c>
      <c r="BL149" s="4">
        <f>-5769.777+5746.222-6924.084</f>
        <v>-6947.6390000000001</v>
      </c>
      <c r="BM149" s="4"/>
      <c r="BN149" s="4">
        <f>16317.467+691.721</f>
        <v>17009.188000000002</v>
      </c>
      <c r="BO149" s="4">
        <f>-8406.164+403.339</f>
        <v>-8002.8250000000007</v>
      </c>
      <c r="BP149" s="4">
        <f>-9906.229-5577.676+663.945</f>
        <v>-14819.96</v>
      </c>
      <c r="BQ149" s="4">
        <f>-2164.349-4176.176-11247.081</f>
        <v>-17587.606</v>
      </c>
      <c r="BR149" s="4">
        <f>-4610.058+9816.187-12759.727-20093.5</f>
        <v>-27647.098000000002</v>
      </c>
      <c r="BS149" s="4">
        <f>-8004.526+8301.375-8220.255-16113.722+10175.892</f>
        <v>-13861.235999999997</v>
      </c>
      <c r="BT149" s="4">
        <f>-7587.741+542.231-9948.804-16515.5</f>
        <v>-33509.813999999998</v>
      </c>
      <c r="BU149" s="4">
        <f>-7946.12+2643.685-12108.473-12203.5</f>
        <v>-29614.407999999999</v>
      </c>
      <c r="BV149" s="4">
        <f>-10953.637+7505.435+10598.193-20345.795</f>
        <v>-13195.804</v>
      </c>
      <c r="BW149" s="4">
        <f>-12414.97+233.166-1698.457-9612+28987.9</f>
        <v>5495.6390000000029</v>
      </c>
      <c r="BX149" s="4"/>
      <c r="BY149" s="4">
        <f>663.945-5577.676-9906.229</f>
        <v>-14819.96</v>
      </c>
      <c r="BZ149" s="4">
        <f>-2164.349-4176.176-11247.081</f>
        <v>-17587.606</v>
      </c>
      <c r="CA149" s="4"/>
      <c r="CC149" s="4"/>
      <c r="CD149" s="4"/>
      <c r="CE149" s="4"/>
      <c r="CG149" s="260"/>
    </row>
    <row r="150" spans="1:85" s="5" customFormat="1" ht="13.5" customHeight="1">
      <c r="B150" s="16" t="s">
        <v>382</v>
      </c>
      <c r="C150" s="8">
        <f t="shared" ref="C150:H150" si="594">SUM(C144:C149)</f>
        <v>-49260.284000000116</v>
      </c>
      <c r="D150" s="8">
        <f t="shared" si="594"/>
        <v>-43294.037999999724</v>
      </c>
      <c r="E150" s="8">
        <f t="shared" si="594"/>
        <v>206203.29600000006</v>
      </c>
      <c r="F150" s="8">
        <f t="shared" si="594"/>
        <v>-105754.33400000024</v>
      </c>
      <c r="G150" s="8">
        <f t="shared" si="594"/>
        <v>-103941.96200000026</v>
      </c>
      <c r="H150" s="8">
        <f t="shared" si="594"/>
        <v>-93179.069000000251</v>
      </c>
      <c r="I150" s="8">
        <f t="shared" ref="I150:N150" si="595">SUM(I144:I149)</f>
        <v>1060434.0490000006</v>
      </c>
      <c r="J150" s="8">
        <f t="shared" si="595"/>
        <v>-336353.66799999977</v>
      </c>
      <c r="K150" s="8">
        <f t="shared" si="595"/>
        <v>858445.01799999981</v>
      </c>
      <c r="L150" s="8">
        <f t="shared" si="595"/>
        <v>-352721.4219999995</v>
      </c>
      <c r="M150" s="8">
        <f>SUM(M144:M149)</f>
        <v>31051.304000000237</v>
      </c>
      <c r="N150" s="8">
        <f t="shared" si="595"/>
        <v>263677.26300000015</v>
      </c>
      <c r="O150" s="8">
        <f>SUM(O144:O149)</f>
        <v>484722.14999999985</v>
      </c>
      <c r="P150" s="8">
        <f>SUM(P144:P149)</f>
        <v>-54436.276000000362</v>
      </c>
      <c r="Q150" s="8"/>
      <c r="R150" s="8">
        <f t="shared" ref="R150:W150" si="596">SUM(R144:R149)</f>
        <v>32055.223000000035</v>
      </c>
      <c r="S150" s="8">
        <f t="shared" si="596"/>
        <v>-98492.234999999739</v>
      </c>
      <c r="T150" s="8">
        <f t="shared" si="596"/>
        <v>19611.840999999753</v>
      </c>
      <c r="U150" s="8">
        <f t="shared" si="596"/>
        <v>253028.49299999984</v>
      </c>
      <c r="V150" s="8">
        <f t="shared" si="596"/>
        <v>-19272.667999999961</v>
      </c>
      <c r="W150" s="8">
        <f t="shared" si="596"/>
        <v>-100961.05800000003</v>
      </c>
      <c r="X150" s="8">
        <f t="shared" ref="X150:AC150" si="597">SUM(X144:X149)</f>
        <v>24831.890000000389</v>
      </c>
      <c r="Y150" s="8">
        <f t="shared" si="597"/>
        <v>-10351.803000000597</v>
      </c>
      <c r="Z150" s="8">
        <f t="shared" si="597"/>
        <v>41086.779000000024</v>
      </c>
      <c r="AA150" s="8">
        <f t="shared" si="597"/>
        <v>-113103.56600000022</v>
      </c>
      <c r="AB150" s="8" t="e">
        <f t="shared" si="597"/>
        <v>#REF!</v>
      </c>
      <c r="AC150" s="8" t="e">
        <f t="shared" si="597"/>
        <v>#REF!</v>
      </c>
      <c r="AD150" s="8">
        <f t="shared" ref="AD150:AI150" si="598">SUM(AD144:AD149)</f>
        <v>1400194.8169999998</v>
      </c>
      <c r="AE150" s="8">
        <f t="shared" si="598"/>
        <v>-329030.97600000002</v>
      </c>
      <c r="AF150" s="8">
        <f t="shared" si="598"/>
        <v>88224.479999999894</v>
      </c>
      <c r="AG150" s="8">
        <f t="shared" si="598"/>
        <v>-1495741.9889999998</v>
      </c>
      <c r="AH150" s="8">
        <f t="shared" si="598"/>
        <v>720546.02599999984</v>
      </c>
      <c r="AI150" s="8">
        <f t="shared" si="598"/>
        <v>313549.30499999982</v>
      </c>
      <c r="AJ150" s="8">
        <f t="shared" ref="AJ150:AO150" si="599">SUM(AJ144:AJ149)</f>
        <v>-103929.78399999991</v>
      </c>
      <c r="AK150" s="8">
        <f t="shared" si="599"/>
        <v>-71720.529000000097</v>
      </c>
      <c r="AL150" s="8">
        <f t="shared" si="599"/>
        <v>-72050.881000000081</v>
      </c>
      <c r="AM150" s="8">
        <f t="shared" si="599"/>
        <v>-168407.37399999969</v>
      </c>
      <c r="AN150" s="8">
        <f t="shared" si="599"/>
        <v>-338681.89600000036</v>
      </c>
      <c r="AO150" s="8">
        <f t="shared" si="599"/>
        <v>226418.7290000004</v>
      </c>
      <c r="AP150" s="8">
        <f t="shared" ref="AP150:AU150" si="600">SUM(AP144:AP149)</f>
        <v>-49576.172000000071</v>
      </c>
      <c r="AQ150" s="8">
        <f t="shared" si="600"/>
        <v>-87779.879000000248</v>
      </c>
      <c r="AR150" s="8">
        <f t="shared" si="600"/>
        <v>1059790.2500000007</v>
      </c>
      <c r="AS150" s="8">
        <f t="shared" si="600"/>
        <v>-891382.89500000048</v>
      </c>
      <c r="AT150" s="8">
        <f t="shared" si="600"/>
        <v>162749.07799999992</v>
      </c>
      <c r="AU150" s="8">
        <f t="shared" si="600"/>
        <v>-398737.45899999992</v>
      </c>
      <c r="AV150" s="8">
        <f t="shared" ref="AV150:BA150" si="601">SUM(AV144:AV149)</f>
        <v>123470.52400000006</v>
      </c>
      <c r="AW150" s="8">
        <f t="shared" si="601"/>
        <v>376195.11999999976</v>
      </c>
      <c r="AX150" s="8">
        <f t="shared" si="601"/>
        <v>-39655.071000000091</v>
      </c>
      <c r="AY150" s="8">
        <f t="shared" si="601"/>
        <v>-129895.06500000018</v>
      </c>
      <c r="AZ150" s="8">
        <f t="shared" si="601"/>
        <v>618463.5470000006</v>
      </c>
      <c r="BA150" s="8">
        <f t="shared" si="601"/>
        <v>35808.738999999681</v>
      </c>
      <c r="BB150" s="8">
        <f>SUM(BB144:BB149)</f>
        <v>-465293.42799999961</v>
      </c>
      <c r="BC150" s="8">
        <f>SUM(BC144:BC149)</f>
        <v>75872.279999999751</v>
      </c>
      <c r="BD150" s="8">
        <f>SUM(BD144:BD149)</f>
        <v>-21341.70700000049</v>
      </c>
      <c r="BE150" s="8">
        <f>SUM(BE144:BE149)</f>
        <v>356326.5790000002</v>
      </c>
      <c r="BF150" s="8">
        <f>SUM(BF144:BF149)</f>
        <v>336740.27399999998</v>
      </c>
      <c r="BG150" s="142"/>
      <c r="BH150" s="8">
        <f>SUM(BH144:BH149)</f>
        <v>47386.277000000016</v>
      </c>
      <c r="BI150" s="8">
        <f>SUM(BI144:BI149)</f>
        <v>86626.053999999684</v>
      </c>
      <c r="BJ150" s="8" t="e">
        <f>SUM(BJ144:BJ149)</f>
        <v>#REF!</v>
      </c>
      <c r="BK150" s="8" t="e">
        <f>SUM(BK144:BK149)</f>
        <v>#REF!</v>
      </c>
      <c r="BL150" s="8">
        <f>SUM(BL144:BL149)</f>
        <v>-897383.24600000004</v>
      </c>
      <c r="BM150" s="8"/>
      <c r="BN150" s="8">
        <f t="shared" ref="BN150:BS150" si="602">SUM(BN144:BN149)</f>
        <v>-66437.069999999629</v>
      </c>
      <c r="BO150" s="8">
        <f t="shared" si="602"/>
        <v>-120233.72600000001</v>
      </c>
      <c r="BP150" s="8">
        <f t="shared" si="602"/>
        <v>-72016.787000000215</v>
      </c>
      <c r="BQ150" s="8">
        <f t="shared" si="602"/>
        <v>1071163.8410000005</v>
      </c>
      <c r="BR150" s="8">
        <f t="shared" si="602"/>
        <v>1034095.3309999998</v>
      </c>
      <c r="BS150" s="8">
        <f t="shared" si="602"/>
        <v>-240458.25499999986</v>
      </c>
      <c r="BT150" s="8">
        <f>SUM(BT144:BT149)</f>
        <v>-137356.05100000021</v>
      </c>
      <c r="BU150" s="8">
        <f>SUM(BU144:BU149)</f>
        <v>-235988.38099999994</v>
      </c>
      <c r="BV150" s="8">
        <f>SUM(BV144:BV149)</f>
        <v>-169550.13600000017</v>
      </c>
      <c r="BW150" s="8">
        <f>SUM(BW144:BW149)</f>
        <v>-389421.14799999987</v>
      </c>
      <c r="BX150" s="8"/>
      <c r="BY150" s="8">
        <f>SUM(BY144:BY149)</f>
        <v>134012.33099999966</v>
      </c>
      <c r="BZ150" s="8">
        <f>SUM(BZ144:BZ149)</f>
        <v>1119711.9930000005</v>
      </c>
      <c r="CA150" s="8"/>
      <c r="CC150" s="8">
        <f>SUM(CC144:CC148)</f>
        <v>-77551.186999999758</v>
      </c>
      <c r="CD150" s="8">
        <f>SUM(CD144:CD148)</f>
        <v>-86648.836000000127</v>
      </c>
      <c r="CE150" s="8">
        <f>SUM(CE144:CE148)</f>
        <v>-138701.07200000001</v>
      </c>
      <c r="CG150" s="260"/>
    </row>
    <row r="151" spans="1:85" s="5" customFormat="1" ht="13.5" customHeight="1">
      <c r="B151" s="16" t="s">
        <v>383</v>
      </c>
      <c r="C151" s="145">
        <f>689562.215-824794.603+100695.719-C150</f>
        <v>14723.615000000078</v>
      </c>
      <c r="D151" s="145">
        <f>549170.469-466049.074-113644.825-D150</f>
        <v>12770.607999999746</v>
      </c>
      <c r="E151" s="145">
        <f>558592.778-407784.223-128794.244-E150</f>
        <v>-184188.98500000002</v>
      </c>
      <c r="F151" s="145">
        <f>798346.869-592993.475-282913.702-F150</f>
        <v>28194.026000000216</v>
      </c>
      <c r="G151" s="145">
        <f>798346.869-592993.475-282913.702-G150</f>
        <v>26381.654000000242</v>
      </c>
      <c r="H151" s="145">
        <f>597188.425-536786.106-225508.801-H150</f>
        <v>-71927.412999999739</v>
      </c>
      <c r="I151" s="145">
        <f>425599.762-537124.127-350213.732-I150</f>
        <v>-1522172.1460000006</v>
      </c>
      <c r="J151" s="145">
        <f>782588.971-614200.14-576126.651-J150</f>
        <v>-71384.152000000176</v>
      </c>
      <c r="K151" s="145">
        <f>781630.229-448929.651+376891.241-K150</f>
        <v>-148853.19899999979</v>
      </c>
      <c r="L151" s="145">
        <f>333005.021-391910.579-627947.687-L150</f>
        <v>-334131.82300000062</v>
      </c>
      <c r="M151" s="145">
        <f>239534.607-440176.351+237853.883-M150</f>
        <v>6160.8349999997299</v>
      </c>
      <c r="N151" s="145">
        <f>993238.098-342574-587108.147-N150</f>
        <v>-200121.31200000015</v>
      </c>
      <c r="O151" s="145">
        <f>893907.605-132782.955-264286.011-O150</f>
        <v>12116.489000000176</v>
      </c>
      <c r="P151" s="145">
        <f>1111185.165-3668.543-1444740.615-P150</f>
        <v>-282787.71699999965</v>
      </c>
      <c r="Q151" s="145"/>
      <c r="R151" s="145">
        <f>200334.639-83651.13-130617.426-R150</f>
        <v>-45989.14000000005</v>
      </c>
      <c r="S151" s="6">
        <f>BN151-R151</f>
        <v>42524.188999999671</v>
      </c>
      <c r="T151" s="145">
        <f>370533.798-312903.787-143849.959-T150-R150-S150-R151-S151</f>
        <v>-35929.825999999666</v>
      </c>
      <c r="U151" s="6">
        <f>E151-T151-S151-R151</f>
        <v>-144794.20799999996</v>
      </c>
      <c r="V151" s="145">
        <f>173812.252-117937.431-105897.957-V150</f>
        <v>-30750.468000000023</v>
      </c>
      <c r="W151" s="6">
        <f>BO151-V151</f>
        <v>62798.065000000046</v>
      </c>
      <c r="X151" s="145">
        <f>499087.235-403827.185-157304.858-X150-V150-W150-V151-W151</f>
        <v>1309.4309999995603</v>
      </c>
      <c r="Y151" s="6">
        <f>F151-X151-W151-V151</f>
        <v>-5163.0019999993674</v>
      </c>
      <c r="Z151" s="145">
        <f>99446.002-104549.072-78359.398-Z150</f>
        <v>-124549.24700000003</v>
      </c>
      <c r="AA151" s="6">
        <f>BP151-Z151</f>
        <v>45889.790000000241</v>
      </c>
      <c r="AB151" s="145" t="e">
        <f>305034.687-439472.447-32532.679-AB150-Z150-AA150-Z151-AA151</f>
        <v>#REF!</v>
      </c>
      <c r="AC151" s="151" t="e">
        <f>H151-AB151-AA151-Z151</f>
        <v>#REF!</v>
      </c>
      <c r="AD151" s="145">
        <f>257387.746-112047.148-168667.142-AD150</f>
        <v>-1423521.3609999998</v>
      </c>
      <c r="AE151" s="6">
        <f>BQ151-AD151</f>
        <v>35395.090999999316</v>
      </c>
      <c r="AF151" s="145">
        <f>410037.143-410553.733-308051.724-AF150-AE151-AE150-AD151-AD150</f>
        <v>-79830.364999999292</v>
      </c>
      <c r="AG151" s="151">
        <f>J151-AF151-AE151-AD151</f>
        <v>1396572.4829999995</v>
      </c>
      <c r="AH151" s="145">
        <f>-66583.507-150078+870677-AH150</f>
        <v>-66530.532999999821</v>
      </c>
      <c r="AI151" s="6">
        <f>BR151-AH151</f>
        <v>-8242.0189999999711</v>
      </c>
      <c r="AJ151" s="145">
        <f>242043.176-375244.901+910444.171-AJ150-AI151-AI150-AH151-AH150</f>
        <v>-78150.548999999999</v>
      </c>
      <c r="AK151" s="151">
        <f>K151-AJ151-AI151-AH151</f>
        <v>4069.9020000000019</v>
      </c>
      <c r="AL151" s="145">
        <f>-14398.113-94055.99-83879.123-AL150</f>
        <v>-120282.34499999994</v>
      </c>
      <c r="AM151" s="6">
        <f>BS151-AL151</f>
        <v>-72936.537000000186</v>
      </c>
      <c r="AN151" s="145">
        <f>170044.721-255876.712-648321.505-AN150-AM151-AM150-AL151-AL150</f>
        <v>38205.537000000215</v>
      </c>
      <c r="AO151" s="151">
        <f>L151-AN151-AM151-AL151</f>
        <v>-179118.47800000067</v>
      </c>
      <c r="AP151" s="145">
        <f>-156980.803-98094.788+82915.704-AP150</f>
        <v>-122583.71499999994</v>
      </c>
      <c r="AQ151" s="6">
        <f>BT151-AP151</f>
        <v>174013.92300000016</v>
      </c>
      <c r="AR151" s="145">
        <f>-280193.833-292813.33+614095.885+833029.204-AR150-AQ150-AP150-AQ151-AP151</f>
        <v>-99746.481000000495</v>
      </c>
      <c r="AS151" s="151">
        <f>M151-AR151-AQ151-AP151</f>
        <v>54477.108000000007</v>
      </c>
      <c r="AT151" s="145">
        <f>152109.64-86439.88-141496.833-AT150</f>
        <v>-238576.15099999993</v>
      </c>
      <c r="AU151" s="6">
        <f>BU151-AT151</f>
        <v>65540.423999999854</v>
      </c>
      <c r="AV151" s="145">
        <f>439854.446-211819.614-537640.076-AV150-AU150-AT150-AU151-AT151</f>
        <v>-24051.659999999945</v>
      </c>
      <c r="AW151" s="151">
        <f>N151-AV151-AU151-AT151</f>
        <v>-3033.9250000001339</v>
      </c>
      <c r="AX151" s="145">
        <f>-92202.573-39530.112-62737.666-AX150</f>
        <v>-154815.27999999991</v>
      </c>
      <c r="AY151" s="6">
        <f>BV151-AX151</f>
        <v>170210.16600000008</v>
      </c>
      <c r="AZ151" s="145">
        <f>213853.796-94305.398+107981.022-AZ150-AY150-AX150-AY151-AX151</f>
        <v>-236778.87700000056</v>
      </c>
      <c r="BA151" s="151">
        <f>O151-AZ151-AY151-AX151</f>
        <v>233500.48000000056</v>
      </c>
      <c r="BB151" s="145">
        <f>6887.871-27036.322-526414.343-BB150</f>
        <v>-81269.366000000387</v>
      </c>
      <c r="BC151" s="6">
        <f>BW151-BB151</f>
        <v>32660.523000000336</v>
      </c>
      <c r="BD151" s="145">
        <f>294511.483+123173.065-991709.373-BD150-BC150-BB150-BC151-BB151</f>
        <v>-114653.12699999957</v>
      </c>
      <c r="BE151" s="151">
        <f>P151-BD151-BC151-BB151</f>
        <v>-119525.74700000003</v>
      </c>
      <c r="BF151" s="145">
        <f>165666.893-35209.531-62335.767-BF150</f>
        <v>-268618.679</v>
      </c>
      <c r="BG151" s="142"/>
      <c r="BH151" s="145">
        <f>118239.505-104675.177-27100.936-BH150</f>
        <v>-60922.885000000009</v>
      </c>
      <c r="BI151" s="203">
        <f>BY151-BH151</f>
        <v>-264052.33799999964</v>
      </c>
      <c r="BJ151" s="145" t="e">
        <f>223922.396-439742.71-100033.348-BJ150-BI151-BI150-BH151-BH150</f>
        <v>#REF!</v>
      </c>
      <c r="BK151" s="151" t="e">
        <f>I151-Z151-AB151-AA151</f>
        <v>#REF!</v>
      </c>
      <c r="BL151" s="145">
        <f>257387.746-112047.148-168667.142-BL150</f>
        <v>874056.70200000005</v>
      </c>
      <c r="BM151" s="145"/>
      <c r="BN151" s="145">
        <f>267129.104-178053.707-158977.418-BN150</f>
        <v>-3464.9510000003793</v>
      </c>
      <c r="BO151" s="145">
        <f>327140.472-254167.311-161159.29-BO150</f>
        <v>32047.597000000023</v>
      </c>
      <c r="BP151" s="145">
        <f>177409.387-222950.956-105134.675-BP150</f>
        <v>-78659.456999999791</v>
      </c>
      <c r="BQ151" s="145">
        <f>311363.221-281144.337-347181.313-BQ150</f>
        <v>-1388126.2700000005</v>
      </c>
      <c r="BR151" s="145">
        <f>2225.925-269089.45+1226186.304-BR150</f>
        <v>-74772.551999999792</v>
      </c>
      <c r="BS151" s="145">
        <f>124882.991-133129.405-425430.723-BS150</f>
        <v>-193218.88200000013</v>
      </c>
      <c r="BT151" s="145">
        <f>-196076.049-166521.855+276672.061-BT150</f>
        <v>51430.208000000217</v>
      </c>
      <c r="BU151" s="145">
        <f>181611.126-163451.387-427183.847-BU150</f>
        <v>-173035.72700000007</v>
      </c>
      <c r="BV151" s="145">
        <f>70366.078-69851.209-154670.119-BV150</f>
        <v>15394.886000000173</v>
      </c>
      <c r="BW151" s="145">
        <f>175325.862+140325.266-753681.119-BW150</f>
        <v>-48608.843000000052</v>
      </c>
      <c r="BX151" s="145"/>
      <c r="BY151" s="145">
        <f>151825.536-223151.702-119636.726-BY150</f>
        <v>-324975.22299999965</v>
      </c>
      <c r="BZ151" s="145">
        <f>262815.069 -281144.337-298633.161-BZ150</f>
        <v>-1436674.4220000005</v>
      </c>
      <c r="CA151" s="145"/>
      <c r="CC151" s="8"/>
      <c r="CD151" s="8"/>
      <c r="CE151" s="8"/>
      <c r="CG151" s="260"/>
    </row>
    <row r="152" spans="1:85" s="5" customFormat="1" ht="13.5" customHeight="1">
      <c r="B152" s="16" t="s">
        <v>384</v>
      </c>
      <c r="C152" s="8">
        <f t="shared" ref="C152:H152" si="603">C150+C151</f>
        <v>-34536.669000000038</v>
      </c>
      <c r="D152" s="8">
        <f t="shared" si="603"/>
        <v>-30523.429999999978</v>
      </c>
      <c r="E152" s="8">
        <f t="shared" si="603"/>
        <v>22014.311000000045</v>
      </c>
      <c r="F152" s="8">
        <f t="shared" si="603"/>
        <v>-77560.308000000019</v>
      </c>
      <c r="G152" s="8">
        <f t="shared" si="603"/>
        <v>-77560.308000000019</v>
      </c>
      <c r="H152" s="8">
        <f t="shared" si="603"/>
        <v>-165106.48199999999</v>
      </c>
      <c r="I152" s="8">
        <f t="shared" ref="I152:N152" si="604">I150+I151</f>
        <v>-461738.09700000007</v>
      </c>
      <c r="J152" s="8">
        <f t="shared" si="604"/>
        <v>-407737.81999999995</v>
      </c>
      <c r="K152" s="8">
        <f t="shared" si="604"/>
        <v>709591.81900000002</v>
      </c>
      <c r="L152" s="8">
        <f t="shared" si="604"/>
        <v>-686853.24500000011</v>
      </c>
      <c r="M152" s="8">
        <f>M150+M151</f>
        <v>37212.138999999966</v>
      </c>
      <c r="N152" s="8">
        <f t="shared" si="604"/>
        <v>63555.951000000001</v>
      </c>
      <c r="O152" s="8">
        <f>O150+O151</f>
        <v>496838.63900000002</v>
      </c>
      <c r="P152" s="8">
        <f>P150+P151</f>
        <v>-337223.99300000002</v>
      </c>
      <c r="Q152" s="8"/>
      <c r="R152" s="8">
        <f>R150+R151</f>
        <v>-13933.917000000016</v>
      </c>
      <c r="S152" s="8">
        <f>S150+S151</f>
        <v>-55968.046000000068</v>
      </c>
      <c r="T152" s="8">
        <f>T150+T151</f>
        <v>-16317.984999999913</v>
      </c>
      <c r="U152" s="8">
        <f>U150+U151</f>
        <v>108234.28499999989</v>
      </c>
      <c r="V152" s="8">
        <f>V150+V151</f>
        <v>-50023.135999999984</v>
      </c>
      <c r="W152" s="8">
        <f t="shared" ref="W152:AC152" si="605">W150+W151</f>
        <v>-38162.992999999988</v>
      </c>
      <c r="X152" s="8">
        <f t="shared" si="605"/>
        <v>26141.320999999949</v>
      </c>
      <c r="Y152" s="8">
        <f t="shared" si="605"/>
        <v>-15514.804999999964</v>
      </c>
      <c r="Z152" s="8">
        <f t="shared" si="605"/>
        <v>-83462.468000000008</v>
      </c>
      <c r="AA152" s="8">
        <f t="shared" si="605"/>
        <v>-67213.775999999983</v>
      </c>
      <c r="AB152" s="8" t="e">
        <f t="shared" si="605"/>
        <v>#REF!</v>
      </c>
      <c r="AC152" s="8" t="e">
        <f t="shared" si="605"/>
        <v>#REF!</v>
      </c>
      <c r="AD152" s="8">
        <f t="shared" ref="AD152:AI152" si="606">AD150+AD151</f>
        <v>-23326.543999999994</v>
      </c>
      <c r="AE152" s="8">
        <f t="shared" si="606"/>
        <v>-293635.88500000071</v>
      </c>
      <c r="AF152" s="8">
        <f t="shared" si="606"/>
        <v>8394.1150000006019</v>
      </c>
      <c r="AG152" s="8">
        <f t="shared" si="606"/>
        <v>-99169.506000000285</v>
      </c>
      <c r="AH152" s="8">
        <f t="shared" si="606"/>
        <v>654015.49300000002</v>
      </c>
      <c r="AI152" s="8">
        <f t="shared" si="606"/>
        <v>305307.28599999985</v>
      </c>
      <c r="AJ152" s="8">
        <f t="shared" ref="AJ152:AO152" si="607">AJ150+AJ151</f>
        <v>-182080.33299999993</v>
      </c>
      <c r="AK152" s="8">
        <f t="shared" si="607"/>
        <v>-67650.627000000095</v>
      </c>
      <c r="AL152" s="8">
        <f t="shared" si="607"/>
        <v>-192333.22600000002</v>
      </c>
      <c r="AM152" s="8">
        <f t="shared" si="607"/>
        <v>-241343.91099999988</v>
      </c>
      <c r="AN152" s="8">
        <f t="shared" si="607"/>
        <v>-300476.35900000017</v>
      </c>
      <c r="AO152" s="8">
        <f t="shared" si="607"/>
        <v>47300.250999999727</v>
      </c>
      <c r="AP152" s="8">
        <f t="shared" ref="AP152:AU152" si="608">AP150+AP151</f>
        <v>-172159.88700000002</v>
      </c>
      <c r="AQ152" s="8">
        <f t="shared" si="608"/>
        <v>86234.043999999907</v>
      </c>
      <c r="AR152" s="8">
        <f t="shared" si="608"/>
        <v>960043.7690000002</v>
      </c>
      <c r="AS152" s="8">
        <f t="shared" si="608"/>
        <v>-836905.78700000048</v>
      </c>
      <c r="AT152" s="8">
        <f t="shared" si="608"/>
        <v>-75827.073000000004</v>
      </c>
      <c r="AU152" s="8">
        <f t="shared" si="608"/>
        <v>-333197.03500000003</v>
      </c>
      <c r="AV152" s="8">
        <f t="shared" ref="AV152:BA152" si="609">AV150+AV151</f>
        <v>99418.864000000118</v>
      </c>
      <c r="AW152" s="8">
        <f t="shared" si="609"/>
        <v>373161.1949999996</v>
      </c>
      <c r="AX152" s="8">
        <f t="shared" si="609"/>
        <v>-194470.351</v>
      </c>
      <c r="AY152" s="8">
        <f t="shared" si="609"/>
        <v>40315.100999999908</v>
      </c>
      <c r="AZ152" s="8">
        <f t="shared" si="609"/>
        <v>381684.67000000004</v>
      </c>
      <c r="BA152" s="8">
        <f t="shared" si="609"/>
        <v>269309.21900000027</v>
      </c>
      <c r="BB152" s="8">
        <f>BB150+BB151</f>
        <v>-546562.79399999999</v>
      </c>
      <c r="BC152" s="8">
        <f>BC150+BC151</f>
        <v>108532.80300000009</v>
      </c>
      <c r="BD152" s="8">
        <f>BD150+BD151</f>
        <v>-135994.83400000006</v>
      </c>
      <c r="BE152" s="8">
        <f>BE150+BE151</f>
        <v>236800.83200000017</v>
      </c>
      <c r="BF152" s="8">
        <f>BF150+BF151</f>
        <v>68121.594999999972</v>
      </c>
      <c r="BG152" s="142"/>
      <c r="BH152" s="8">
        <f>BH150+BH151</f>
        <v>-13536.607999999993</v>
      </c>
      <c r="BI152" s="8">
        <f>BI150+BI151</f>
        <v>-177426.28399999996</v>
      </c>
      <c r="BJ152" s="8" t="e">
        <f>BJ150+BJ151</f>
        <v>#REF!</v>
      </c>
      <c r="BK152" s="8" t="e">
        <f>BK150+BK151</f>
        <v>#REF!</v>
      </c>
      <c r="BL152" s="8">
        <f>BL150+BL151</f>
        <v>-23326.543999999994</v>
      </c>
      <c r="BM152" s="8"/>
      <c r="BN152" s="8">
        <f t="shared" ref="BN152:BS152" si="610">BN150+BN151</f>
        <v>-69902.021000000008</v>
      </c>
      <c r="BO152" s="8">
        <f t="shared" si="610"/>
        <v>-88186.128999999986</v>
      </c>
      <c r="BP152" s="8">
        <f t="shared" si="610"/>
        <v>-150676.24400000001</v>
      </c>
      <c r="BQ152" s="8">
        <f t="shared" si="610"/>
        <v>-316962.429</v>
      </c>
      <c r="BR152" s="8">
        <f t="shared" si="610"/>
        <v>959322.77899999998</v>
      </c>
      <c r="BS152" s="8">
        <f t="shared" si="610"/>
        <v>-433677.13699999999</v>
      </c>
      <c r="BT152" s="8">
        <f>BT150+BT151</f>
        <v>-85925.842999999993</v>
      </c>
      <c r="BU152" s="8">
        <f>BU150+BU151</f>
        <v>-409024.10800000001</v>
      </c>
      <c r="BV152" s="8">
        <f>BV150+BV151</f>
        <v>-154155.25</v>
      </c>
      <c r="BW152" s="8">
        <f>BW150+BW151</f>
        <v>-438029.99099999992</v>
      </c>
      <c r="BX152" s="8"/>
      <c r="BY152" s="8">
        <f>BY150+BY151</f>
        <v>-190962.89199999999</v>
      </c>
      <c r="BZ152" s="8">
        <f>BZ150+BZ151</f>
        <v>-316962.429</v>
      </c>
      <c r="CA152" s="8"/>
      <c r="CC152" s="8">
        <f>CC150</f>
        <v>-77551.186999999758</v>
      </c>
      <c r="CD152" s="8">
        <f>CD150</f>
        <v>-86648.836000000127</v>
      </c>
      <c r="CE152" s="8">
        <f>CE150</f>
        <v>-138701.07200000001</v>
      </c>
      <c r="CG152" s="260"/>
    </row>
    <row r="153" spans="1:85" s="5" customFormat="1" ht="13.5" customHeight="1">
      <c r="B153" s="16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142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G153" s="260"/>
    </row>
    <row r="154" spans="1:85" ht="13.5" customHeight="1">
      <c r="B154" s="441" t="s">
        <v>385</v>
      </c>
      <c r="C154" s="435">
        <v>211219.86799999999</v>
      </c>
      <c r="D154" s="442">
        <v>207308.226</v>
      </c>
      <c r="E154" s="442">
        <v>201319.63399999999</v>
      </c>
      <c r="F154" s="442">
        <v>232027.185</v>
      </c>
      <c r="G154" s="442">
        <v>232027.185</v>
      </c>
      <c r="H154" s="442">
        <v>352100.505</v>
      </c>
      <c r="I154" s="442">
        <v>317491.38199999998</v>
      </c>
      <c r="J154" s="442">
        <v>299965.353</v>
      </c>
      <c r="K154" s="442">
        <v>1216193.92</v>
      </c>
      <c r="L154" s="442">
        <v>533265.53799999994</v>
      </c>
      <c r="M154" s="442">
        <v>624072.76100000006</v>
      </c>
      <c r="N154" s="442">
        <v>1077819.1440000001</v>
      </c>
      <c r="O154" s="442">
        <v>1638385.1910000001</v>
      </c>
      <c r="P154" s="442">
        <v>1584721.2420000001</v>
      </c>
      <c r="Q154" s="8"/>
      <c r="R154" s="435">
        <v>193206.2</v>
      </c>
      <c r="S154" s="438">
        <f>BN154</f>
        <v>177135</v>
      </c>
      <c r="T154" s="442">
        <v>159692.177</v>
      </c>
      <c r="U154" s="438">
        <f>E154</f>
        <v>201319.63399999999</v>
      </c>
      <c r="V154" s="442">
        <v>194491.576</v>
      </c>
      <c r="W154" s="435">
        <f>BO154</f>
        <v>176831.27100000001</v>
      </c>
      <c r="X154" s="442">
        <v>208937.655</v>
      </c>
      <c r="Y154" s="438">
        <f>F154</f>
        <v>232027.185</v>
      </c>
      <c r="Z154" s="442">
        <v>218718.345</v>
      </c>
      <c r="AA154" s="435">
        <f>BP154</f>
        <v>213362.99600000001</v>
      </c>
      <c r="AB154" s="442">
        <v>206510.514</v>
      </c>
      <c r="AC154" s="438">
        <f>H154</f>
        <v>352100.505</v>
      </c>
      <c r="AD154" s="442">
        <v>293633.41700000002</v>
      </c>
      <c r="AE154" s="443">
        <f>BQ154</f>
        <v>192945.21299999999</v>
      </c>
      <c r="AF154" s="442">
        <v>229137.32399999999</v>
      </c>
      <c r="AG154" s="438">
        <f>J154</f>
        <v>299965.353</v>
      </c>
      <c r="AH154" s="442">
        <v>909838.07200000004</v>
      </c>
      <c r="AI154" s="443">
        <f>BR154</f>
        <v>1430984.8219999999</v>
      </c>
      <c r="AJ154" s="442">
        <v>1213621.4539999999</v>
      </c>
      <c r="AK154" s="438">
        <f>K154</f>
        <v>1216193.92</v>
      </c>
      <c r="AL154" s="442">
        <v>1019794.078</v>
      </c>
      <c r="AM154" s="443">
        <f>BS154</f>
        <v>814874.99</v>
      </c>
      <c r="AN154" s="442">
        <v>527594.04</v>
      </c>
      <c r="AO154" s="438">
        <f>L154</f>
        <v>533265.53799999994</v>
      </c>
      <c r="AP154" s="442">
        <v>352744.19099999999</v>
      </c>
      <c r="AQ154" s="443">
        <f>BT154</f>
        <v>547018.77300000004</v>
      </c>
      <c r="AR154" s="442">
        <v>658219.54099999997</v>
      </c>
      <c r="AS154" s="438">
        <f>M154</f>
        <v>624072.76100000006</v>
      </c>
      <c r="AT154" s="442">
        <v>524616.72100000002</v>
      </c>
      <c r="AU154" s="443">
        <f>BU154</f>
        <v>403296.81</v>
      </c>
      <c r="AV154" s="442">
        <v>649839.18299999996</v>
      </c>
      <c r="AW154" s="438">
        <f>N154</f>
        <v>1077819.1440000001</v>
      </c>
      <c r="AX154" s="442">
        <v>948928.08200000005</v>
      </c>
      <c r="AY154" s="443">
        <f>BV154</f>
        <v>982869.77500000002</v>
      </c>
      <c r="AZ154" s="442">
        <v>1359756.862</v>
      </c>
      <c r="BA154" s="438">
        <f>O154</f>
        <v>1638385.1910000001</v>
      </c>
      <c r="BB154" s="442">
        <v>1074929.2690000001</v>
      </c>
      <c r="BC154" s="443">
        <f>BW154</f>
        <v>1467862.0460000001</v>
      </c>
      <c r="BD154" s="442">
        <v>1340530.344</v>
      </c>
      <c r="BE154" s="438">
        <f>P154</f>
        <v>1584721.2420000001</v>
      </c>
      <c r="BF154" s="442">
        <v>1828563.2919999999</v>
      </c>
      <c r="BG154" s="142"/>
      <c r="BH154" s="438">
        <f>Z154</f>
        <v>218718.345</v>
      </c>
      <c r="BI154" s="438">
        <f>AA154</f>
        <v>213362.99600000001</v>
      </c>
      <c r="BJ154" s="438">
        <f>AB154</f>
        <v>206510.514</v>
      </c>
      <c r="BK154" s="438">
        <f>I154</f>
        <v>317491.38199999998</v>
      </c>
      <c r="BL154" s="442">
        <v>299965.353</v>
      </c>
      <c r="BM154" s="442"/>
      <c r="BN154" s="435">
        <v>177135</v>
      </c>
      <c r="BO154" s="442">
        <v>176831.27100000001</v>
      </c>
      <c r="BP154" s="442">
        <v>213362.99600000001</v>
      </c>
      <c r="BQ154" s="442">
        <v>192945.21299999999</v>
      </c>
      <c r="BR154" s="442">
        <v>1430984.8219999999</v>
      </c>
      <c r="BS154" s="442">
        <v>814874.99</v>
      </c>
      <c r="BT154" s="442">
        <v>547018.77300000004</v>
      </c>
      <c r="BU154" s="442">
        <v>403296.81</v>
      </c>
      <c r="BV154" s="442">
        <v>982869.77500000002</v>
      </c>
      <c r="BW154" s="442">
        <v>1467862.0460000001</v>
      </c>
      <c r="BX154" s="145"/>
      <c r="BY154" s="201">
        <f>BP154</f>
        <v>213362.99600000001</v>
      </c>
      <c r="BZ154" s="201">
        <f>BQ154</f>
        <v>192945.21299999999</v>
      </c>
      <c r="CA154" s="145"/>
      <c r="CG154" s="260"/>
    </row>
    <row r="155" spans="1:85" s="5" customFormat="1" ht="13.5" customHeight="1">
      <c r="B155" s="16"/>
      <c r="C155" s="8"/>
      <c r="D155" s="8"/>
      <c r="E155" s="8"/>
      <c r="F155" s="252"/>
      <c r="G155" s="252"/>
      <c r="H155" s="252"/>
      <c r="I155" s="252"/>
      <c r="J155" s="252"/>
      <c r="K155" s="252"/>
      <c r="L155" s="252"/>
      <c r="M155" s="252"/>
      <c r="N155" s="252"/>
      <c r="O155" s="252"/>
      <c r="P155" s="252"/>
      <c r="Q155" s="252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142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G155" s="260"/>
    </row>
    <row r="156" spans="1:85" s="5" customFormat="1" ht="13.5" customHeight="1">
      <c r="B156" s="439" t="s">
        <v>386</v>
      </c>
      <c r="C156" s="232">
        <f>689562.215-C134-C135-C136-C151</f>
        <v>-2.3283064365386963E-10</v>
      </c>
      <c r="D156" s="232">
        <f>549170.469-D134-D135-D136-D151</f>
        <v>2.9103830456733704E-10</v>
      </c>
      <c r="E156" s="232">
        <f>558592.778-E134-E135-E136-E151</f>
        <v>0</v>
      </c>
      <c r="F156" s="232">
        <f>798345.869-F134-F135-F136-F151</f>
        <v>-1.000000000174623</v>
      </c>
      <c r="G156" s="232">
        <f>798346.869-G134-G135-G136-G151</f>
        <v>-1.7462298274040222E-10</v>
      </c>
      <c r="H156" s="232">
        <f>597188.425-H134-H135-H136-H151</f>
        <v>-2.6193447411060333E-10</v>
      </c>
      <c r="I156" s="232">
        <f>425599.762-I134-I135-I136-I151</f>
        <v>0</v>
      </c>
      <c r="J156" s="232">
        <f>782588.971-J134-J135-J136-J151</f>
        <v>0</v>
      </c>
      <c r="K156" s="232">
        <f>781630.229-K134-K135-K136-K151</f>
        <v>0</v>
      </c>
      <c r="L156" s="232">
        <f>333005.021-L134-L135-L136-L151</f>
        <v>0</v>
      </c>
      <c r="M156" s="232">
        <f>239534.607-M134-M135-M136-M151</f>
        <v>2.6193447411060333E-10</v>
      </c>
      <c r="N156" s="232">
        <f>993238.098-N134-N135-N136-N151</f>
        <v>0</v>
      </c>
      <c r="O156" s="232">
        <f>893907.605-O134-O135-O136-O151</f>
        <v>1.4551915228366852E-11</v>
      </c>
      <c r="P156" s="232">
        <f>1111185.165-P134-P135-P136-P151</f>
        <v>0</v>
      </c>
      <c r="Q156" s="232"/>
      <c r="R156" s="232">
        <f>200334.639-R134-R135-R136-R151</f>
        <v>0</v>
      </c>
      <c r="S156" s="232">
        <f>BN156-R156</f>
        <v>-1.4551915228366852E-11</v>
      </c>
      <c r="T156" s="232">
        <f>370533.798-267129.104-T134-T135-T136-T151</f>
        <v>5.7999999895400833E-2</v>
      </c>
      <c r="U156" s="232">
        <f>E156-T156-S156-R156</f>
        <v>-5.7999999880848918E-2</v>
      </c>
      <c r="V156" s="232">
        <f>173812.252-V134-V135-V136-V151</f>
        <v>-1.4551915228366852E-10</v>
      </c>
      <c r="W156" s="232">
        <f>BO156-V156</f>
        <v>1.4551915228366852E-10</v>
      </c>
      <c r="X156" s="232">
        <f>499087.235-327140.472-X134-X135-X136-X151</f>
        <v>2.0372681319713593E-10</v>
      </c>
      <c r="Y156" s="232">
        <f>F156-X156-W156-V156</f>
        <v>-1.0000000003783498</v>
      </c>
      <c r="Z156" s="232">
        <f>99446.002-Z134-Z135-Z136-Z151</f>
        <v>0</v>
      </c>
      <c r="AA156" s="232">
        <f>BP156-Z156</f>
        <v>0</v>
      </c>
      <c r="AB156" s="232" t="e">
        <f>305034.687-177409.387-AB134-AB135-AB136-AB151</f>
        <v>#REF!</v>
      </c>
      <c r="AC156" s="232" t="e">
        <f>H156-AB156-AA156-Z156</f>
        <v>#REF!</v>
      </c>
      <c r="AD156" s="232">
        <f>257387.746-AD134-AD135-AD136-AD151</f>
        <v>0</v>
      </c>
      <c r="AE156" s="232">
        <f>BQ156-AD156</f>
        <v>0</v>
      </c>
      <c r="AF156" s="232">
        <f>410037.143-AF134-AF135-AF136-AF151-AE151-AE136-AE135-AE134-AD151-AD136-AD135-AD134</f>
        <v>-2.9103830456733704E-10</v>
      </c>
      <c r="AG156" s="232">
        <f>J156-AF156-AE156-AD156</f>
        <v>2.9103830456733704E-10</v>
      </c>
      <c r="AH156" s="232">
        <f>-66583.507-AH134-AH135-AH136-AH151</f>
        <v>9.9999998928979039E-4</v>
      </c>
      <c r="AI156" s="232">
        <f>BR156-AH156</f>
        <v>-1.0000002075685188E-3</v>
      </c>
      <c r="AJ156" s="232">
        <f>242043.176-AJ134-AJ135-AJ136-AJ151-AI151-AI136-AI135-AI134-AH151-AH136-AH135-AH134</f>
        <v>0</v>
      </c>
      <c r="AK156" s="232">
        <f>K156-AJ156-AI156-AH156</f>
        <v>2.1827872842550278E-10</v>
      </c>
      <c r="AL156" s="232">
        <f>-14398.113-AL134-AL135-AL136-AL151</f>
        <v>0</v>
      </c>
      <c r="AM156" s="232">
        <f>BS156-AL156</f>
        <v>0</v>
      </c>
      <c r="AN156" s="232">
        <f>170044.721-AN134-AN135-AN136-AN151-AM151-AM136-AM135-AM134-AL151-AL136-AL135-AL134</f>
        <v>0</v>
      </c>
      <c r="AO156" s="232">
        <f>L156-AN156-AM156-AL156</f>
        <v>0</v>
      </c>
      <c r="AP156" s="232">
        <f>-156980.803-AP134-AP135-AP136-AP151</f>
        <v>0</v>
      </c>
      <c r="AQ156" s="232">
        <f>BT156-AP156</f>
        <v>0</v>
      </c>
      <c r="AR156" s="232">
        <f>-280193.833-AR134-AR135-AR136-AR151-AQ151-AQ136-AQ135-AQ134-AP151-AP136-AP135-AP134</f>
        <v>0</v>
      </c>
      <c r="AS156" s="232">
        <f>M156-AR156-AQ156-AP156</f>
        <v>2.6193447411060333E-10</v>
      </c>
      <c r="AT156" s="232">
        <f>152109.64-AT134-AT135-AT136-AT151</f>
        <v>0</v>
      </c>
      <c r="AU156" s="232">
        <f>BU156-AT156</f>
        <v>0</v>
      </c>
      <c r="AV156" s="232">
        <f>439854.446-AV134-AV135-AV136-AV151-AU151-AU136-AU135-AU134-AT151-AT136-AT135-AT134</f>
        <v>0</v>
      </c>
      <c r="AW156" s="232">
        <f>N156-AV156-AU156-AT156</f>
        <v>0</v>
      </c>
      <c r="AX156" s="232">
        <f>-92202.573-AX134-AX135-AX136-AX151</f>
        <v>0</v>
      </c>
      <c r="AY156" s="232">
        <f>BV156-AX156</f>
        <v>-7.2759576141834259E-11</v>
      </c>
      <c r="AZ156" s="232">
        <f>213853.796-AZ134-AZ135-AZ136-AZ151-AY151-AY136-AY135-AY134-AX151-AX136-AX135-AX134</f>
        <v>0</v>
      </c>
      <c r="BA156" s="232"/>
      <c r="BB156" s="232">
        <f>6887.871-BB134-BB135-BB136-BB151</f>
        <v>0</v>
      </c>
      <c r="BC156" s="232">
        <f>BW156-BB156</f>
        <v>-1.6007106751203537E-10</v>
      </c>
      <c r="BD156" s="232">
        <f>294511.483-BD134-BD135-BD136-BD151-BC151-BC136-BC135-BC134-BB151-BB136-BB135-BB134</f>
        <v>0</v>
      </c>
      <c r="BE156" s="232"/>
      <c r="BF156" s="232">
        <f>165666.893-BF134-BF135-BF136-BF151</f>
        <v>0</v>
      </c>
      <c r="BG156" s="142"/>
      <c r="BH156" s="232"/>
      <c r="BI156" s="232"/>
      <c r="BJ156" s="232"/>
      <c r="BK156" s="232" t="e">
        <f>I156-Z156-AB156-AA156</f>
        <v>#REF!</v>
      </c>
      <c r="BL156" s="232">
        <f>224044.737-BL134-BL135-BL136-BL151</f>
        <v>0</v>
      </c>
      <c r="BM156" s="232"/>
      <c r="BN156" s="232">
        <f>267129.104-BN134-BN135-BN136-BN151</f>
        <v>-1.4551915228366852E-11</v>
      </c>
      <c r="BO156" s="232">
        <f>327140.472-BO134-BO135-BO136-BO151</f>
        <v>0</v>
      </c>
      <c r="BP156" s="232">
        <f>177409.387-BP134-BP135-BP136-BP151</f>
        <v>0</v>
      </c>
      <c r="BQ156" s="232">
        <f>311363.221-BQ134-BQ135-BQ136-BQ151</f>
        <v>0</v>
      </c>
      <c r="BR156" s="232">
        <f>2225.925-BR134-BR135-BR136-BR151</f>
        <v>-2.1827872842550278E-10</v>
      </c>
      <c r="BS156" s="440">
        <f>124882.991-BS134-BS135-BS136-BS151</f>
        <v>0</v>
      </c>
      <c r="BT156" s="440">
        <f>-196076.049-BT134-BT135-BT136-BT151</f>
        <v>0</v>
      </c>
      <c r="BU156" s="440">
        <f>181611.126-BU134-BU135-BU136-BU151</f>
        <v>0</v>
      </c>
      <c r="BV156" s="232">
        <f>70366.078-BV134-BV135-BV136-BV151</f>
        <v>-7.2759576141834259E-11</v>
      </c>
      <c r="BW156" s="232">
        <f>175325.862-BW134-BW135-BW136-BW151</f>
        <v>-1.6007106751203537E-10</v>
      </c>
      <c r="BX156" s="232"/>
      <c r="BY156" s="232"/>
      <c r="BZ156" s="232"/>
      <c r="CA156" s="232"/>
      <c r="CG156" s="260"/>
    </row>
    <row r="157" spans="1:85" s="5" customFormat="1" ht="13.5" customHeight="1">
      <c r="B157" s="439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BG157" s="142"/>
      <c r="BH157" s="232"/>
      <c r="BI157" s="232"/>
      <c r="BJ157" s="232"/>
      <c r="BK157" s="232"/>
      <c r="BL157" s="232"/>
      <c r="BM157" s="232"/>
      <c r="BN157" s="232"/>
      <c r="BO157" s="232"/>
      <c r="BP157" s="232"/>
      <c r="BQ157" s="232"/>
      <c r="BR157" s="232"/>
      <c r="BS157" s="440"/>
      <c r="BT157" s="440"/>
      <c r="BU157" s="440"/>
      <c r="BV157" s="232"/>
      <c r="BW157" s="232"/>
      <c r="BX157" s="232"/>
      <c r="BY157" s="232"/>
      <c r="BZ157" s="232"/>
      <c r="CA157" s="232"/>
      <c r="CG157" s="260"/>
    </row>
    <row r="158" spans="1:85" ht="13.5" customHeight="1">
      <c r="A158" s="28"/>
      <c r="B158" s="17" t="s">
        <v>387</v>
      </c>
      <c r="C158" s="46">
        <v>41975</v>
      </c>
      <c r="D158" s="46">
        <v>42341</v>
      </c>
      <c r="E158" s="46">
        <v>42708</v>
      </c>
      <c r="F158" s="253">
        <v>43073</v>
      </c>
      <c r="G158" s="253">
        <f t="shared" ref="G158:L158" si="611">G3</f>
        <v>43073</v>
      </c>
      <c r="H158" s="253">
        <f t="shared" si="611"/>
        <v>43438</v>
      </c>
      <c r="I158" s="253">
        <f t="shared" si="611"/>
        <v>43438</v>
      </c>
      <c r="J158" s="253">
        <f t="shared" si="611"/>
        <v>43803</v>
      </c>
      <c r="K158" s="253">
        <f t="shared" si="611"/>
        <v>44169</v>
      </c>
      <c r="L158" s="253">
        <f t="shared" si="611"/>
        <v>44534</v>
      </c>
      <c r="M158" s="253">
        <f>M3</f>
        <v>44899</v>
      </c>
      <c r="N158" s="253">
        <f>N3</f>
        <v>45264</v>
      </c>
      <c r="O158" s="253">
        <f>O3</f>
        <v>45630</v>
      </c>
      <c r="P158" s="253">
        <f>P3</f>
        <v>45995</v>
      </c>
      <c r="Q158" s="329"/>
      <c r="R158" s="46">
        <v>42437</v>
      </c>
      <c r="S158" s="46">
        <v>42527</v>
      </c>
      <c r="T158" s="46">
        <v>42622</v>
      </c>
      <c r="U158" s="46">
        <v>42714</v>
      </c>
      <c r="V158" s="46">
        <v>42801</v>
      </c>
      <c r="W158" s="46">
        <v>42892</v>
      </c>
      <c r="X158" s="46">
        <v>42987</v>
      </c>
      <c r="Y158" s="46">
        <v>43079</v>
      </c>
      <c r="Z158" s="46">
        <f t="shared" ref="Z158:AE158" si="612">Z3</f>
        <v>43166</v>
      </c>
      <c r="AA158" s="46">
        <f t="shared" si="612"/>
        <v>43257</v>
      </c>
      <c r="AB158" s="46">
        <f t="shared" si="612"/>
        <v>43352</v>
      </c>
      <c r="AC158" s="253">
        <f t="shared" si="612"/>
        <v>43444</v>
      </c>
      <c r="AD158" s="253">
        <f t="shared" si="612"/>
        <v>43531</v>
      </c>
      <c r="AE158" s="253">
        <f t="shared" si="612"/>
        <v>43622</v>
      </c>
      <c r="AF158" s="253">
        <f t="shared" ref="AF158:AK158" si="613">AF3</f>
        <v>43738</v>
      </c>
      <c r="AG158" s="253">
        <f t="shared" si="613"/>
        <v>43809</v>
      </c>
      <c r="AH158" s="253">
        <f t="shared" si="613"/>
        <v>43897</v>
      </c>
      <c r="AI158" s="253">
        <f t="shared" si="613"/>
        <v>43988</v>
      </c>
      <c r="AJ158" s="253">
        <f t="shared" si="613"/>
        <v>44104</v>
      </c>
      <c r="AK158" s="253">
        <f t="shared" si="613"/>
        <v>44175</v>
      </c>
      <c r="AL158" s="253">
        <f t="shared" ref="AL158:AQ158" si="614">AL3</f>
        <v>44262</v>
      </c>
      <c r="AM158" s="253">
        <f t="shared" si="614"/>
        <v>44348</v>
      </c>
      <c r="AN158" s="253">
        <f t="shared" si="614"/>
        <v>44469</v>
      </c>
      <c r="AO158" s="253">
        <f t="shared" si="614"/>
        <v>44540</v>
      </c>
      <c r="AP158" s="253">
        <f t="shared" si="614"/>
        <v>44651</v>
      </c>
      <c r="AQ158" s="253">
        <f t="shared" si="614"/>
        <v>44713</v>
      </c>
      <c r="AR158" s="253">
        <f t="shared" ref="AR158:AW158" si="615">AR3</f>
        <v>44834</v>
      </c>
      <c r="AS158" s="253">
        <f t="shared" si="615"/>
        <v>44905</v>
      </c>
      <c r="AT158" s="253">
        <f t="shared" si="615"/>
        <v>45016</v>
      </c>
      <c r="AU158" s="253">
        <f t="shared" si="615"/>
        <v>45078</v>
      </c>
      <c r="AV158" s="253">
        <f t="shared" si="615"/>
        <v>45199</v>
      </c>
      <c r="AW158" s="253">
        <f t="shared" si="615"/>
        <v>45270</v>
      </c>
      <c r="AX158" s="253">
        <f t="shared" ref="AX158:BC158" si="616">AX3</f>
        <v>45382</v>
      </c>
      <c r="AY158" s="253">
        <f t="shared" si="616"/>
        <v>45444</v>
      </c>
      <c r="AZ158" s="253">
        <f t="shared" si="616"/>
        <v>45565</v>
      </c>
      <c r="BA158" s="253">
        <f t="shared" si="616"/>
        <v>45636</v>
      </c>
      <c r="BB158" s="253">
        <f t="shared" si="616"/>
        <v>45747</v>
      </c>
      <c r="BC158" s="253">
        <f t="shared" si="616"/>
        <v>45809</v>
      </c>
      <c r="BD158" s="253">
        <f>BD3</f>
        <v>45930</v>
      </c>
      <c r="BE158" s="253">
        <f>BE3</f>
        <v>46001</v>
      </c>
      <c r="BF158" s="253">
        <f>BF3</f>
        <v>46112</v>
      </c>
      <c r="BG158" s="142"/>
      <c r="BH158" s="253">
        <f>BH3</f>
        <v>43166</v>
      </c>
      <c r="BI158" s="253">
        <f>BI3</f>
        <v>43281</v>
      </c>
      <c r="BJ158" s="253">
        <f>BJ3</f>
        <v>43373</v>
      </c>
      <c r="BK158" s="253">
        <f>BK3</f>
        <v>43444</v>
      </c>
      <c r="BL158" s="253">
        <f>BL3</f>
        <v>43531</v>
      </c>
      <c r="BM158" s="329"/>
      <c r="BN158" s="46">
        <v>42530</v>
      </c>
      <c r="BO158" s="46">
        <v>42896</v>
      </c>
      <c r="BP158" s="46">
        <f t="shared" ref="BP158:BU158" si="617">BP3</f>
        <v>43261</v>
      </c>
      <c r="BQ158" s="253">
        <f t="shared" si="617"/>
        <v>43646</v>
      </c>
      <c r="BR158" s="253">
        <f t="shared" si="617"/>
        <v>44012</v>
      </c>
      <c r="BS158" s="253">
        <f t="shared" si="617"/>
        <v>44377</v>
      </c>
      <c r="BT158" s="253">
        <f t="shared" si="617"/>
        <v>44742</v>
      </c>
      <c r="BU158" s="253">
        <f t="shared" si="617"/>
        <v>45107</v>
      </c>
      <c r="BV158" s="253">
        <f>BV3</f>
        <v>45473</v>
      </c>
      <c r="BW158" s="253">
        <f>BW3</f>
        <v>45838</v>
      </c>
      <c r="BX158" s="329"/>
      <c r="BY158" s="253"/>
      <c r="BZ158" s="253"/>
      <c r="CA158" s="62"/>
      <c r="CG158" s="260"/>
    </row>
    <row r="159" spans="1:85" s="5" customFormat="1" ht="13.5" customHeight="1">
      <c r="B159" s="16" t="s">
        <v>388</v>
      </c>
      <c r="C159" s="8">
        <f>C49</f>
        <v>78126.524000000034</v>
      </c>
      <c r="D159" s="8">
        <f>D49</f>
        <v>90781.941999999952</v>
      </c>
      <c r="E159" s="8">
        <f>E49</f>
        <v>83362.852000000043</v>
      </c>
      <c r="F159" s="8">
        <f t="shared" ref="F159:K159" si="618">F49</f>
        <v>78494.096000000005</v>
      </c>
      <c r="G159" s="8">
        <f t="shared" si="618"/>
        <v>78494.096000000005</v>
      </c>
      <c r="H159" s="8">
        <f t="shared" si="618"/>
        <v>77855.466999999975</v>
      </c>
      <c r="I159" s="8">
        <f t="shared" si="618"/>
        <v>233910.16399999987</v>
      </c>
      <c r="J159" s="8">
        <f t="shared" si="618"/>
        <v>233292.50199999998</v>
      </c>
      <c r="K159" s="8">
        <f t="shared" si="618"/>
        <v>129702.21500000003</v>
      </c>
      <c r="L159" s="8">
        <f>L49</f>
        <v>240626.83999999985</v>
      </c>
      <c r="M159" s="8">
        <f>M49</f>
        <v>141042.21799999973</v>
      </c>
      <c r="N159" s="8">
        <f>N49</f>
        <v>40628.703999999911</v>
      </c>
      <c r="O159" s="8">
        <f>O49</f>
        <v>204895.9800000001</v>
      </c>
      <c r="P159" s="8">
        <f>P49</f>
        <v>302608.31300000008</v>
      </c>
      <c r="Q159" s="8"/>
      <c r="R159" s="8">
        <f t="shared" ref="R159:X159" si="619">R49</f>
        <v>22310.909999999996</v>
      </c>
      <c r="S159" s="8">
        <f t="shared" si="619"/>
        <v>18971.91800000002</v>
      </c>
      <c r="T159" s="8">
        <f t="shared" si="619"/>
        <v>22097.842000000001</v>
      </c>
      <c r="U159" s="8">
        <f t="shared" si="619"/>
        <v>19982.182000000066</v>
      </c>
      <c r="V159" s="8">
        <f t="shared" si="619"/>
        <v>19108.818000000017</v>
      </c>
      <c r="W159" s="8">
        <f t="shared" si="619"/>
        <v>19219.670999999969</v>
      </c>
      <c r="X159" s="8">
        <f t="shared" si="619"/>
        <v>20469.025999999976</v>
      </c>
      <c r="Y159" s="8">
        <f t="shared" ref="Y159:AD159" si="620">Y49</f>
        <v>19696.581000000017</v>
      </c>
      <c r="Z159" s="182">
        <f t="shared" si="620"/>
        <v>20506.174999999974</v>
      </c>
      <c r="AA159" s="182">
        <f t="shared" si="620"/>
        <v>21917.294999999947</v>
      </c>
      <c r="AB159" s="8">
        <f t="shared" si="620"/>
        <v>13698.226000000021</v>
      </c>
      <c r="AC159" s="8">
        <f t="shared" si="620"/>
        <v>21733.771000000022</v>
      </c>
      <c r="AD159" s="182">
        <f t="shared" si="620"/>
        <v>59758.567999999985</v>
      </c>
      <c r="AE159" s="182">
        <f t="shared" ref="AE159:AJ159" si="621">AE49</f>
        <v>70520.317000000097</v>
      </c>
      <c r="AF159" s="182">
        <f t="shared" si="621"/>
        <v>58520.789000000004</v>
      </c>
      <c r="AG159" s="8">
        <f t="shared" si="621"/>
        <v>44492.827999999936</v>
      </c>
      <c r="AH159" s="182">
        <f t="shared" si="621"/>
        <v>45589.819000000032</v>
      </c>
      <c r="AI159" s="182">
        <f t="shared" si="621"/>
        <v>2640.4869999999751</v>
      </c>
      <c r="AJ159" s="182">
        <f t="shared" si="621"/>
        <v>26515.709000000083</v>
      </c>
      <c r="AK159" s="8">
        <f t="shared" ref="AK159:AP159" si="622">AK49</f>
        <v>54956.199999999917</v>
      </c>
      <c r="AL159" s="182">
        <f t="shared" si="622"/>
        <v>75122.362000000037</v>
      </c>
      <c r="AM159" s="182">
        <f t="shared" si="622"/>
        <v>54350.105999999971</v>
      </c>
      <c r="AN159" s="182">
        <f t="shared" si="622"/>
        <v>53938.153000000049</v>
      </c>
      <c r="AO159" s="8">
        <f t="shared" si="622"/>
        <v>57216.218999999968</v>
      </c>
      <c r="AP159" s="182">
        <f t="shared" si="622"/>
        <v>63511.972999999969</v>
      </c>
      <c r="AQ159" s="182">
        <f t="shared" ref="AQ159:AV159" si="623">AQ49</f>
        <v>48068.222000000082</v>
      </c>
      <c r="AR159" s="182">
        <f t="shared" si="623"/>
        <v>34198.307999999852</v>
      </c>
      <c r="AS159" s="8">
        <f t="shared" si="623"/>
        <v>-4736.2849999997998</v>
      </c>
      <c r="AT159" s="182">
        <f t="shared" si="623"/>
        <v>5221.6610000000082</v>
      </c>
      <c r="AU159" s="182">
        <f t="shared" si="623"/>
        <v>2109.6499999998923</v>
      </c>
      <c r="AV159" s="182">
        <f t="shared" si="623"/>
        <v>32540.852000000003</v>
      </c>
      <c r="AW159" s="8">
        <f t="shared" ref="AW159:BB159" si="624">AW49</f>
        <v>756.54100000003018</v>
      </c>
      <c r="AX159" s="182">
        <f t="shared" si="624"/>
        <v>44123.694999999978</v>
      </c>
      <c r="AY159" s="182">
        <f t="shared" si="624"/>
        <v>47654.634000000005</v>
      </c>
      <c r="AZ159" s="182">
        <f t="shared" si="624"/>
        <v>62322.496999999908</v>
      </c>
      <c r="BA159" s="8">
        <f t="shared" si="624"/>
        <v>50795.154000000068</v>
      </c>
      <c r="BB159" s="182">
        <f t="shared" si="624"/>
        <v>96813.947999999917</v>
      </c>
      <c r="BC159" s="182">
        <f>BC49</f>
        <v>86123.095999999976</v>
      </c>
      <c r="BD159" s="182">
        <f>BD49</f>
        <v>74425.747000000207</v>
      </c>
      <c r="BE159" s="8">
        <f>BE49</f>
        <v>45245.52200000007</v>
      </c>
      <c r="BF159" s="182">
        <f>BF49</f>
        <v>126756.54499999998</v>
      </c>
      <c r="BG159" s="142"/>
      <c r="BH159" s="182">
        <f>BH49</f>
        <v>63006.822999999982</v>
      </c>
      <c r="BI159" s="182">
        <f>BI49</f>
        <v>59881.332000000053</v>
      </c>
      <c r="BJ159" s="182">
        <f>BJ49</f>
        <v>50842.651999999987</v>
      </c>
      <c r="BK159" s="8">
        <f>BK49</f>
        <v>177788.46800000011</v>
      </c>
      <c r="BL159" s="182">
        <f>BL49</f>
        <v>59758.567999999985</v>
      </c>
      <c r="BM159" s="182"/>
      <c r="BN159" s="8">
        <f t="shared" ref="BN159:BS159" si="625">BN49</f>
        <v>41282.828000000009</v>
      </c>
      <c r="BO159" s="8">
        <f t="shared" si="625"/>
        <v>38328.488999999972</v>
      </c>
      <c r="BP159" s="8">
        <f t="shared" si="625"/>
        <v>42423.469999999958</v>
      </c>
      <c r="BQ159" s="8">
        <f t="shared" si="625"/>
        <v>130278.88499999998</v>
      </c>
      <c r="BR159" s="8">
        <f t="shared" si="625"/>
        <v>48230.30599999996</v>
      </c>
      <c r="BS159" s="8">
        <f t="shared" si="625"/>
        <v>129472.46799999999</v>
      </c>
      <c r="BT159" s="8">
        <f>BT49</f>
        <v>111580.19499999999</v>
      </c>
      <c r="BU159" s="8">
        <f>BU49</f>
        <v>7331.3109999999306</v>
      </c>
      <c r="BV159" s="8">
        <f>BV49</f>
        <v>91778.328999999896</v>
      </c>
      <c r="BW159" s="8">
        <f>BW49</f>
        <v>182937.04400000002</v>
      </c>
      <c r="BX159" s="8"/>
      <c r="BY159" s="8">
        <f>BY49</f>
        <v>122888.15500000003</v>
      </c>
      <c r="BZ159" s="8">
        <f>BZ49</f>
        <v>130278.88499999998</v>
      </c>
      <c r="CA159" s="8"/>
      <c r="CB159" s="153"/>
      <c r="CG159" s="260"/>
    </row>
    <row r="160" spans="1:85" s="5" customFormat="1" ht="13.5" customHeight="1">
      <c r="B160" s="16" t="s">
        <v>389</v>
      </c>
      <c r="C160" s="145"/>
      <c r="D160" s="145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8"/>
      <c r="T160" s="145"/>
      <c r="U160" s="8"/>
      <c r="V160" s="145"/>
      <c r="W160" s="6"/>
      <c r="X160" s="145"/>
      <c r="Y160" s="8"/>
      <c r="Z160" s="294"/>
      <c r="AA160" s="181"/>
      <c r="AB160" s="145"/>
      <c r="AC160" s="8"/>
      <c r="AD160" s="294"/>
      <c r="AE160" s="181"/>
      <c r="AF160" s="294"/>
      <c r="AG160" s="8"/>
      <c r="AH160" s="294"/>
      <c r="AI160" s="181"/>
      <c r="AJ160" s="294"/>
      <c r="AK160" s="8"/>
      <c r="AL160" s="294"/>
      <c r="AM160" s="181"/>
      <c r="AN160" s="294"/>
      <c r="AO160" s="8"/>
      <c r="AP160" s="294"/>
      <c r="AQ160" s="181"/>
      <c r="AR160" s="294"/>
      <c r="AS160" s="8"/>
      <c r="AT160" s="294"/>
      <c r="AU160" s="181"/>
      <c r="AV160" s="294"/>
      <c r="AW160" s="8"/>
      <c r="AX160" s="294"/>
      <c r="AY160" s="181"/>
      <c r="AZ160" s="294"/>
      <c r="BA160" s="8"/>
      <c r="BB160" s="294"/>
      <c r="BC160" s="181"/>
      <c r="BD160" s="294"/>
      <c r="BE160" s="8"/>
      <c r="BF160" s="294"/>
      <c r="BG160" s="142"/>
      <c r="BH160" s="294"/>
      <c r="BI160" s="294"/>
      <c r="BJ160" s="294"/>
      <c r="BK160" s="8"/>
      <c r="BL160" s="294"/>
      <c r="BM160" s="294"/>
      <c r="BN160" s="145"/>
      <c r="BO160" s="145"/>
      <c r="BP160" s="145"/>
      <c r="BQ160" s="145"/>
      <c r="BR160" s="145"/>
      <c r="BS160" s="145"/>
      <c r="BT160" s="145"/>
      <c r="BU160" s="145"/>
      <c r="BV160" s="145"/>
      <c r="BW160" s="145"/>
      <c r="BX160" s="145"/>
      <c r="BY160" s="145"/>
      <c r="BZ160" s="145"/>
      <c r="CA160" s="145"/>
      <c r="CB160" s="145"/>
      <c r="CG160" s="260"/>
    </row>
    <row r="161" spans="2:85" s="5" customFormat="1" ht="13.5" customHeight="1">
      <c r="B161" s="7" t="s">
        <v>314</v>
      </c>
      <c r="C161" s="145">
        <v>15489.687</v>
      </c>
      <c r="D161" s="145">
        <v>15638.352999999999</v>
      </c>
      <c r="E161" s="145">
        <v>16810.784</v>
      </c>
      <c r="F161" s="145">
        <v>19762.996999999999</v>
      </c>
      <c r="G161" s="145">
        <v>19762.996999999999</v>
      </c>
      <c r="H161" s="145">
        <v>21175.298999999999</v>
      </c>
      <c r="I161" s="145">
        <v>21175.298999999999</v>
      </c>
      <c r="J161" s="145">
        <v>34996.500999999997</v>
      </c>
      <c r="K161" s="145">
        <v>37506.177000000003</v>
      </c>
      <c r="L161" s="145">
        <v>39291.807000000001</v>
      </c>
      <c r="M161" s="145">
        <v>42622.991999999998</v>
      </c>
      <c r="N161" s="145">
        <v>40364.506000000001</v>
      </c>
      <c r="O161" s="145">
        <v>39942.417000000001</v>
      </c>
      <c r="P161" s="145">
        <v>38973.917999999998</v>
      </c>
      <c r="Q161" s="145"/>
      <c r="R161" s="145">
        <v>4025.7640000000001</v>
      </c>
      <c r="S161" s="6">
        <f>BN161-R161</f>
        <v>4104.2330000000002</v>
      </c>
      <c r="T161" s="145">
        <f>12426.733-S161-R161</f>
        <v>4296.7359999999999</v>
      </c>
      <c r="U161" s="6">
        <f>E161-T161-S161-R161</f>
        <v>4384.0509999999986</v>
      </c>
      <c r="V161" s="145">
        <v>4544.6559999999999</v>
      </c>
      <c r="W161" s="6">
        <f>BO161-V161</f>
        <v>5082.4630000000006</v>
      </c>
      <c r="X161" s="145">
        <f>14646.574-W161-V161</f>
        <v>5019.4550000000008</v>
      </c>
      <c r="Y161" s="6">
        <f>F161-X161-W161-V161</f>
        <v>5116.422999999998</v>
      </c>
      <c r="Z161" s="294">
        <v>5420.4840000000004</v>
      </c>
      <c r="AA161" s="181">
        <f>BP161-Z161</f>
        <v>3881.3199999999997</v>
      </c>
      <c r="AB161" s="294">
        <f>15415.148-AA161-Z161</f>
        <v>6113.3439999999991</v>
      </c>
      <c r="AC161" s="200">
        <f>H161-AB161-AA161-Z161</f>
        <v>5760.1509999999998</v>
      </c>
      <c r="AD161" s="294">
        <v>8842.6239999999998</v>
      </c>
      <c r="AE161" s="181">
        <f>BQ161-AD161</f>
        <v>7115.8209999999999</v>
      </c>
      <c r="AF161" s="294">
        <f>25046.097-AE161-AD161</f>
        <v>9087.6520000000019</v>
      </c>
      <c r="AG161" s="200">
        <f>J161-AF161-AE161-AD161</f>
        <v>9950.403999999995</v>
      </c>
      <c r="AH161" s="294">
        <v>9963.7369999999992</v>
      </c>
      <c r="AI161" s="181">
        <f>BR161-AH161</f>
        <v>9918.4580000000005</v>
      </c>
      <c r="AJ161" s="294">
        <f>29325.724-AI161-AH161</f>
        <v>9443.5289999999968</v>
      </c>
      <c r="AK161" s="200">
        <f>K161-AJ161-AI161-AH161</f>
        <v>8180.4530000000104</v>
      </c>
      <c r="AL161" s="294">
        <v>9394.2999999999993</v>
      </c>
      <c r="AM161" s="181">
        <f>BS161-AL161</f>
        <v>9402.6650000000009</v>
      </c>
      <c r="AN161" s="294">
        <f>28364.714-AM161-AL161</f>
        <v>9567.7489999999998</v>
      </c>
      <c r="AO161" s="200">
        <f t="shared" ref="AO161:AO167" si="626">L161-AN161-AM161-AL161</f>
        <v>10927.093000000001</v>
      </c>
      <c r="AP161" s="294">
        <v>10636.787</v>
      </c>
      <c r="AQ161" s="181">
        <f>BT161-AP161</f>
        <v>10991.736000000001</v>
      </c>
      <c r="AR161" s="294">
        <f>32887.432-AQ161-AP161</f>
        <v>11258.909</v>
      </c>
      <c r="AS161" s="200">
        <f t="shared" ref="AS161:AS167" si="627">M161-AR161-AQ161-AP161</f>
        <v>9735.5599999999977</v>
      </c>
      <c r="AT161" s="294">
        <v>9573.1190000000006</v>
      </c>
      <c r="AU161" s="181">
        <f t="shared" ref="AU161:AU169" si="628">BU161-AT161</f>
        <v>9855.3289999999997</v>
      </c>
      <c r="AV161" s="294">
        <f>30167.327-AU161-AT161</f>
        <v>10738.878999999999</v>
      </c>
      <c r="AW161" s="200">
        <f t="shared" ref="AW161:AW167" si="629">N161-AV161-AU161-AT161</f>
        <v>10197.179000000002</v>
      </c>
      <c r="AX161" s="294">
        <v>10113.516</v>
      </c>
      <c r="AY161" s="181">
        <f t="shared" ref="AY161:AY169" si="630">BV161-AX161</f>
        <v>9504.0730000000003</v>
      </c>
      <c r="AZ161" s="294">
        <f>28670.043-AY161-AX161</f>
        <v>9052.4540000000015</v>
      </c>
      <c r="BA161" s="200">
        <f t="shared" ref="BA161:BA176" si="631">O161-AZ161-AY161-AX161</f>
        <v>11272.374</v>
      </c>
      <c r="BB161" s="294">
        <v>8673.0059999999994</v>
      </c>
      <c r="BC161" s="181">
        <f t="shared" ref="BC161:BC176" si="632">BW161-BB161</f>
        <v>9110.6530000000002</v>
      </c>
      <c r="BD161" s="294">
        <f>27436.996-BC161-BB161</f>
        <v>9653.3370000000014</v>
      </c>
      <c r="BE161" s="200">
        <f t="shared" ref="BE161:BE176" si="633">P161-BD161-BC161-BB161</f>
        <v>11536.922</v>
      </c>
      <c r="BF161" s="294">
        <v>10525.775</v>
      </c>
      <c r="BG161" s="142"/>
      <c r="BH161" s="294">
        <v>5420.4830000000002</v>
      </c>
      <c r="BI161" s="203">
        <f>BY161-BH161</f>
        <v>3881.3209999999999</v>
      </c>
      <c r="BJ161" s="294">
        <f>15415.148-BI161-BH161</f>
        <v>6113.3439999999991</v>
      </c>
      <c r="BK161" s="200">
        <f>I161-Z161-AB161-AA161</f>
        <v>5760.1509999999998</v>
      </c>
      <c r="BL161" s="294">
        <v>8842.6239999999998</v>
      </c>
      <c r="BM161" s="294"/>
      <c r="BN161" s="145">
        <v>8129.9970000000003</v>
      </c>
      <c r="BO161" s="145">
        <v>9627.1190000000006</v>
      </c>
      <c r="BP161" s="145">
        <v>9301.8040000000001</v>
      </c>
      <c r="BQ161" s="145">
        <v>15958.445</v>
      </c>
      <c r="BR161" s="145">
        <v>19882.195</v>
      </c>
      <c r="BS161" s="145">
        <v>18796.965</v>
      </c>
      <c r="BT161" s="145">
        <v>21628.523000000001</v>
      </c>
      <c r="BU161" s="145">
        <v>19428.448</v>
      </c>
      <c r="BV161" s="145">
        <v>19617.589</v>
      </c>
      <c r="BW161" s="145">
        <v>17783.659</v>
      </c>
      <c r="BX161" s="145"/>
      <c r="BY161" s="145">
        <v>9301.8040000000001</v>
      </c>
      <c r="BZ161" s="145">
        <v>15958.445</v>
      </c>
      <c r="CA161" s="145"/>
      <c r="CB161" s="145"/>
      <c r="CG161" s="260"/>
    </row>
    <row r="162" spans="2:85" s="5" customFormat="1" ht="13.5" customHeight="1">
      <c r="B162" s="7" t="s">
        <v>390</v>
      </c>
      <c r="C162" s="145">
        <v>111964.182</v>
      </c>
      <c r="D162" s="145">
        <v>139502.65400000001</v>
      </c>
      <c r="E162" s="145">
        <v>177762.33</v>
      </c>
      <c r="F162" s="145">
        <v>204498.68299999999</v>
      </c>
      <c r="G162" s="145">
        <v>204498.68299999999</v>
      </c>
      <c r="H162" s="145">
        <v>222163.48499999999</v>
      </c>
      <c r="I162" s="145">
        <v>387190.48499999999</v>
      </c>
      <c r="J162" s="145">
        <v>410002.11900000001</v>
      </c>
      <c r="K162" s="145">
        <v>467908.20199999999</v>
      </c>
      <c r="L162" s="145">
        <v>210366.35800000001</v>
      </c>
      <c r="M162" s="145">
        <v>682405.84100000001</v>
      </c>
      <c r="N162" s="145">
        <f>782023.651</f>
        <v>782023.65099999995</v>
      </c>
      <c r="O162" s="145">
        <v>569674.02500000002</v>
      </c>
      <c r="P162" s="145">
        <v>525589.375</v>
      </c>
      <c r="Q162" s="145"/>
      <c r="R162" s="145">
        <v>38801.794000000002</v>
      </c>
      <c r="S162" s="6">
        <f>BN162-R162</f>
        <v>46769.614999999998</v>
      </c>
      <c r="T162" s="145">
        <f>124133.331-S162-R162</f>
        <v>38561.922000000013</v>
      </c>
      <c r="U162" s="6">
        <f>E162-T162-S162-R162</f>
        <v>53628.998999999974</v>
      </c>
      <c r="V162" s="145">
        <v>48980.279000000002</v>
      </c>
      <c r="W162" s="6">
        <f>BO162-V162</f>
        <v>56573.402999999998</v>
      </c>
      <c r="X162" s="145">
        <f>153494.827-W162-V162</f>
        <v>47941.144999999997</v>
      </c>
      <c r="Y162" s="6">
        <f>F162-X162-W162-V162</f>
        <v>51003.856000000007</v>
      </c>
      <c r="Z162" s="294">
        <v>38784.347999999998</v>
      </c>
      <c r="AA162" s="181">
        <f>BP162-Z162</f>
        <v>52947.106</v>
      </c>
      <c r="AB162" s="294">
        <f>170103.275-AA162-Z162</f>
        <v>78371.820999999996</v>
      </c>
      <c r="AC162" s="200">
        <f>H162-AB162-AA162-Z162</f>
        <v>52060.209999999992</v>
      </c>
      <c r="AD162" s="294">
        <v>62831.436999999998</v>
      </c>
      <c r="AE162" s="181">
        <f>BQ162-AD162</f>
        <v>47092.303999999996</v>
      </c>
      <c r="AF162" s="294">
        <f>171214.932-AE162-AD162</f>
        <v>61291.190999999999</v>
      </c>
      <c r="AG162" s="200">
        <f>J162-AF162-AE162-AD162</f>
        <v>238787.18700000001</v>
      </c>
      <c r="AH162" s="294">
        <v>124874.24400000001</v>
      </c>
      <c r="AI162" s="181">
        <f>BR162-AH162</f>
        <v>171181.364</v>
      </c>
      <c r="AJ162" s="294">
        <f>415222.712-AI162-AH162</f>
        <v>119167.10399999999</v>
      </c>
      <c r="AK162" s="200">
        <f>K162-AJ162-AI162-AH162</f>
        <v>52685.489999999991</v>
      </c>
      <c r="AL162" s="294">
        <v>36023.207999999999</v>
      </c>
      <c r="AM162" s="181">
        <f>BS162-AL162</f>
        <v>50321.341</v>
      </c>
      <c r="AN162" s="294">
        <f>138474.091-AM162-AL162</f>
        <v>52129.541999999987</v>
      </c>
      <c r="AO162" s="200">
        <f t="shared" si="626"/>
        <v>71892.267000000022</v>
      </c>
      <c r="AP162" s="294">
        <v>107657.924</v>
      </c>
      <c r="AQ162" s="181">
        <f>BT162-AP162</f>
        <v>152866.40299999999</v>
      </c>
      <c r="AR162" s="294">
        <f>426131.269-AQ162-AP162</f>
        <v>165606.94199999998</v>
      </c>
      <c r="AS162" s="200">
        <f t="shared" si="627"/>
        <v>256274.57200000004</v>
      </c>
      <c r="AT162" s="294">
        <v>209625.35500000001</v>
      </c>
      <c r="AU162" s="181">
        <f t="shared" si="628"/>
        <v>207457.89699999997</v>
      </c>
      <c r="AV162" s="294">
        <f>594753.689-AU162-AT162</f>
        <v>177670.43700000001</v>
      </c>
      <c r="AW162" s="200">
        <f t="shared" si="629"/>
        <v>187269.96199999991</v>
      </c>
      <c r="AX162" s="294">
        <v>156910.25</v>
      </c>
      <c r="AY162" s="181">
        <f t="shared" si="630"/>
        <v>158525.076</v>
      </c>
      <c r="AZ162" s="294">
        <f>440667.005-AY162-AX162</f>
        <v>125231.679</v>
      </c>
      <c r="BA162" s="200">
        <f t="shared" si="631"/>
        <v>129007.02000000002</v>
      </c>
      <c r="BB162" s="294">
        <v>114885.683</v>
      </c>
      <c r="BC162" s="181">
        <f t="shared" si="632"/>
        <v>124831.39599999999</v>
      </c>
      <c r="BD162" s="294">
        <f>364062.579-BC162-BB162</f>
        <v>124345.50000000001</v>
      </c>
      <c r="BE162" s="200">
        <f t="shared" si="633"/>
        <v>161526.79599999997</v>
      </c>
      <c r="BF162" s="294">
        <v>133681.00200000001</v>
      </c>
      <c r="BG162" s="142"/>
      <c r="BH162" s="294">
        <v>71656.951000000001</v>
      </c>
      <c r="BI162" s="203">
        <f>BY162-BH162</f>
        <v>94261.502999999997</v>
      </c>
      <c r="BJ162" s="294">
        <f>250594.019-BI162-BH162</f>
        <v>84675.565000000002</v>
      </c>
      <c r="BK162" s="200">
        <f>I162-Z162-AB162-AA162</f>
        <v>217087.21</v>
      </c>
      <c r="BL162" s="294">
        <v>62831.436999999998</v>
      </c>
      <c r="BM162" s="294"/>
      <c r="BN162" s="145">
        <v>85571.409</v>
      </c>
      <c r="BO162" s="145">
        <v>105553.682</v>
      </c>
      <c r="BP162" s="145">
        <v>91731.453999999998</v>
      </c>
      <c r="BQ162" s="145">
        <v>109923.74099999999</v>
      </c>
      <c r="BR162" s="145">
        <v>296055.60800000001</v>
      </c>
      <c r="BS162" s="145">
        <v>86344.548999999999</v>
      </c>
      <c r="BT162" s="145">
        <v>260524.32699999999</v>
      </c>
      <c r="BU162" s="145">
        <v>417083.25199999998</v>
      </c>
      <c r="BV162" s="145">
        <v>315435.326</v>
      </c>
      <c r="BW162" s="145">
        <v>239717.079</v>
      </c>
      <c r="BX162" s="145"/>
      <c r="BY162" s="145">
        <v>165918.454</v>
      </c>
      <c r="BZ162" s="145">
        <v>109923.74099999999</v>
      </c>
      <c r="CA162" s="145"/>
      <c r="CB162" s="145"/>
      <c r="CG162" s="260"/>
    </row>
    <row r="163" spans="2:85" s="5" customFormat="1" ht="13.5" customHeight="1">
      <c r="B163" s="7" t="s">
        <v>391</v>
      </c>
      <c r="C163" s="145">
        <v>-358.358</v>
      </c>
      <c r="D163" s="145">
        <v>-531.21400000000006</v>
      </c>
      <c r="E163" s="145">
        <v>-508.39499999999998</v>
      </c>
      <c r="F163" s="145">
        <v>-469.65499999999997</v>
      </c>
      <c r="G163" s="145">
        <v>-469.65499999999997</v>
      </c>
      <c r="H163" s="145">
        <v>-551.21400000000006</v>
      </c>
      <c r="I163" s="145">
        <v>-551.21400000000006</v>
      </c>
      <c r="J163" s="145">
        <v>-834.97699999999998</v>
      </c>
      <c r="K163" s="145">
        <v>-708.89</v>
      </c>
      <c r="L163" s="145">
        <v>-531.673</v>
      </c>
      <c r="M163" s="145">
        <v>-1085.2539999999999</v>
      </c>
      <c r="N163" s="145">
        <v>-886.96100000000001</v>
      </c>
      <c r="O163" s="145">
        <v>-890.322</v>
      </c>
      <c r="P163" s="145">
        <v>-1056.9269999999999</v>
      </c>
      <c r="Q163" s="145"/>
      <c r="R163" s="145">
        <v>-115.348</v>
      </c>
      <c r="S163" s="6">
        <f>BN163-R163</f>
        <v>-264.52299999999997</v>
      </c>
      <c r="T163" s="145">
        <f>-444.807-S163-R163</f>
        <v>-64.93600000000005</v>
      </c>
      <c r="U163" s="6">
        <f>E163-T163-S163-R163</f>
        <v>-63.58799999999998</v>
      </c>
      <c r="V163" s="145">
        <v>-63.506</v>
      </c>
      <c r="W163" s="6">
        <f>BO163-V163</f>
        <v>-293.46199999999999</v>
      </c>
      <c r="X163" s="145">
        <f>-426.119-W163-V163</f>
        <v>-69.151000000000039</v>
      </c>
      <c r="Y163" s="6">
        <f>F163-X163-W163-V163</f>
        <v>-43.535999999999916</v>
      </c>
      <c r="Z163" s="294">
        <v>-80.885999999999996</v>
      </c>
      <c r="AA163" s="181">
        <f>BP163-Z163</f>
        <v>-257.36300000000006</v>
      </c>
      <c r="AB163" s="294">
        <f>-453.266-AA163-Z163</f>
        <v>-115.01699999999997</v>
      </c>
      <c r="AC163" s="200">
        <f>H163-AB163-AA163-Z163</f>
        <v>-97.948000000000064</v>
      </c>
      <c r="AD163" s="294">
        <v>-108.358</v>
      </c>
      <c r="AE163" s="181">
        <f>BQ163-AD163</f>
        <v>-322.27600000000001</v>
      </c>
      <c r="AF163" s="294">
        <f>-696.269-AE163-AD163</f>
        <v>-265.63499999999999</v>
      </c>
      <c r="AG163" s="200">
        <f>J163-AF163-AE163-AD163</f>
        <v>-138.70799999999997</v>
      </c>
      <c r="AH163" s="294">
        <v>-162.631</v>
      </c>
      <c r="AI163" s="181">
        <f>BR163-AH163</f>
        <v>-69.931000000000012</v>
      </c>
      <c r="AJ163" s="294">
        <f>-615.337-AI163-AH163</f>
        <v>-382.77499999999998</v>
      </c>
      <c r="AK163" s="200">
        <f>K163-AJ163-AI163-AH163</f>
        <v>-93.552999999999969</v>
      </c>
      <c r="AL163" s="294">
        <v>-100.282</v>
      </c>
      <c r="AM163" s="181">
        <f>BS163-AL163</f>
        <v>-116.133</v>
      </c>
      <c r="AN163" s="294">
        <f>-352.384-AM163-AL163</f>
        <v>-135.96900000000005</v>
      </c>
      <c r="AO163" s="200">
        <f t="shared" si="626"/>
        <v>-179.28899999999999</v>
      </c>
      <c r="AP163" s="294">
        <v>-149.268</v>
      </c>
      <c r="AQ163" s="181">
        <f>BT163-AP163</f>
        <v>-406.43899999999996</v>
      </c>
      <c r="AR163" s="294">
        <f>-806.292-AQ163-AP163</f>
        <v>-250.58500000000006</v>
      </c>
      <c r="AS163" s="200">
        <f t="shared" si="627"/>
        <v>-278.96199999999988</v>
      </c>
      <c r="AT163" s="294">
        <v>-217.751</v>
      </c>
      <c r="AU163" s="181">
        <f t="shared" si="628"/>
        <v>-203.96299999999999</v>
      </c>
      <c r="AV163" s="294">
        <f>-641.643-AU163-AT163</f>
        <v>-219.92900000000006</v>
      </c>
      <c r="AW163" s="200">
        <f t="shared" si="629"/>
        <v>-245.31799999999996</v>
      </c>
      <c r="AX163" s="294">
        <v>-171.756</v>
      </c>
      <c r="AY163" s="181">
        <f t="shared" si="630"/>
        <v>-235.72099999999998</v>
      </c>
      <c r="AZ163" s="294">
        <f>-644.744-AY163-AX163</f>
        <v>-237.26700000000002</v>
      </c>
      <c r="BA163" s="200">
        <f t="shared" si="631"/>
        <v>-245.57799999999995</v>
      </c>
      <c r="BB163" s="294">
        <v>-240.191</v>
      </c>
      <c r="BC163" s="181">
        <f t="shared" si="632"/>
        <v>-292.47799999999995</v>
      </c>
      <c r="BD163" s="294">
        <f>-836.148-BC163-BB163</f>
        <v>-303.47900000000004</v>
      </c>
      <c r="BE163" s="200">
        <f t="shared" si="633"/>
        <v>-220.77899999999991</v>
      </c>
      <c r="BF163" s="294">
        <v>-243.441</v>
      </c>
      <c r="BG163" s="142"/>
      <c r="BH163" s="294">
        <v>-80.885999999999996</v>
      </c>
      <c r="BI163" s="203">
        <f>BY163-BH163</f>
        <v>-257.36300000000006</v>
      </c>
      <c r="BJ163" s="294">
        <f>-453.266-BI163-BH163</f>
        <v>-115.01699999999997</v>
      </c>
      <c r="BK163" s="200">
        <f>I163-Z163-AB163-AA163</f>
        <v>-97.948000000000093</v>
      </c>
      <c r="BL163" s="294">
        <v>-108.358</v>
      </c>
      <c r="BM163" s="294"/>
      <c r="BN163" s="145">
        <v>-379.87099999999998</v>
      </c>
      <c r="BO163" s="145">
        <v>-356.96800000000002</v>
      </c>
      <c r="BP163" s="145">
        <v>-338.24900000000002</v>
      </c>
      <c r="BQ163" s="145">
        <v>-430.63400000000001</v>
      </c>
      <c r="BR163" s="145">
        <v>-232.56200000000001</v>
      </c>
      <c r="BS163" s="145">
        <v>-216.41499999999999</v>
      </c>
      <c r="BT163" s="145">
        <v>-555.70699999999999</v>
      </c>
      <c r="BU163" s="145">
        <v>-421.714</v>
      </c>
      <c r="BV163" s="145">
        <v>-407.47699999999998</v>
      </c>
      <c r="BW163" s="145">
        <v>-532.66899999999998</v>
      </c>
      <c r="BX163" s="145"/>
      <c r="BY163" s="145">
        <v>-338.24900000000002</v>
      </c>
      <c r="BZ163" s="145">
        <v>-430.63400000000001</v>
      </c>
      <c r="CA163" s="145"/>
      <c r="CB163" s="145"/>
      <c r="CG163" s="260"/>
    </row>
    <row r="164" spans="2:85" s="5" customFormat="1" ht="13.5" customHeight="1">
      <c r="B164" s="7" t="s">
        <v>392</v>
      </c>
      <c r="C164" s="145">
        <v>13604.448</v>
      </c>
      <c r="D164" s="145">
        <v>22754.684000000001</v>
      </c>
      <c r="E164" s="145">
        <v>30410.733</v>
      </c>
      <c r="F164" s="145">
        <v>31814.667000000001</v>
      </c>
      <c r="G164" s="145">
        <v>31814.667000000001</v>
      </c>
      <c r="H164" s="145">
        <v>31844.071</v>
      </c>
      <c r="I164" s="145">
        <v>83330.805999999997</v>
      </c>
      <c r="J164" s="145">
        <v>82649.23</v>
      </c>
      <c r="K164" s="145">
        <v>39403.118999999999</v>
      </c>
      <c r="L164" s="145">
        <v>71485.123999999996</v>
      </c>
      <c r="M164" s="145">
        <v>1479.6510000000001</v>
      </c>
      <c r="N164" s="145">
        <f>-17533.669</f>
        <v>-17533.669000000002</v>
      </c>
      <c r="O164" s="145">
        <v>56942.851999999999</v>
      </c>
      <c r="P164" s="145">
        <v>101498.27499999999</v>
      </c>
      <c r="Q164" s="145"/>
      <c r="R164" s="145">
        <v>8105.3019999999997</v>
      </c>
      <c r="S164" s="6">
        <f>BN164-R164</f>
        <v>6620.6859999999997</v>
      </c>
      <c r="T164" s="145">
        <f>23091.697-S164-R164</f>
        <v>8365.7089999999989</v>
      </c>
      <c r="U164" s="6">
        <f>E164-T164-S164-R164</f>
        <v>7319.0360000000019</v>
      </c>
      <c r="V164" s="145">
        <v>7830.9350000000004</v>
      </c>
      <c r="W164" s="6">
        <f>BO164-V164</f>
        <v>7036.12</v>
      </c>
      <c r="X164" s="145">
        <f>24640.057-W164-V164</f>
        <v>9773.0020000000004</v>
      </c>
      <c r="Y164" s="6">
        <f>F164-X164-W164-V164</f>
        <v>7174.6100000000015</v>
      </c>
      <c r="Z164" s="294">
        <v>8068.1210000000001</v>
      </c>
      <c r="AA164" s="181">
        <f>BP164-Z164</f>
        <v>10669.967000000001</v>
      </c>
      <c r="AB164" s="294">
        <f>22953.109-AA164-Z164</f>
        <v>4215.0209999999997</v>
      </c>
      <c r="AC164" s="200">
        <f>H164-AB164-AA164-Z164</f>
        <v>8890.9619999999995</v>
      </c>
      <c r="AD164" s="294">
        <v>23733.503000000001</v>
      </c>
      <c r="AE164" s="181">
        <f>BQ164-AD164</f>
        <v>25784.687999999998</v>
      </c>
      <c r="AF164" s="294">
        <f>72156.783-AE164-AD164</f>
        <v>22638.592000000001</v>
      </c>
      <c r="AG164" s="200">
        <f>J164-AF164-AE164-AD164</f>
        <v>10492.446999999996</v>
      </c>
      <c r="AH164" s="294">
        <v>15287.081</v>
      </c>
      <c r="AI164" s="181">
        <f>BR164-AH164</f>
        <v>-2630.8539999999994</v>
      </c>
      <c r="AJ164" s="294">
        <f>22247.571-AI164-AH164</f>
        <v>9591.3439999999991</v>
      </c>
      <c r="AK164" s="200">
        <f>K164-AJ164-AI164-AH164</f>
        <v>17155.548000000003</v>
      </c>
      <c r="AL164" s="294">
        <v>23191.687999999998</v>
      </c>
      <c r="AM164" s="181">
        <f>BS164-AL164</f>
        <v>18810.197000000004</v>
      </c>
      <c r="AN164" s="294">
        <f>57527.287-AM164-AL164</f>
        <v>15525.401999999998</v>
      </c>
      <c r="AO164" s="200">
        <f t="shared" si="626"/>
        <v>13957.836999999996</v>
      </c>
      <c r="AP164" s="294">
        <v>13632.186</v>
      </c>
      <c r="AQ164" s="181">
        <f>BT164-AP164</f>
        <v>775.34799999999996</v>
      </c>
      <c r="AR164" s="294">
        <f>14979.545-AQ164-AP164</f>
        <v>572.01100000000042</v>
      </c>
      <c r="AS164" s="200">
        <f t="shared" si="627"/>
        <v>-13499.894</v>
      </c>
      <c r="AT164" s="294">
        <v>-5840.8509999999997</v>
      </c>
      <c r="AU164" s="181">
        <f t="shared" si="628"/>
        <v>-10076.494999999999</v>
      </c>
      <c r="AV164" s="294">
        <f>-7265.783-AU164-AT164</f>
        <v>8651.5629999999983</v>
      </c>
      <c r="AW164" s="200">
        <f t="shared" si="629"/>
        <v>-10267.886000000002</v>
      </c>
      <c r="AX164" s="294">
        <v>13664.267</v>
      </c>
      <c r="AY164" s="181">
        <f t="shared" si="630"/>
        <v>9996.2060000000019</v>
      </c>
      <c r="AZ164" s="294">
        <f>43077.548-AY164-AX164</f>
        <v>19417.075000000004</v>
      </c>
      <c r="BA164" s="200">
        <f t="shared" si="631"/>
        <v>13865.303999999993</v>
      </c>
      <c r="BB164" s="294">
        <v>29421.835999999999</v>
      </c>
      <c r="BC164" s="181">
        <f t="shared" si="632"/>
        <v>30683.776000000002</v>
      </c>
      <c r="BD164" s="294">
        <f>87101.085-BC164-BB164</f>
        <v>26995.473000000009</v>
      </c>
      <c r="BE164" s="200">
        <f t="shared" si="633"/>
        <v>14397.189999999984</v>
      </c>
      <c r="BF164" s="294">
        <v>50550.192000000003</v>
      </c>
      <c r="BG164" s="142"/>
      <c r="BH164" s="294">
        <v>22080.120999999999</v>
      </c>
      <c r="BI164" s="203">
        <f>BY164-BH164</f>
        <v>22997.998</v>
      </c>
      <c r="BJ164" s="294">
        <f>61709.168-BI164-BH164</f>
        <v>16631.048999999999</v>
      </c>
      <c r="BK164" s="200">
        <f>I164-Z164-AB164-AA164</f>
        <v>60377.697</v>
      </c>
      <c r="BL164" s="294">
        <v>23733.503000000001</v>
      </c>
      <c r="BM164" s="294"/>
      <c r="BN164" s="145">
        <v>14725.987999999999</v>
      </c>
      <c r="BO164" s="145">
        <v>14867.055</v>
      </c>
      <c r="BP164" s="145">
        <v>18738.088</v>
      </c>
      <c r="BQ164" s="145">
        <v>49518.190999999999</v>
      </c>
      <c r="BR164" s="145">
        <v>12656.227000000001</v>
      </c>
      <c r="BS164" s="145">
        <v>42001.885000000002</v>
      </c>
      <c r="BT164" s="145">
        <v>14407.534</v>
      </c>
      <c r="BU164" s="145">
        <v>-15917.346</v>
      </c>
      <c r="BV164" s="145">
        <v>23660.473000000002</v>
      </c>
      <c r="BW164" s="145">
        <v>60105.612000000001</v>
      </c>
      <c r="BX164" s="145"/>
      <c r="BY164" s="145">
        <v>45078.118999999999</v>
      </c>
      <c r="BZ164" s="145">
        <v>49518.190999999999</v>
      </c>
      <c r="CA164" s="145"/>
      <c r="CB164" s="145"/>
      <c r="CG164" s="260"/>
    </row>
    <row r="165" spans="2:85" s="5" customFormat="1" ht="13.5" customHeight="1">
      <c r="B165" s="7" t="s">
        <v>393</v>
      </c>
      <c r="C165" s="145">
        <v>-5317.759</v>
      </c>
      <c r="D165" s="145">
        <v>-8113.8940000000002</v>
      </c>
      <c r="E165" s="145">
        <v>1922.5050000000001</v>
      </c>
      <c r="F165" s="145">
        <v>-6403.6509999999998</v>
      </c>
      <c r="G165" s="145">
        <v>-6403.6509999999998</v>
      </c>
      <c r="H165" s="145">
        <v>4476.1970000000001</v>
      </c>
      <c r="I165" s="145">
        <v>-703.35799999999995</v>
      </c>
      <c r="J165" s="145">
        <v>2315.39</v>
      </c>
      <c r="K165" s="145">
        <v>60263.614000000001</v>
      </c>
      <c r="L165" s="145">
        <v>-39080.292999999998</v>
      </c>
      <c r="M165" s="145">
        <v>-2810.3339999999998</v>
      </c>
      <c r="N165" s="145">
        <v>-4464.8429999999998</v>
      </c>
      <c r="O165" s="145">
        <v>-43950.957999999999</v>
      </c>
      <c r="P165" s="145">
        <v>-16134.772000000001</v>
      </c>
      <c r="Q165" s="145"/>
      <c r="R165" s="145">
        <v>7768.9089999999997</v>
      </c>
      <c r="S165" s="6">
        <f>BN165-R165</f>
        <v>188.67500000000018</v>
      </c>
      <c r="T165" s="145">
        <f>9558.42-S165-R165</f>
        <v>1600.8359999999993</v>
      </c>
      <c r="U165" s="6">
        <f>E165-T165-S165-R165</f>
        <v>-7635.9149999999991</v>
      </c>
      <c r="V165" s="145">
        <v>-131.75299999999999</v>
      </c>
      <c r="W165" s="6">
        <f>BO165-V165</f>
        <v>-2845.299</v>
      </c>
      <c r="X165" s="145">
        <f>-6302.036-W165-V165</f>
        <v>-3324.9839999999999</v>
      </c>
      <c r="Y165" s="6">
        <f>F165-X165-W165-V165</f>
        <v>-101.61499999999995</v>
      </c>
      <c r="Z165" s="294">
        <v>-234.71700000000001</v>
      </c>
      <c r="AA165" s="181">
        <f>BP165-Z165</f>
        <v>68.705000000000013</v>
      </c>
      <c r="AB165" s="294">
        <f>2453.376-AA165-Z165</f>
        <v>2619.3880000000004</v>
      </c>
      <c r="AC165" s="200">
        <f>H165-AB165-AA165-Z165</f>
        <v>2022.8209999999999</v>
      </c>
      <c r="AD165" s="294">
        <v>-2689.9940000000001</v>
      </c>
      <c r="AE165" s="181">
        <f>BQ165-AD165</f>
        <v>-19502.911</v>
      </c>
      <c r="AF165" s="294">
        <f>-21428.953-AE165-AD165</f>
        <v>763.95199999999886</v>
      </c>
      <c r="AG165" s="200">
        <f>J165-AF165-AE165-AD165</f>
        <v>23744.343000000001</v>
      </c>
      <c r="AH165" s="294">
        <v>40329.284</v>
      </c>
      <c r="AI165" s="181">
        <f>BR165-AH165</f>
        <v>-1675.6390000000029</v>
      </c>
      <c r="AJ165" s="294">
        <f>44472.733-AI165-AH165</f>
        <v>5819.0880000000034</v>
      </c>
      <c r="AK165" s="200">
        <f>K165-AJ165-AI165-AH165</f>
        <v>15790.881000000001</v>
      </c>
      <c r="AL165" s="294">
        <v>2422.2930000000001</v>
      </c>
      <c r="AM165" s="181">
        <f>BS165-AL165</f>
        <v>5325.4940000000006</v>
      </c>
      <c r="AN165" s="294">
        <f>-631.874-AM165-AL165</f>
        <v>-8379.6610000000001</v>
      </c>
      <c r="AO165" s="200">
        <f t="shared" si="626"/>
        <v>-38448.418999999994</v>
      </c>
      <c r="AP165" s="294">
        <v>-51298.146000000001</v>
      </c>
      <c r="AQ165" s="181">
        <f>BT165-AP165</f>
        <v>43516.538</v>
      </c>
      <c r="AR165" s="294">
        <f>-3220.827-AQ165-AP165</f>
        <v>4560.7810000000027</v>
      </c>
      <c r="AS165" s="200">
        <f t="shared" si="627"/>
        <v>410.49299999999494</v>
      </c>
      <c r="AT165" s="294">
        <v>-1938.521</v>
      </c>
      <c r="AU165" s="181">
        <f t="shared" si="628"/>
        <v>-4638.8780000000006</v>
      </c>
      <c r="AV165" s="294">
        <f>-9984.78-AU165-AT165</f>
        <v>-3407.3810000000003</v>
      </c>
      <c r="AW165" s="200">
        <f t="shared" si="629"/>
        <v>5519.9370000000008</v>
      </c>
      <c r="AX165" s="294">
        <v>-3387.9549999999999</v>
      </c>
      <c r="AY165" s="181">
        <f t="shared" si="630"/>
        <v>-60269.228999999999</v>
      </c>
      <c r="AZ165" s="294">
        <f>-69716.207-AY165-AX165</f>
        <v>-6059.0229999999956</v>
      </c>
      <c r="BA165" s="200">
        <f t="shared" si="631"/>
        <v>25765.248999999996</v>
      </c>
      <c r="BB165" s="294">
        <v>-6044.4579999999996</v>
      </c>
      <c r="BC165" s="181">
        <f t="shared" si="632"/>
        <v>32241.525999999998</v>
      </c>
      <c r="BD165" s="294">
        <f>-13847.529-BC165-BB165</f>
        <v>-40044.597000000002</v>
      </c>
      <c r="BE165" s="200">
        <f t="shared" si="633"/>
        <v>-2287.2429999999977</v>
      </c>
      <c r="BF165" s="294">
        <v>16726.696</v>
      </c>
      <c r="BG165" s="142"/>
      <c r="BH165" s="294">
        <v>-234.71700000000001</v>
      </c>
      <c r="BI165" s="203">
        <f>BY165-BH165</f>
        <v>-12207.619999999999</v>
      </c>
      <c r="BJ165" s="294">
        <f>-2202.313-BI165-BH165</f>
        <v>10240.023999999999</v>
      </c>
      <c r="BK165" s="200">
        <f>I165-Z165-AB165-AA165</f>
        <v>-3156.7340000000004</v>
      </c>
      <c r="BL165" s="294">
        <v>-2689.9940000000001</v>
      </c>
      <c r="BM165" s="294"/>
      <c r="BN165" s="145">
        <v>7957.5839999999998</v>
      </c>
      <c r="BO165" s="145">
        <v>-2977.0520000000001</v>
      </c>
      <c r="BP165" s="145">
        <v>-166.012</v>
      </c>
      <c r="BQ165" s="145">
        <v>-22192.904999999999</v>
      </c>
      <c r="BR165" s="145">
        <v>38653.644999999997</v>
      </c>
      <c r="BS165" s="145">
        <v>7747.7870000000003</v>
      </c>
      <c r="BT165" s="145">
        <v>-7781.6080000000002</v>
      </c>
      <c r="BU165" s="145">
        <v>-6577.3990000000003</v>
      </c>
      <c r="BV165" s="145">
        <v>-63657.184000000001</v>
      </c>
      <c r="BW165" s="145">
        <v>26197.067999999999</v>
      </c>
      <c r="BX165" s="145"/>
      <c r="BY165" s="145">
        <v>-12442.337</v>
      </c>
      <c r="BZ165" s="145">
        <v>-22192.904999999999</v>
      </c>
      <c r="CA165" s="145"/>
      <c r="CB165" s="145"/>
      <c r="CG165" s="260"/>
    </row>
    <row r="166" spans="2:85" s="5" customFormat="1" ht="13.5" customHeight="1">
      <c r="B166" s="16" t="s">
        <v>394</v>
      </c>
      <c r="C166" s="145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8"/>
      <c r="T166" s="145"/>
      <c r="U166" s="8"/>
      <c r="V166" s="145"/>
      <c r="W166" s="8"/>
      <c r="X166" s="145"/>
      <c r="Y166" s="8"/>
      <c r="Z166" s="294"/>
      <c r="AA166" s="182"/>
      <c r="AB166" s="294"/>
      <c r="AC166" s="200"/>
      <c r="AD166" s="294"/>
      <c r="AE166" s="182"/>
      <c r="AF166" s="294"/>
      <c r="AG166" s="200"/>
      <c r="AH166" s="294"/>
      <c r="AI166" s="182"/>
      <c r="AJ166" s="294"/>
      <c r="AK166" s="200"/>
      <c r="AL166" s="294"/>
      <c r="AM166" s="182"/>
      <c r="AN166" s="294"/>
      <c r="AO166" s="200">
        <f t="shared" si="626"/>
        <v>0</v>
      </c>
      <c r="AP166" s="294"/>
      <c r="AQ166" s="182"/>
      <c r="AR166" s="294"/>
      <c r="AS166" s="200">
        <f t="shared" si="627"/>
        <v>0</v>
      </c>
      <c r="AT166" s="294"/>
      <c r="AU166" s="181">
        <f t="shared" si="628"/>
        <v>0</v>
      </c>
      <c r="AV166" s="294"/>
      <c r="AW166" s="200">
        <f t="shared" si="629"/>
        <v>0</v>
      </c>
      <c r="AX166" s="294"/>
      <c r="AY166" s="181">
        <f t="shared" si="630"/>
        <v>0</v>
      </c>
      <c r="AZ166" s="294"/>
      <c r="BA166" s="200">
        <f t="shared" si="631"/>
        <v>0</v>
      </c>
      <c r="BB166" s="294"/>
      <c r="BC166" s="181">
        <f t="shared" si="632"/>
        <v>0</v>
      </c>
      <c r="BD166" s="294"/>
      <c r="BE166" s="200">
        <f t="shared" si="633"/>
        <v>0</v>
      </c>
      <c r="BF166" s="294"/>
      <c r="BG166" s="142"/>
      <c r="BH166" s="294"/>
      <c r="BI166" s="294"/>
      <c r="BJ166" s="294"/>
      <c r="BK166" s="200"/>
      <c r="BL166" s="294"/>
      <c r="BM166" s="294"/>
      <c r="BN166" s="145"/>
      <c r="BO166" s="145"/>
      <c r="BP166" s="145"/>
      <c r="BQ166" s="145"/>
      <c r="BR166" s="145"/>
      <c r="BS166" s="145"/>
      <c r="BT166" s="145"/>
      <c r="BU166" s="145"/>
      <c r="BV166" s="145"/>
      <c r="BW166" s="145"/>
      <c r="BX166" s="145"/>
      <c r="BY166" s="145"/>
      <c r="BZ166" s="145"/>
      <c r="CA166" s="145"/>
      <c r="CB166" s="145"/>
      <c r="CG166" s="260"/>
    </row>
    <row r="167" spans="2:85" s="5" customFormat="1" ht="13.5" customHeight="1">
      <c r="B167" s="7" t="s">
        <v>395</v>
      </c>
      <c r="C167" s="145"/>
      <c r="D167" s="145"/>
      <c r="E167" s="145"/>
      <c r="F167" s="145"/>
      <c r="G167" s="145"/>
      <c r="H167" s="145"/>
      <c r="I167" s="145"/>
      <c r="J167" s="145"/>
      <c r="K167" s="145">
        <v>0</v>
      </c>
      <c r="L167" s="145">
        <v>0</v>
      </c>
      <c r="M167" s="145">
        <v>0</v>
      </c>
      <c r="N167" s="145">
        <v>0</v>
      </c>
      <c r="O167" s="145">
        <v>-500.99900000000002</v>
      </c>
      <c r="P167" s="145">
        <v>1745.854</v>
      </c>
      <c r="Q167" s="145"/>
      <c r="R167" s="145"/>
      <c r="S167" s="8"/>
      <c r="T167" s="145"/>
      <c r="U167" s="8"/>
      <c r="V167" s="145"/>
      <c r="W167" s="8"/>
      <c r="X167" s="145"/>
      <c r="Y167" s="8"/>
      <c r="Z167" s="294"/>
      <c r="AA167" s="182"/>
      <c r="AB167" s="294"/>
      <c r="AC167" s="200"/>
      <c r="AD167" s="294"/>
      <c r="AE167" s="182"/>
      <c r="AF167" s="294"/>
      <c r="AG167" s="200"/>
      <c r="AH167" s="294"/>
      <c r="AI167" s="182"/>
      <c r="AJ167" s="294"/>
      <c r="AK167" s="200"/>
      <c r="AL167" s="294"/>
      <c r="AM167" s="181">
        <f>BS167-AL167</f>
        <v>-25159.332999999999</v>
      </c>
      <c r="AN167" s="294">
        <f>-15056.25-AM167-AL167</f>
        <v>10103.082999999999</v>
      </c>
      <c r="AO167" s="200">
        <f t="shared" si="626"/>
        <v>15056.25</v>
      </c>
      <c r="AP167" s="294">
        <v>15171.25</v>
      </c>
      <c r="AQ167" s="181">
        <f>BT167-AP167</f>
        <v>-3589.0409999999993</v>
      </c>
      <c r="AR167" s="294">
        <f>15171.25-AQ167-AP167</f>
        <v>3589.0409999999974</v>
      </c>
      <c r="AS167" s="200">
        <f t="shared" si="627"/>
        <v>-15171.249999999998</v>
      </c>
      <c r="AT167" s="294">
        <v>0</v>
      </c>
      <c r="AU167" s="181">
        <f t="shared" si="628"/>
        <v>0</v>
      </c>
      <c r="AV167" s="294">
        <f>-1601.357-AU167-AT167</f>
        <v>-1601.357</v>
      </c>
      <c r="AW167" s="200">
        <f t="shared" si="629"/>
        <v>1601.357</v>
      </c>
      <c r="AX167" s="294">
        <v>0</v>
      </c>
      <c r="AY167" s="181">
        <f t="shared" si="630"/>
        <v>0</v>
      </c>
      <c r="AZ167" s="294">
        <f>10843.808-AY167-AX167</f>
        <v>10843.808000000001</v>
      </c>
      <c r="BA167" s="200">
        <f t="shared" si="631"/>
        <v>-11344.807000000001</v>
      </c>
      <c r="BB167" s="294">
        <v>0</v>
      </c>
      <c r="BC167" s="181">
        <f t="shared" si="632"/>
        <v>0</v>
      </c>
      <c r="BD167" s="294">
        <f>-23244.304-BC167-BB167</f>
        <v>-23244.304</v>
      </c>
      <c r="BE167" s="200">
        <f t="shared" si="633"/>
        <v>24990.157999999999</v>
      </c>
      <c r="BF167" s="294">
        <v>0</v>
      </c>
      <c r="BG167" s="142"/>
      <c r="BH167" s="294"/>
      <c r="BI167" s="294"/>
      <c r="BJ167" s="294"/>
      <c r="BK167" s="200"/>
      <c r="BL167" s="294"/>
      <c r="BM167" s="294"/>
      <c r="BN167" s="145"/>
      <c r="BO167" s="145"/>
      <c r="BP167" s="145"/>
      <c r="BQ167" s="145"/>
      <c r="BR167" s="145"/>
      <c r="BS167" s="145">
        <v>-25159.332999999999</v>
      </c>
      <c r="BT167" s="145">
        <v>11582.209000000001</v>
      </c>
      <c r="BU167" s="145">
        <v>0</v>
      </c>
      <c r="BV167" s="145">
        <v>0</v>
      </c>
      <c r="BW167" s="145">
        <v>0</v>
      </c>
      <c r="BX167" s="145"/>
      <c r="BY167" s="145"/>
      <c r="BZ167" s="145"/>
      <c r="CA167" s="145"/>
      <c r="CB167" s="145"/>
      <c r="CG167" s="260"/>
    </row>
    <row r="168" spans="2:85" s="5" customFormat="1" ht="13.5" customHeight="1">
      <c r="B168" s="7" t="s">
        <v>396</v>
      </c>
      <c r="C168" s="145"/>
      <c r="D168" s="145"/>
      <c r="E168" s="145"/>
      <c r="F168" s="145"/>
      <c r="G168" s="145"/>
      <c r="H168" s="145"/>
      <c r="I168" s="145"/>
      <c r="J168" s="145"/>
      <c r="K168" s="145">
        <v>0</v>
      </c>
      <c r="L168" s="145">
        <v>0</v>
      </c>
      <c r="M168" s="145">
        <v>0</v>
      </c>
      <c r="N168" s="145">
        <v>0</v>
      </c>
      <c r="O168" s="145">
        <v>0</v>
      </c>
      <c r="P168" s="145">
        <v>0</v>
      </c>
      <c r="Q168" s="145"/>
      <c r="R168" s="145"/>
      <c r="S168" s="8"/>
      <c r="T168" s="145"/>
      <c r="U168" s="8"/>
      <c r="V168" s="145"/>
      <c r="W168" s="8"/>
      <c r="X168" s="145"/>
      <c r="Y168" s="8"/>
      <c r="Z168" s="294"/>
      <c r="AA168" s="182"/>
      <c r="AB168" s="294"/>
      <c r="AC168" s="200"/>
      <c r="AD168" s="294"/>
      <c r="AE168" s="182"/>
      <c r="AF168" s="294"/>
      <c r="AG168" s="200"/>
      <c r="AH168" s="294"/>
      <c r="AI168" s="182"/>
      <c r="AJ168" s="294"/>
      <c r="AK168" s="200"/>
      <c r="AL168" s="294"/>
      <c r="AM168" s="181"/>
      <c r="AN168" s="294"/>
      <c r="AO168" s="200"/>
      <c r="AP168" s="294"/>
      <c r="AQ168" s="181">
        <f>BT168-AP168</f>
        <v>22997.294000000002</v>
      </c>
      <c r="AR168" s="294">
        <f>0-AQ168-AP168</f>
        <v>-22997.294000000002</v>
      </c>
      <c r="AS168" s="200"/>
      <c r="AT168" s="294"/>
      <c r="AU168" s="181">
        <f t="shared" si="628"/>
        <v>0</v>
      </c>
      <c r="AV168" s="294">
        <f>0-AU168-AT168</f>
        <v>0</v>
      </c>
      <c r="AW168" s="200"/>
      <c r="AX168" s="294">
        <f>-2538.816+933.553</f>
        <v>-1605.2629999999999</v>
      </c>
      <c r="AY168" s="181">
        <f t="shared" si="630"/>
        <v>6767.0029999999997</v>
      </c>
      <c r="AZ168" s="294">
        <f>0-AY168-AX168</f>
        <v>-5161.74</v>
      </c>
      <c r="BA168" s="200">
        <f t="shared" si="631"/>
        <v>0</v>
      </c>
      <c r="BB168" s="294">
        <f>-10659.103+8600.02</f>
        <v>-2059.0829999999987</v>
      </c>
      <c r="BC168" s="181">
        <f t="shared" si="632"/>
        <v>-13411.589000000002</v>
      </c>
      <c r="BD168" s="294">
        <f>0-BC168-BB168</f>
        <v>15470.672</v>
      </c>
      <c r="BE168" s="200">
        <f t="shared" si="633"/>
        <v>0</v>
      </c>
      <c r="BF168" s="294">
        <f>385.675</f>
        <v>385.67500000000001</v>
      </c>
      <c r="BG168" s="142"/>
      <c r="BH168" s="294"/>
      <c r="BI168" s="294"/>
      <c r="BJ168" s="294"/>
      <c r="BK168" s="200"/>
      <c r="BL168" s="294"/>
      <c r="BM168" s="294"/>
      <c r="BN168" s="145"/>
      <c r="BO168" s="145"/>
      <c r="BP168" s="145"/>
      <c r="BQ168" s="145"/>
      <c r="BR168" s="145"/>
      <c r="BS168" s="145"/>
      <c r="BT168" s="145">
        <v>22997.294000000002</v>
      </c>
      <c r="BU168" s="145">
        <v>0</v>
      </c>
      <c r="BV168" s="145">
        <v>5161.74</v>
      </c>
      <c r="BW168" s="145">
        <v>-15470.672</v>
      </c>
      <c r="BX168" s="145"/>
      <c r="BY168" s="145"/>
      <c r="BZ168" s="145"/>
      <c r="CA168" s="145"/>
      <c r="CB168" s="145"/>
      <c r="CG168" s="260"/>
    </row>
    <row r="169" spans="2:85" s="5" customFormat="1" ht="13.5" customHeight="1">
      <c r="B169" s="7" t="s">
        <v>397</v>
      </c>
      <c r="C169" s="145">
        <v>-29977.748</v>
      </c>
      <c r="D169" s="145">
        <v>29977.748</v>
      </c>
      <c r="E169" s="145">
        <v>0</v>
      </c>
      <c r="F169" s="145">
        <v>0</v>
      </c>
      <c r="G169" s="145">
        <v>0</v>
      </c>
      <c r="H169" s="145">
        <v>0</v>
      </c>
      <c r="I169" s="145">
        <v>0</v>
      </c>
      <c r="J169" s="145">
        <v>0</v>
      </c>
      <c r="K169" s="145">
        <v>0</v>
      </c>
      <c r="L169" s="145">
        <v>0</v>
      </c>
      <c r="M169" s="145">
        <v>0</v>
      </c>
      <c r="N169" s="145">
        <v>0</v>
      </c>
      <c r="O169" s="145">
        <v>0</v>
      </c>
      <c r="P169" s="145">
        <v>0</v>
      </c>
      <c r="Q169" s="145"/>
      <c r="R169" s="145">
        <v>0</v>
      </c>
      <c r="S169" s="6">
        <f>BN169-R169</f>
        <v>0</v>
      </c>
      <c r="T169" s="145">
        <v>0</v>
      </c>
      <c r="U169" s="6">
        <f>E169-T169-S169-R169</f>
        <v>0</v>
      </c>
      <c r="V169" s="145">
        <v>0</v>
      </c>
      <c r="W169" s="6">
        <f>BO169-V169</f>
        <v>0</v>
      </c>
      <c r="X169" s="145">
        <v>0</v>
      </c>
      <c r="Y169" s="6">
        <f>F169-X169-W169-V169</f>
        <v>0</v>
      </c>
      <c r="Z169" s="294">
        <v>0</v>
      </c>
      <c r="AA169" s="181">
        <f>BP169-Z169</f>
        <v>0</v>
      </c>
      <c r="AB169" s="294">
        <f>0-AA169-Z169</f>
        <v>0</v>
      </c>
      <c r="AC169" s="200">
        <f>H169-AB169-AA169-Z169</f>
        <v>0</v>
      </c>
      <c r="AD169" s="294"/>
      <c r="AE169" s="181">
        <f>BQ169-AD169</f>
        <v>0</v>
      </c>
      <c r="AF169" s="294"/>
      <c r="AG169" s="200">
        <f>J169-AF169-AE169-AD169</f>
        <v>0</v>
      </c>
      <c r="AH169" s="294"/>
      <c r="AI169" s="181">
        <f>BR169-AH169</f>
        <v>0</v>
      </c>
      <c r="AJ169" s="294"/>
      <c r="AK169" s="200">
        <f>K169-AJ169-AI169-AH169</f>
        <v>0</v>
      </c>
      <c r="AL169" s="294">
        <v>-25066.816999999999</v>
      </c>
      <c r="AM169" s="181">
        <f>BS169-AL169</f>
        <v>25066.816999999999</v>
      </c>
      <c r="AN169" s="294">
        <v>0</v>
      </c>
      <c r="AO169" s="200">
        <f>L169-AN169-AM169-AL169</f>
        <v>0</v>
      </c>
      <c r="AP169" s="294"/>
      <c r="AQ169" s="181">
        <f>BT169-AP169</f>
        <v>0</v>
      </c>
      <c r="AR169" s="294">
        <v>0</v>
      </c>
      <c r="AS169" s="200">
        <f>M169-AR169-AQ169-AP169</f>
        <v>0</v>
      </c>
      <c r="AT169" s="294"/>
      <c r="AU169" s="181">
        <f t="shared" si="628"/>
        <v>0</v>
      </c>
      <c r="AV169" s="294">
        <f>-4250.134-AT169-AU169</f>
        <v>-4250.134</v>
      </c>
      <c r="AW169" s="200">
        <f t="shared" ref="AW169:AW176" si="634">N169-AV169-AU169-AT169</f>
        <v>4250.134</v>
      </c>
      <c r="AX169" s="294"/>
      <c r="AY169" s="181">
        <f t="shared" si="630"/>
        <v>-19125.096000000001</v>
      </c>
      <c r="AZ169" s="294">
        <f>-8896.832-AX169-AY169</f>
        <v>10228.264000000001</v>
      </c>
      <c r="BA169" s="200">
        <f t="shared" si="631"/>
        <v>8896.8320000000003</v>
      </c>
      <c r="BB169" s="294"/>
      <c r="BC169" s="181">
        <f t="shared" si="632"/>
        <v>-6423.6109999999999</v>
      </c>
      <c r="BD169" s="294">
        <f>8030.138-BB169-BC169</f>
        <v>14453.749</v>
      </c>
      <c r="BE169" s="200">
        <f t="shared" si="633"/>
        <v>-8030.1379999999999</v>
      </c>
      <c r="BF169" s="294">
        <v>4917.7389999999996</v>
      </c>
      <c r="BG169" s="142"/>
      <c r="BH169" s="294"/>
      <c r="BI169" s="294"/>
      <c r="BJ169" s="294"/>
      <c r="BK169" s="200">
        <f>I169-Z169-AB169-AA169</f>
        <v>0</v>
      </c>
      <c r="BL169" s="294"/>
      <c r="BM169" s="294"/>
      <c r="BN169" s="145">
        <v>0</v>
      </c>
      <c r="BO169" s="145">
        <v>0</v>
      </c>
      <c r="BP169" s="145">
        <v>0</v>
      </c>
      <c r="BQ169" s="145"/>
      <c r="BR169" s="145"/>
      <c r="BS169" s="145"/>
      <c r="BT169" s="145"/>
      <c r="BU169" s="145"/>
      <c r="BV169" s="145">
        <v>-19125.096000000001</v>
      </c>
      <c r="BW169" s="145">
        <v>-6423.6109999999999</v>
      </c>
      <c r="BX169" s="145"/>
      <c r="BY169" s="145"/>
      <c r="BZ169" s="145"/>
      <c r="CA169" s="145"/>
      <c r="CB169" s="145"/>
      <c r="CG169" s="260"/>
    </row>
    <row r="170" spans="2:85" s="5" customFormat="1" ht="13.5" customHeight="1">
      <c r="B170" s="7" t="s">
        <v>398</v>
      </c>
      <c r="C170" s="145"/>
      <c r="D170" s="145"/>
      <c r="E170" s="145"/>
      <c r="F170" s="145"/>
      <c r="G170" s="145"/>
      <c r="H170" s="145"/>
      <c r="I170" s="145"/>
      <c r="J170" s="145"/>
      <c r="K170" s="145">
        <v>0</v>
      </c>
      <c r="L170" s="145">
        <v>0</v>
      </c>
      <c r="M170" s="145">
        <v>0</v>
      </c>
      <c r="N170" s="145">
        <v>973.58699999999999</v>
      </c>
      <c r="O170" s="145">
        <v>-7295.5569999999998</v>
      </c>
      <c r="P170" s="145">
        <v>3507.855</v>
      </c>
      <c r="Q170" s="145"/>
      <c r="R170" s="145"/>
      <c r="S170" s="6"/>
      <c r="T170" s="145"/>
      <c r="U170" s="6"/>
      <c r="V170" s="145"/>
      <c r="W170" s="6"/>
      <c r="X170" s="145"/>
      <c r="Y170" s="6"/>
      <c r="Z170" s="294"/>
      <c r="AA170" s="181"/>
      <c r="AB170" s="294"/>
      <c r="AC170" s="200"/>
      <c r="AD170" s="294"/>
      <c r="AE170" s="181"/>
      <c r="AF170" s="294"/>
      <c r="AG170" s="200"/>
      <c r="AH170" s="294"/>
      <c r="AI170" s="181"/>
      <c r="AJ170" s="294"/>
      <c r="AK170" s="200"/>
      <c r="AL170" s="294"/>
      <c r="AM170" s="181"/>
      <c r="AN170" s="294"/>
      <c r="AO170" s="200"/>
      <c r="AP170" s="294"/>
      <c r="AQ170" s="181"/>
      <c r="AR170" s="294"/>
      <c r="AS170" s="200"/>
      <c r="AT170" s="294"/>
      <c r="AU170" s="181"/>
      <c r="AV170" s="294">
        <f>0-AT170-AU170</f>
        <v>0</v>
      </c>
      <c r="AW170" s="200">
        <f t="shared" si="634"/>
        <v>973.58699999999999</v>
      </c>
      <c r="AX170" s="294"/>
      <c r="AY170" s="181"/>
      <c r="AZ170" s="294"/>
      <c r="BA170" s="200">
        <f t="shared" si="631"/>
        <v>-7295.5569999999998</v>
      </c>
      <c r="BB170" s="294"/>
      <c r="BC170" s="181">
        <f t="shared" si="632"/>
        <v>0</v>
      </c>
      <c r="BD170" s="294"/>
      <c r="BE170" s="200">
        <f t="shared" si="633"/>
        <v>3507.855</v>
      </c>
      <c r="BF170" s="294">
        <v>0</v>
      </c>
      <c r="BG170" s="142"/>
      <c r="BH170" s="294"/>
      <c r="BI170" s="294"/>
      <c r="BJ170" s="294"/>
      <c r="BK170" s="200"/>
      <c r="BL170" s="294"/>
      <c r="BM170" s="294"/>
      <c r="BN170" s="145"/>
      <c r="BO170" s="145"/>
      <c r="BP170" s="145"/>
      <c r="BQ170" s="145"/>
      <c r="BR170" s="145"/>
      <c r="BS170" s="145"/>
      <c r="BT170" s="145"/>
      <c r="BU170" s="145"/>
      <c r="BV170" s="145"/>
      <c r="BW170" s="145"/>
      <c r="BX170" s="145"/>
      <c r="BY170" s="145"/>
      <c r="BZ170" s="145"/>
      <c r="CA170" s="145"/>
      <c r="CB170" s="145"/>
      <c r="CG170" s="260"/>
    </row>
    <row r="171" spans="2:85" s="5" customFormat="1" ht="13.5" customHeight="1">
      <c r="B171" s="7" t="s">
        <v>399</v>
      </c>
      <c r="C171" s="145">
        <v>-371398.995</v>
      </c>
      <c r="D171" s="145">
        <v>-426135.989</v>
      </c>
      <c r="E171" s="145">
        <v>-328744.21000000002</v>
      </c>
      <c r="F171" s="145">
        <v>-171296.527</v>
      </c>
      <c r="G171" s="145">
        <v>-171296.527</v>
      </c>
      <c r="H171" s="145">
        <v>-483327.31699999998</v>
      </c>
      <c r="I171" s="145">
        <v>-800498.94299999997</v>
      </c>
      <c r="J171" s="145">
        <v>-979583.57200000004</v>
      </c>
      <c r="K171" s="145">
        <v>399516.16700000002</v>
      </c>
      <c r="L171" s="145">
        <f>-1200636.435-15171.25</f>
        <v>-1215807.6850000001</v>
      </c>
      <c r="M171" s="145">
        <f>-1274707.651+15171.25</f>
        <v>-1259536.4010000001</v>
      </c>
      <c r="N171" s="145">
        <f>-356649.182-10843.808</f>
        <v>-367492.99</v>
      </c>
      <c r="O171" s="145">
        <v>-684392.49199999997</v>
      </c>
      <c r="P171" s="145">
        <v>-1496739.2080000001</v>
      </c>
      <c r="Q171" s="145"/>
      <c r="R171" s="145">
        <v>-72624.152000000002</v>
      </c>
      <c r="S171" s="6">
        <f t="shared" ref="S171:S176" si="635">BN171-R171</f>
        <v>-129954.46400000001</v>
      </c>
      <c r="T171" s="145">
        <f>-182510.366-S171-R171</f>
        <v>20068.25</v>
      </c>
      <c r="U171" s="6">
        <f t="shared" ref="U171:U176" si="636">E171-T171-S171-R171</f>
        <v>-146233.84400000001</v>
      </c>
      <c r="V171" s="145">
        <v>-54077.798999999999</v>
      </c>
      <c r="W171" s="6">
        <f t="shared" ref="W171:W176" si="637">BO171-V171</f>
        <v>-40923.615000000005</v>
      </c>
      <c r="X171" s="145">
        <f>-60927.69-W171-V171</f>
        <v>34073.724000000002</v>
      </c>
      <c r="Y171" s="6">
        <f t="shared" ref="Y171:Y176" si="638">F171-X171-W171-V171</f>
        <v>-110368.837</v>
      </c>
      <c r="Z171" s="294">
        <v>-41864.752</v>
      </c>
      <c r="AA171" s="181">
        <f t="shared" ref="AA171:AA176" si="639">BP171-Z171</f>
        <v>-163462.71299999999</v>
      </c>
      <c r="AB171" s="294">
        <f>-300824.125-AA171-Z171</f>
        <v>-95496.66</v>
      </c>
      <c r="AC171" s="200">
        <f t="shared" ref="AC171:AC176" si="640">H171-AB171-AA171-Z171</f>
        <v>-182503.19200000001</v>
      </c>
      <c r="AD171" s="294">
        <v>-105256.36199999999</v>
      </c>
      <c r="AE171" s="181">
        <f t="shared" ref="AE171:AE176" si="641">BQ171-AD171</f>
        <v>-121545.40700000001</v>
      </c>
      <c r="AF171" s="294">
        <f>-374422.933-AE171-AD171</f>
        <v>-147621.16400000002</v>
      </c>
      <c r="AG171" s="200">
        <f t="shared" ref="AG171:AG176" si="642">J171-AF171-AE171-AD171</f>
        <v>-605160.63900000008</v>
      </c>
      <c r="AH171" s="294">
        <v>-87168.505999999994</v>
      </c>
      <c r="AI171" s="181">
        <f t="shared" ref="AI171:AI176" si="643">BR171-AH171</f>
        <v>350335.94699999999</v>
      </c>
      <c r="AJ171" s="294">
        <f>495436.88-AI171-AH171</f>
        <v>232269.43900000001</v>
      </c>
      <c r="AK171" s="200">
        <f t="shared" ref="AK171:AK176" si="644">K171-AJ171-AI171-AH171</f>
        <v>-95920.712999999989</v>
      </c>
      <c r="AL171" s="294">
        <v>430.57900000000001</v>
      </c>
      <c r="AM171" s="181">
        <f t="shared" ref="AM171:AM176" si="645">BS171-AL171</f>
        <v>-143952.74599999998</v>
      </c>
      <c r="AN171" s="294">
        <f>-543851.458-AM171-AL171</f>
        <v>-400329.29100000003</v>
      </c>
      <c r="AO171" s="200">
        <f t="shared" ref="AO171:AO176" si="646">L171-AN171-AM171-AL171</f>
        <v>-671956.22700000007</v>
      </c>
      <c r="AP171" s="294">
        <v>-551819.64800000004</v>
      </c>
      <c r="AQ171" s="181">
        <f t="shared" ref="AQ171:AQ176" si="647">BT171-AP171</f>
        <v>-677544.19500000007</v>
      </c>
      <c r="AR171" s="294">
        <f>-1244195.237-AQ171-AP171</f>
        <v>-14831.393999999855</v>
      </c>
      <c r="AS171" s="200">
        <f t="shared" ref="AS171:AS176" si="648">M171-AR171-AQ171-AP171</f>
        <v>-15341.164000000106</v>
      </c>
      <c r="AT171" s="294">
        <v>253116.28</v>
      </c>
      <c r="AU171" s="181">
        <f t="shared" ref="AU171:AU176" si="649">BU171-AT171</f>
        <v>-127396.08199999999</v>
      </c>
      <c r="AV171" s="294">
        <f>-20950.777-AU171-AT171</f>
        <v>-146670.97500000001</v>
      </c>
      <c r="AW171" s="200">
        <f t="shared" si="634"/>
        <v>-346542.21299999999</v>
      </c>
      <c r="AX171" s="294">
        <v>-171640.11199999999</v>
      </c>
      <c r="AY171" s="181">
        <f t="shared" ref="AY171:AY176" si="650">BV171-AX171</f>
        <v>135108.97699999998</v>
      </c>
      <c r="AZ171" s="294">
        <f>-12302.622-AY171-AX171</f>
        <v>24228.513000000006</v>
      </c>
      <c r="BA171" s="200">
        <f t="shared" si="631"/>
        <v>-672089.87</v>
      </c>
      <c r="BB171" s="294">
        <v>-139956.31</v>
      </c>
      <c r="BC171" s="181">
        <f t="shared" si="632"/>
        <v>-364510.27500000002</v>
      </c>
      <c r="BD171" s="294">
        <f>-904459.627-BC171-BB171</f>
        <v>-399993.04199999996</v>
      </c>
      <c r="BE171" s="200">
        <f t="shared" si="633"/>
        <v>-592279.58100000024</v>
      </c>
      <c r="BF171" s="294">
        <v>-261498.78</v>
      </c>
      <c r="BG171" s="142"/>
      <c r="BH171" s="294">
        <v>-80952.918999999994</v>
      </c>
      <c r="BI171" s="203">
        <f t="shared" ref="BI171:BI176" si="651">BY171-BH171</f>
        <v>-241646.19900000002</v>
      </c>
      <c r="BJ171" s="294">
        <f>-404052.212-BI171-BH171</f>
        <v>-81453.093999999983</v>
      </c>
      <c r="BK171" s="200">
        <f t="shared" ref="BK171:BK176" si="652">I171-Z171-AB171-AA171</f>
        <v>-499674.81799999997</v>
      </c>
      <c r="BL171" s="294">
        <v>-105256.36199999999</v>
      </c>
      <c r="BM171" s="294"/>
      <c r="BN171" s="145">
        <v>-202578.61600000001</v>
      </c>
      <c r="BO171" s="145">
        <v>-95001.414000000004</v>
      </c>
      <c r="BP171" s="145">
        <v>-205327.465</v>
      </c>
      <c r="BQ171" s="145">
        <v>-226801.769</v>
      </c>
      <c r="BR171" s="145">
        <v>263167.44099999999</v>
      </c>
      <c r="BS171" s="145">
        <v>-143522.16699999999</v>
      </c>
      <c r="BT171" s="145">
        <v>-1229363.8430000001</v>
      </c>
      <c r="BU171" s="145">
        <v>125720.198</v>
      </c>
      <c r="BV171" s="145">
        <v>-36531.135000000002</v>
      </c>
      <c r="BW171" s="145">
        <v>-504466.58500000002</v>
      </c>
      <c r="BX171" s="145"/>
      <c r="BY171" s="145">
        <v>-322599.11800000002</v>
      </c>
      <c r="BZ171" s="145">
        <v>-226801.769</v>
      </c>
      <c r="CA171" s="145"/>
      <c r="CB171" s="145"/>
      <c r="CG171" s="260"/>
    </row>
    <row r="172" spans="2:85" s="5" customFormat="1" ht="13.5" customHeight="1">
      <c r="B172" s="7" t="s">
        <v>400</v>
      </c>
      <c r="C172" s="145">
        <v>32388.06</v>
      </c>
      <c r="D172" s="145">
        <v>-19399.412</v>
      </c>
      <c r="E172" s="145">
        <v>17632.999</v>
      </c>
      <c r="F172" s="145">
        <v>-18892.460999999999</v>
      </c>
      <c r="G172" s="145">
        <v>-18892.460999999999</v>
      </c>
      <c r="H172" s="145">
        <v>-63143.345000000001</v>
      </c>
      <c r="I172" s="145">
        <v>-63143.345000000001</v>
      </c>
      <c r="J172" s="145">
        <v>17132.814999999999</v>
      </c>
      <c r="K172" s="145">
        <v>-35624.165999999997</v>
      </c>
      <c r="L172" s="145">
        <v>101031.31200000001</v>
      </c>
      <c r="M172" s="145">
        <v>4723.62</v>
      </c>
      <c r="N172" s="145">
        <v>-86469.316000000006</v>
      </c>
      <c r="O172" s="145">
        <v>37876.983</v>
      </c>
      <c r="P172" s="145">
        <v>42245.887999999999</v>
      </c>
      <c r="Q172" s="145"/>
      <c r="R172" s="145">
        <v>-15254.522000000001</v>
      </c>
      <c r="S172" s="6">
        <f t="shared" si="635"/>
        <v>-20963.872999999996</v>
      </c>
      <c r="T172" s="145">
        <f>-65218.511-S172-R172</f>
        <v>-29000.116000000005</v>
      </c>
      <c r="U172" s="6">
        <f t="shared" si="636"/>
        <v>82851.509999999995</v>
      </c>
      <c r="V172" s="145">
        <v>2434.5830000000001</v>
      </c>
      <c r="W172" s="6">
        <f t="shared" si="637"/>
        <v>-5873.2219999999998</v>
      </c>
      <c r="X172" s="145">
        <f>-41914.93-W172-V172</f>
        <v>-38476.290999999997</v>
      </c>
      <c r="Y172" s="6">
        <f t="shared" si="638"/>
        <v>23022.468999999997</v>
      </c>
      <c r="Z172" s="294">
        <v>-4461.0820000000003</v>
      </c>
      <c r="AA172" s="181">
        <f t="shared" si="639"/>
        <v>-86733.345000000001</v>
      </c>
      <c r="AB172" s="294">
        <f>-13060.367-AA172-Z172</f>
        <v>78134.06</v>
      </c>
      <c r="AC172" s="200">
        <f t="shared" si="640"/>
        <v>-50082.977999999996</v>
      </c>
      <c r="AD172" s="294">
        <v>-140253.46100000001</v>
      </c>
      <c r="AE172" s="181">
        <f t="shared" si="641"/>
        <v>92783.920000000013</v>
      </c>
      <c r="AF172" s="294">
        <f>-164213.478-AE172-AD172</f>
        <v>-116743.93700000001</v>
      </c>
      <c r="AG172" s="200">
        <f t="shared" si="642"/>
        <v>181346.29300000001</v>
      </c>
      <c r="AH172" s="294">
        <v>23347.069</v>
      </c>
      <c r="AI172" s="181">
        <f t="shared" si="643"/>
        <v>16689.757000000001</v>
      </c>
      <c r="AJ172" s="294">
        <f>-4457.399-AI172-AH172</f>
        <v>-44494.225000000006</v>
      </c>
      <c r="AK172" s="200">
        <f t="shared" si="644"/>
        <v>-31166.766999999993</v>
      </c>
      <c r="AL172" s="294">
        <v>33289.163</v>
      </c>
      <c r="AM172" s="181">
        <f t="shared" si="645"/>
        <v>-5277.5149999999994</v>
      </c>
      <c r="AN172" s="294">
        <f>104780.217-AM172-AL172</f>
        <v>76768.569000000003</v>
      </c>
      <c r="AO172" s="200">
        <f t="shared" si="646"/>
        <v>-3748.9049999999988</v>
      </c>
      <c r="AP172" s="294">
        <v>-23813.170999999998</v>
      </c>
      <c r="AQ172" s="181">
        <f t="shared" si="647"/>
        <v>66384.721999999994</v>
      </c>
      <c r="AR172" s="294">
        <f>46090.139-AQ172-AP172</f>
        <v>3518.588000000007</v>
      </c>
      <c r="AS172" s="200">
        <f t="shared" si="648"/>
        <v>-41366.519</v>
      </c>
      <c r="AT172" s="294">
        <v>9932.2610000000004</v>
      </c>
      <c r="AU172" s="181">
        <f t="shared" si="649"/>
        <v>-35164.47</v>
      </c>
      <c r="AV172" s="294">
        <f>-131792.714-AU172-AT172</f>
        <v>-106560.505</v>
      </c>
      <c r="AW172" s="200">
        <f t="shared" si="634"/>
        <v>45323.398000000001</v>
      </c>
      <c r="AX172" s="294">
        <v>45724.417000000001</v>
      </c>
      <c r="AY172" s="181">
        <f t="shared" si="650"/>
        <v>-73798.255999999994</v>
      </c>
      <c r="AZ172" s="294">
        <f>-14143.238-AY172-AX172</f>
        <v>13930.600999999995</v>
      </c>
      <c r="BA172" s="200">
        <f t="shared" si="631"/>
        <v>52020.221000000005</v>
      </c>
      <c r="BB172" s="294">
        <v>86137.697</v>
      </c>
      <c r="BC172" s="181">
        <f t="shared" si="632"/>
        <v>-95478.323000000004</v>
      </c>
      <c r="BD172" s="294">
        <f>30347.48-BC172-BB172</f>
        <v>39688.106</v>
      </c>
      <c r="BE172" s="200">
        <f t="shared" si="633"/>
        <v>11898.40800000001</v>
      </c>
      <c r="BF172" s="294">
        <v>35727.078999999998</v>
      </c>
      <c r="BG172" s="142"/>
      <c r="BH172" s="294">
        <v>-4461.0820000000003</v>
      </c>
      <c r="BI172" s="203">
        <f t="shared" si="651"/>
        <v>-86733.345000000001</v>
      </c>
      <c r="BJ172" s="294">
        <f>-13060.367-BI172-BH172</f>
        <v>78134.06</v>
      </c>
      <c r="BK172" s="200">
        <f t="shared" si="652"/>
        <v>-50082.978000000003</v>
      </c>
      <c r="BL172" s="294">
        <v>-140253.46100000001</v>
      </c>
      <c r="BM172" s="294"/>
      <c r="BN172" s="145">
        <v>-36218.394999999997</v>
      </c>
      <c r="BO172" s="145">
        <v>-3438.6390000000001</v>
      </c>
      <c r="BP172" s="145">
        <v>-91194.426999999996</v>
      </c>
      <c r="BQ172" s="145">
        <v>-47469.540999999997</v>
      </c>
      <c r="BR172" s="145">
        <v>40036.826000000001</v>
      </c>
      <c r="BS172" s="145">
        <v>28011.648000000001</v>
      </c>
      <c r="BT172" s="145">
        <v>42571.550999999999</v>
      </c>
      <c r="BU172" s="145">
        <v>-25232.208999999999</v>
      </c>
      <c r="BV172" s="145">
        <v>-28073.839</v>
      </c>
      <c r="BW172" s="145">
        <v>-9340.6260000000002</v>
      </c>
      <c r="BX172" s="145"/>
      <c r="BY172" s="145">
        <v>-91194.426999999996</v>
      </c>
      <c r="BZ172" s="145">
        <v>-47469.540999999997</v>
      </c>
      <c r="CA172" s="145"/>
      <c r="CB172" s="145"/>
      <c r="CG172" s="260"/>
    </row>
    <row r="173" spans="2:85" s="5" customFormat="1" ht="13.5" customHeight="1">
      <c r="B173" s="7" t="s">
        <v>401</v>
      </c>
      <c r="C173" s="145">
        <v>74182.743000000002</v>
      </c>
      <c r="D173" s="145">
        <v>73171.331000000006</v>
      </c>
      <c r="E173" s="145">
        <v>106006.887</v>
      </c>
      <c r="F173" s="145">
        <v>115453.966</v>
      </c>
      <c r="G173" s="145">
        <v>115453.966</v>
      </c>
      <c r="H173" s="145">
        <v>95927.482999999993</v>
      </c>
      <c r="I173" s="145">
        <v>95927.482999999993</v>
      </c>
      <c r="J173" s="145">
        <v>154943.734</v>
      </c>
      <c r="K173" s="145">
        <v>747524.42299999995</v>
      </c>
      <c r="L173" s="145">
        <v>761121.29799999995</v>
      </c>
      <c r="M173" s="145">
        <v>-627788.20700000005</v>
      </c>
      <c r="N173" s="145">
        <f>6485.45</f>
        <v>6485.45</v>
      </c>
      <c r="O173" s="145">
        <v>499836.44900000002</v>
      </c>
      <c r="P173" s="145">
        <v>441996.12400000001</v>
      </c>
      <c r="Q173" s="145"/>
      <c r="R173" s="145">
        <v>10428.593000000001</v>
      </c>
      <c r="S173" s="6">
        <f t="shared" si="635"/>
        <v>24368.049999999996</v>
      </c>
      <c r="T173" s="145">
        <f>51361.709-S173-R173</f>
        <v>16565.066000000006</v>
      </c>
      <c r="U173" s="6">
        <f t="shared" si="636"/>
        <v>54645.178</v>
      </c>
      <c r="V173" s="145">
        <v>-714.077</v>
      </c>
      <c r="W173" s="6">
        <f t="shared" si="637"/>
        <v>9188.2889999999989</v>
      </c>
      <c r="X173" s="145">
        <f>36371.849-W173-V173</f>
        <v>27897.637000000006</v>
      </c>
      <c r="Y173" s="6">
        <f t="shared" si="638"/>
        <v>79082.116999999998</v>
      </c>
      <c r="Z173" s="294">
        <v>-8493.1610000000001</v>
      </c>
      <c r="AA173" s="181">
        <f t="shared" si="639"/>
        <v>27527.965</v>
      </c>
      <c r="AB173" s="294">
        <f>69862.328-AA173-Z173</f>
        <v>50827.523999999998</v>
      </c>
      <c r="AC173" s="200">
        <f t="shared" si="640"/>
        <v>26065.154999999995</v>
      </c>
      <c r="AD173" s="294">
        <v>29514.264999999999</v>
      </c>
      <c r="AE173" s="181">
        <f t="shared" si="641"/>
        <v>25608.54</v>
      </c>
      <c r="AF173" s="294">
        <f>38574.959-AE173-AD173</f>
        <v>-16547.845999999998</v>
      </c>
      <c r="AG173" s="200">
        <f t="shared" si="642"/>
        <v>116368.77499999998</v>
      </c>
      <c r="AH173" s="294">
        <v>43710.669000000002</v>
      </c>
      <c r="AI173" s="181">
        <f t="shared" si="643"/>
        <v>134755.31200000001</v>
      </c>
      <c r="AJ173" s="294">
        <f>580339.511-AI173-AH173</f>
        <v>401873.53</v>
      </c>
      <c r="AK173" s="200">
        <f t="shared" si="644"/>
        <v>167184.91199999992</v>
      </c>
      <c r="AL173" s="294">
        <v>58179.413</v>
      </c>
      <c r="AM173" s="181">
        <f t="shared" si="645"/>
        <v>395023.24900000001</v>
      </c>
      <c r="AN173" s="294">
        <f>597485.383-AM173-AL173</f>
        <v>144282.72100000002</v>
      </c>
      <c r="AO173" s="200">
        <f t="shared" si="646"/>
        <v>163635.91499999992</v>
      </c>
      <c r="AP173" s="294">
        <v>-180680.973</v>
      </c>
      <c r="AQ173" s="181">
        <f t="shared" si="647"/>
        <v>-60975.361999999994</v>
      </c>
      <c r="AR173" s="294">
        <f>-390397.52-AQ173-AP173</f>
        <v>-148741.18500000006</v>
      </c>
      <c r="AS173" s="200">
        <f t="shared" si="648"/>
        <v>-237390.68700000003</v>
      </c>
      <c r="AT173" s="294">
        <v>-143802.774</v>
      </c>
      <c r="AU173" s="181">
        <f t="shared" si="649"/>
        <v>14489.397000000012</v>
      </c>
      <c r="AV173" s="294">
        <f>-87893.515-AU173-AT173</f>
        <v>41419.861999999994</v>
      </c>
      <c r="AW173" s="200">
        <f t="shared" si="634"/>
        <v>94378.964999999997</v>
      </c>
      <c r="AX173" s="294">
        <v>38236.684000000001</v>
      </c>
      <c r="AY173" s="181">
        <f t="shared" si="650"/>
        <v>217577.245</v>
      </c>
      <c r="AZ173" s="294">
        <f>270784.626-AY173-AX173</f>
        <v>14970.696999999993</v>
      </c>
      <c r="BA173" s="200">
        <f t="shared" si="631"/>
        <v>229051.82300000003</v>
      </c>
      <c r="BB173" s="294">
        <v>-57642.23</v>
      </c>
      <c r="BC173" s="181">
        <f t="shared" si="632"/>
        <v>106034.79000000001</v>
      </c>
      <c r="BD173" s="294">
        <f>229499.459-BC173-BB173</f>
        <v>181106.899</v>
      </c>
      <c r="BE173" s="200">
        <f t="shared" si="633"/>
        <v>212496.66500000001</v>
      </c>
      <c r="BF173" s="294">
        <v>25222.012999999999</v>
      </c>
      <c r="BG173" s="142"/>
      <c r="BH173" s="294">
        <v>-8493.1610000000001</v>
      </c>
      <c r="BI173" s="203">
        <f t="shared" si="651"/>
        <v>27527.965</v>
      </c>
      <c r="BJ173" s="294">
        <f>69862.328-BI173-BH173</f>
        <v>50827.523999999998</v>
      </c>
      <c r="BK173" s="200">
        <f t="shared" si="652"/>
        <v>26065.155000000002</v>
      </c>
      <c r="BL173" s="294">
        <v>29514.264999999999</v>
      </c>
      <c r="BM173" s="294"/>
      <c r="BN173" s="145">
        <v>34796.642999999996</v>
      </c>
      <c r="BO173" s="145">
        <v>8474.2119999999995</v>
      </c>
      <c r="BP173" s="145">
        <v>19034.804</v>
      </c>
      <c r="BQ173" s="145">
        <v>55122.805</v>
      </c>
      <c r="BR173" s="145">
        <v>178465.981</v>
      </c>
      <c r="BS173" s="145">
        <v>453202.66200000001</v>
      </c>
      <c r="BT173" s="145">
        <v>-241656.33499999999</v>
      </c>
      <c r="BU173" s="145">
        <v>-129313.37699999999</v>
      </c>
      <c r="BV173" s="145">
        <v>255813.929</v>
      </c>
      <c r="BW173" s="145">
        <v>48392.56</v>
      </c>
      <c r="BX173" s="145"/>
      <c r="BY173" s="145">
        <v>19034.804</v>
      </c>
      <c r="BZ173" s="145">
        <v>55122.805</v>
      </c>
      <c r="CA173" s="145"/>
      <c r="CB173" s="145"/>
      <c r="CG173" s="260"/>
    </row>
    <row r="174" spans="2:85" s="5" customFormat="1" ht="13.5" customHeight="1">
      <c r="B174" s="7" t="s">
        <v>402</v>
      </c>
      <c r="C174" s="145">
        <v>166881.82199999999</v>
      </c>
      <c r="D174" s="145">
        <v>321176.56099999999</v>
      </c>
      <c r="E174" s="145">
        <v>32652.239000000001</v>
      </c>
      <c r="F174" s="145">
        <v>-23320.615000000002</v>
      </c>
      <c r="G174" s="145">
        <v>-23320.615000000002</v>
      </c>
      <c r="H174" s="145">
        <v>540771.95200000005</v>
      </c>
      <c r="I174" s="145">
        <v>540771.95200000005</v>
      </c>
      <c r="J174" s="145">
        <v>466514.11</v>
      </c>
      <c r="K174" s="145">
        <v>-620906.87399999995</v>
      </c>
      <c r="L174" s="145">
        <v>9213.2360000000008</v>
      </c>
      <c r="M174" s="145">
        <v>1147759.0009999999</v>
      </c>
      <c r="N174" s="145">
        <f>287921.087</f>
        <v>287921.087</v>
      </c>
      <c r="O174" s="145">
        <v>-452202.62699999998</v>
      </c>
      <c r="P174" s="145">
        <v>69996.754000000001</v>
      </c>
      <c r="Q174" s="145"/>
      <c r="R174" s="145">
        <v>35748.512999999999</v>
      </c>
      <c r="S174" s="6">
        <f t="shared" si="635"/>
        <v>32538.974999999999</v>
      </c>
      <c r="T174" s="145">
        <f>12480.256-S174-R174</f>
        <v>-55807.231999999996</v>
      </c>
      <c r="U174" s="6">
        <f t="shared" si="636"/>
        <v>20171.982999999993</v>
      </c>
      <c r="V174" s="145">
        <v>155281.79199999999</v>
      </c>
      <c r="W174" s="6">
        <f t="shared" si="637"/>
        <v>32176.519</v>
      </c>
      <c r="X174" s="145">
        <f>-1208.172-W174-V174</f>
        <v>-188666.48299999998</v>
      </c>
      <c r="Y174" s="6">
        <f t="shared" si="638"/>
        <v>-22112.442999999999</v>
      </c>
      <c r="Z174" s="294">
        <v>48311.78</v>
      </c>
      <c r="AA174" s="181">
        <f t="shared" si="639"/>
        <v>183928.027</v>
      </c>
      <c r="AB174" s="294">
        <f>229089.485-AA174-Z174</f>
        <v>-3150.3220000000147</v>
      </c>
      <c r="AC174" s="200">
        <f t="shared" si="640"/>
        <v>311682.46700000006</v>
      </c>
      <c r="AD174" s="294">
        <v>-29888.153999999999</v>
      </c>
      <c r="AE174" s="181">
        <f t="shared" si="641"/>
        <v>161634.32400000002</v>
      </c>
      <c r="AF174" s="294">
        <f>100613.814-AE174-AD174</f>
        <v>-31132.356000000025</v>
      </c>
      <c r="AG174" s="200">
        <f t="shared" si="642"/>
        <v>365900.29599999997</v>
      </c>
      <c r="AH174" s="294">
        <v>507336.897</v>
      </c>
      <c r="AI174" s="181">
        <f t="shared" si="643"/>
        <v>-380550.44299999997</v>
      </c>
      <c r="AJ174" s="294">
        <f>-315896.958-AI174-AH174</f>
        <v>-442683.41200000001</v>
      </c>
      <c r="AK174" s="200">
        <f t="shared" si="644"/>
        <v>-305009.91599999997</v>
      </c>
      <c r="AL174" s="294">
        <v>-153692.32199999999</v>
      </c>
      <c r="AM174" s="181">
        <f t="shared" si="645"/>
        <v>-170734.37</v>
      </c>
      <c r="AN174" s="294">
        <f>-343520.493-AM174-AL174</f>
        <v>-19093.801000000036</v>
      </c>
      <c r="AO174" s="200">
        <f t="shared" si="646"/>
        <v>352733.72900000005</v>
      </c>
      <c r="AP174" s="294">
        <v>624163.02099999995</v>
      </c>
      <c r="AQ174" s="181">
        <f t="shared" si="647"/>
        <v>343257.05800000008</v>
      </c>
      <c r="AR174" s="294">
        <f>1179838.437-AQ174-AP174</f>
        <v>212418.35799999989</v>
      </c>
      <c r="AS174" s="200">
        <f t="shared" si="648"/>
        <v>-32079.435999999987</v>
      </c>
      <c r="AT174" s="294">
        <v>-16419.259999999998</v>
      </c>
      <c r="AU174" s="181">
        <f t="shared" si="649"/>
        <v>269835.25299999997</v>
      </c>
      <c r="AV174" s="294">
        <f>475096.429-AU174-AT174</f>
        <v>221680.43600000005</v>
      </c>
      <c r="AW174" s="200">
        <f t="shared" si="634"/>
        <v>-187175.342</v>
      </c>
      <c r="AX174" s="294">
        <v>37227.353000000003</v>
      </c>
      <c r="AY174" s="181">
        <f t="shared" si="650"/>
        <v>-329076.25199999998</v>
      </c>
      <c r="AZ174" s="294">
        <f>-599964.023-AY174-AX174</f>
        <v>-308115.12400000007</v>
      </c>
      <c r="BA174" s="200">
        <f t="shared" si="631"/>
        <v>147761.39600000007</v>
      </c>
      <c r="BB174" s="294">
        <v>106461.912</v>
      </c>
      <c r="BC174" s="181">
        <f t="shared" si="632"/>
        <v>102292.93500000001</v>
      </c>
      <c r="BD174" s="294">
        <f>293362.839-BC174-BB174</f>
        <v>84607.991999999984</v>
      </c>
      <c r="BE174" s="200">
        <f t="shared" si="633"/>
        <v>-223366.08499999999</v>
      </c>
      <c r="BF174" s="294">
        <v>307761.52899999998</v>
      </c>
      <c r="BG174" s="142"/>
      <c r="BH174" s="294">
        <v>48311.78</v>
      </c>
      <c r="BI174" s="203">
        <f t="shared" si="651"/>
        <v>183928.027</v>
      </c>
      <c r="BJ174" s="294">
        <f>229089.485-BI174-BH174</f>
        <v>-3150.3220000000147</v>
      </c>
      <c r="BK174" s="200">
        <f t="shared" si="652"/>
        <v>311682.46700000006</v>
      </c>
      <c r="BL174" s="294">
        <v>-29888.153999999999</v>
      </c>
      <c r="BM174" s="294"/>
      <c r="BN174" s="145">
        <v>68287.487999999998</v>
      </c>
      <c r="BO174" s="145">
        <v>187458.31099999999</v>
      </c>
      <c r="BP174" s="145">
        <v>232239.807</v>
      </c>
      <c r="BQ174" s="145">
        <v>131746.17000000001</v>
      </c>
      <c r="BR174" s="145">
        <v>126786.454</v>
      </c>
      <c r="BS174" s="145">
        <v>-324426.69199999998</v>
      </c>
      <c r="BT174" s="145">
        <v>967420.07900000003</v>
      </c>
      <c r="BU174" s="145">
        <v>253415.99299999999</v>
      </c>
      <c r="BV174" s="145">
        <v>-291848.89899999998</v>
      </c>
      <c r="BW174" s="145">
        <v>208754.84700000001</v>
      </c>
      <c r="BX174" s="145"/>
      <c r="BY174" s="145">
        <v>232239.807</v>
      </c>
      <c r="BZ174" s="145">
        <v>131746.17000000001</v>
      </c>
      <c r="CA174" s="145"/>
      <c r="CB174" s="145"/>
      <c r="CG174" s="260"/>
    </row>
    <row r="175" spans="2:85" s="5" customFormat="1" ht="13.5" customHeight="1">
      <c r="B175" s="7" t="s">
        <v>403</v>
      </c>
      <c r="C175" s="145">
        <v>19909.293000000001</v>
      </c>
      <c r="D175" s="145">
        <v>22790.29</v>
      </c>
      <c r="E175" s="145">
        <v>26838.809000000001</v>
      </c>
      <c r="F175" s="145">
        <v>-35332.205000000002</v>
      </c>
      <c r="G175" s="145">
        <v>-35332.205000000002</v>
      </c>
      <c r="H175" s="145">
        <v>-2676.183</v>
      </c>
      <c r="I175" s="145">
        <v>-2676.183</v>
      </c>
      <c r="J175" s="145">
        <v>75986.826000000001</v>
      </c>
      <c r="K175" s="145">
        <v>19423.687000000002</v>
      </c>
      <c r="L175" s="145">
        <v>174981.37</v>
      </c>
      <c r="M175" s="145">
        <v>-11273.44</v>
      </c>
      <c r="N175" s="145">
        <v>-48503.853999999999</v>
      </c>
      <c r="O175" s="145">
        <v>-228046.23699999999</v>
      </c>
      <c r="P175" s="145">
        <v>71603.839999999997</v>
      </c>
      <c r="Q175" s="145"/>
      <c r="R175" s="145">
        <v>-1198.326</v>
      </c>
      <c r="S175" s="6">
        <f t="shared" si="635"/>
        <v>-934.34000000000015</v>
      </c>
      <c r="T175" s="145">
        <f>-12040.203-S175-R175</f>
        <v>-9907.5370000000003</v>
      </c>
      <c r="U175" s="6">
        <f t="shared" si="636"/>
        <v>38879.012000000002</v>
      </c>
      <c r="V175" s="145">
        <v>-46167.302000000003</v>
      </c>
      <c r="W175" s="6">
        <f t="shared" si="637"/>
        <v>-3529.8359999999957</v>
      </c>
      <c r="X175" s="145">
        <f>-69202.713-W175-V175</f>
        <v>-19505.575000000004</v>
      </c>
      <c r="Y175" s="6">
        <f t="shared" si="638"/>
        <v>33870.508000000002</v>
      </c>
      <c r="Z175" s="294">
        <v>-5004.7160000000003</v>
      </c>
      <c r="AA175" s="181">
        <f t="shared" si="639"/>
        <v>13936.753000000001</v>
      </c>
      <c r="AB175" s="294">
        <f>-26668.038-AA175-Z175</f>
        <v>-35600.074999999997</v>
      </c>
      <c r="AC175" s="200">
        <f t="shared" si="640"/>
        <v>23991.855</v>
      </c>
      <c r="AD175" s="294">
        <v>-22481.137999999999</v>
      </c>
      <c r="AE175" s="181">
        <f t="shared" si="641"/>
        <v>731.75699999999779</v>
      </c>
      <c r="AF175" s="294">
        <f>-17611.924-AE175-AD175</f>
        <v>4137.4570000000022</v>
      </c>
      <c r="AG175" s="200">
        <f t="shared" si="642"/>
        <v>93598.75</v>
      </c>
      <c r="AH175" s="294">
        <v>-61244.817000000003</v>
      </c>
      <c r="AI175" s="181">
        <f t="shared" si="643"/>
        <v>57764.43</v>
      </c>
      <c r="AJ175" s="294">
        <f>-11118.548-AI175-AH175</f>
        <v>-7638.1610000000001</v>
      </c>
      <c r="AK175" s="200">
        <f t="shared" si="644"/>
        <v>30542.235000000004</v>
      </c>
      <c r="AL175" s="294">
        <v>-10919.825000000001</v>
      </c>
      <c r="AM175" s="181">
        <f t="shared" si="645"/>
        <v>7219.9140000000007</v>
      </c>
      <c r="AN175" s="294">
        <f>107941.558-AM175-AL175</f>
        <v>111641.469</v>
      </c>
      <c r="AO175" s="200">
        <f t="shared" si="646"/>
        <v>67039.811999999991</v>
      </c>
      <c r="AP175" s="294">
        <v>-62780.163999999997</v>
      </c>
      <c r="AQ175" s="181">
        <f t="shared" si="647"/>
        <v>39316.804999999993</v>
      </c>
      <c r="AR175" s="294">
        <f>-88416.126-AQ175-AP175</f>
        <v>-64952.767</v>
      </c>
      <c r="AS175" s="200">
        <f t="shared" si="648"/>
        <v>77142.686000000002</v>
      </c>
      <c r="AT175" s="294">
        <v>-121348.66899999999</v>
      </c>
      <c r="AU175" s="181">
        <f t="shared" si="649"/>
        <v>5433.2429999999877</v>
      </c>
      <c r="AV175" s="294">
        <f>-106712.877-AU175-AT175</f>
        <v>9202.5490000000136</v>
      </c>
      <c r="AW175" s="200">
        <f t="shared" si="634"/>
        <v>58209.022999999994</v>
      </c>
      <c r="AX175" s="294">
        <v>930.48199999999997</v>
      </c>
      <c r="AY175" s="181">
        <f t="shared" si="650"/>
        <v>-183998.25199999998</v>
      </c>
      <c r="AZ175" s="294">
        <f>-226898.795-AY175-AX175</f>
        <v>-43831.025000000038</v>
      </c>
      <c r="BA175" s="200">
        <f t="shared" si="631"/>
        <v>-1147.4419999999627</v>
      </c>
      <c r="BB175" s="294">
        <v>77685.364000000001</v>
      </c>
      <c r="BC175" s="181">
        <f t="shared" si="632"/>
        <v>-44935.7</v>
      </c>
      <c r="BD175" s="294">
        <f>43523.017-BC175-BB175</f>
        <v>10773.353000000003</v>
      </c>
      <c r="BE175" s="200">
        <f t="shared" si="633"/>
        <v>28080.822999999989</v>
      </c>
      <c r="BF175" s="294">
        <v>-46395.775999999998</v>
      </c>
      <c r="BG175" s="142"/>
      <c r="BH175" s="294">
        <v>-5004.7160000000003</v>
      </c>
      <c r="BI175" s="203">
        <f t="shared" si="651"/>
        <v>13936.753000000001</v>
      </c>
      <c r="BJ175" s="294">
        <f>-26668.038-BI175-BH175</f>
        <v>-35600.074999999997</v>
      </c>
      <c r="BK175" s="200">
        <f t="shared" si="652"/>
        <v>23991.855</v>
      </c>
      <c r="BL175" s="294">
        <v>-22481.137999999999</v>
      </c>
      <c r="BM175" s="294"/>
      <c r="BN175" s="145">
        <v>-2132.6660000000002</v>
      </c>
      <c r="BO175" s="145">
        <v>-49697.137999999999</v>
      </c>
      <c r="BP175" s="145">
        <v>8932.0370000000003</v>
      </c>
      <c r="BQ175" s="145">
        <v>-21749.381000000001</v>
      </c>
      <c r="BR175" s="145">
        <v>-3480.3870000000002</v>
      </c>
      <c r="BS175" s="145">
        <v>-3699.9110000000001</v>
      </c>
      <c r="BT175" s="145">
        <v>-23463.359</v>
      </c>
      <c r="BU175" s="145">
        <v>-115915.42600000001</v>
      </c>
      <c r="BV175" s="145">
        <v>-183067.77</v>
      </c>
      <c r="BW175" s="145">
        <v>32749.664000000001</v>
      </c>
      <c r="BX175" s="145"/>
      <c r="BY175" s="145">
        <v>8932.0370000000003</v>
      </c>
      <c r="BZ175" s="145">
        <v>-21749.381000000001</v>
      </c>
      <c r="CA175" s="145"/>
      <c r="CB175" s="145"/>
      <c r="CG175" s="260"/>
    </row>
    <row r="176" spans="2:85" s="5" customFormat="1" ht="13.5" customHeight="1">
      <c r="B176" s="7" t="s">
        <v>404</v>
      </c>
      <c r="C176" s="145">
        <v>-16237.18</v>
      </c>
      <c r="D176" s="145">
        <v>-29894.798999999999</v>
      </c>
      <c r="E176" s="145">
        <v>-34627.745999999999</v>
      </c>
      <c r="F176" s="145">
        <v>-20717.616999999998</v>
      </c>
      <c r="G176" s="145">
        <v>-20717.616999999998</v>
      </c>
      <c r="H176" s="145">
        <v>-67960.201000000001</v>
      </c>
      <c r="I176" s="145">
        <v>51104.163</v>
      </c>
      <c r="J176" s="145">
        <v>-39500.188000000002</v>
      </c>
      <c r="K176" s="145">
        <v>172698.136</v>
      </c>
      <c r="L176" s="145">
        <v>-214690.024</v>
      </c>
      <c r="M176" s="145">
        <v>-128890.65399999999</v>
      </c>
      <c r="N176" s="145">
        <f>69955.464</f>
        <v>69955.464000000007</v>
      </c>
      <c r="O176" s="145">
        <v>133208.967</v>
      </c>
      <c r="P176" s="145">
        <v>87505.182000000001</v>
      </c>
      <c r="Q176" s="145"/>
      <c r="R176" s="145">
        <v>-22739.327000000001</v>
      </c>
      <c r="S176" s="6">
        <f t="shared" si="635"/>
        <v>10232.161000000002</v>
      </c>
      <c r="T176" s="145">
        <f>-35054.669-S176-R176</f>
        <v>-22547.503000000001</v>
      </c>
      <c r="U176" s="6">
        <f t="shared" si="636"/>
        <v>426.92299999999886</v>
      </c>
      <c r="V176" s="145">
        <v>-6434.277</v>
      </c>
      <c r="W176" s="6">
        <f t="shared" si="637"/>
        <v>3850.0650000000001</v>
      </c>
      <c r="X176" s="145">
        <f>-5915.342-W176-V176</f>
        <v>-3331.1299999999992</v>
      </c>
      <c r="Y176" s="6">
        <f t="shared" si="638"/>
        <v>-14802.275</v>
      </c>
      <c r="Z176" s="294">
        <v>-9742.1139999999996</v>
      </c>
      <c r="AA176" s="181">
        <f t="shared" si="639"/>
        <v>10382.413999999999</v>
      </c>
      <c r="AB176" s="294">
        <f>-9672.78-AA176-Z176</f>
        <v>-10313.08</v>
      </c>
      <c r="AC176" s="200">
        <f t="shared" si="640"/>
        <v>-58287.421000000002</v>
      </c>
      <c r="AD176" s="294">
        <v>-87557.275999999998</v>
      </c>
      <c r="AE176" s="181">
        <f t="shared" si="641"/>
        <v>46306.187999999995</v>
      </c>
      <c r="AF176" s="294">
        <f>-62342.497-AE176-AD176</f>
        <v>-21091.409</v>
      </c>
      <c r="AG176" s="200">
        <f t="shared" si="642"/>
        <v>22842.309000000001</v>
      </c>
      <c r="AH176" s="294">
        <v>-68159.199999999997</v>
      </c>
      <c r="AI176" s="181">
        <f t="shared" si="643"/>
        <v>17823.656999999999</v>
      </c>
      <c r="AJ176" s="294">
        <f>-43630.138-AI176-AH176</f>
        <v>6705.4049999999988</v>
      </c>
      <c r="AK176" s="200">
        <f t="shared" si="644"/>
        <v>216328.27399999998</v>
      </c>
      <c r="AL176" s="294">
        <v>-114145.689</v>
      </c>
      <c r="AM176" s="181">
        <f t="shared" si="645"/>
        <v>-43970.451000000015</v>
      </c>
      <c r="AN176" s="294">
        <f>-279292.217-AM176-AL176</f>
        <v>-121176.077</v>
      </c>
      <c r="AO176" s="200">
        <f t="shared" si="646"/>
        <v>64602.193000000014</v>
      </c>
      <c r="AP176" s="294">
        <v>26611.638999999999</v>
      </c>
      <c r="AQ176" s="181">
        <f t="shared" si="647"/>
        <v>-69285.134999999995</v>
      </c>
      <c r="AR176" s="294">
        <f>-159921.039-AQ176-AP176</f>
        <v>-117247.54299999999</v>
      </c>
      <c r="AS176" s="200">
        <f t="shared" si="648"/>
        <v>31030.384999999991</v>
      </c>
      <c r="AT176" s="294">
        <v>-190009.01</v>
      </c>
      <c r="AU176" s="181">
        <f t="shared" si="649"/>
        <v>75497.044000000009</v>
      </c>
      <c r="AV176" s="294">
        <f>-5766.197-AU176-AT176</f>
        <v>108745.769</v>
      </c>
      <c r="AW176" s="200">
        <f t="shared" si="634"/>
        <v>75721.661000000007</v>
      </c>
      <c r="AX176" s="294">
        <v>-19932.393</v>
      </c>
      <c r="AY176" s="181">
        <f t="shared" si="650"/>
        <v>3748.76</v>
      </c>
      <c r="AZ176" s="294">
        <f>146950.977-AY176-AX176</f>
        <v>163134.61000000002</v>
      </c>
      <c r="BA176" s="200">
        <f t="shared" si="631"/>
        <v>-13742.010000000013</v>
      </c>
      <c r="BB176" s="294">
        <v>38646.983</v>
      </c>
      <c r="BC176" s="181">
        <f t="shared" si="632"/>
        <v>25921.788</v>
      </c>
      <c r="BD176" s="294">
        <f>22850.235-BC176-BB176</f>
        <v>-41718.536</v>
      </c>
      <c r="BE176" s="200">
        <f t="shared" si="633"/>
        <v>64654.946999999993</v>
      </c>
      <c r="BF176" s="294">
        <v>-62663.436999999998</v>
      </c>
      <c r="BG176" s="142"/>
      <c r="BH176" s="294">
        <v>-82315.057000000001</v>
      </c>
      <c r="BI176" s="203">
        <f t="shared" si="651"/>
        <v>44448.267</v>
      </c>
      <c r="BJ176" s="294">
        <f>-77111.695-BI176-BH176</f>
        <v>-39244.904999999999</v>
      </c>
      <c r="BK176" s="200">
        <f t="shared" si="652"/>
        <v>60776.943000000007</v>
      </c>
      <c r="BL176" s="294">
        <v>-87557.275999999998</v>
      </c>
      <c r="BM176" s="294"/>
      <c r="BN176" s="145">
        <v>-12507.165999999999</v>
      </c>
      <c r="BO176" s="145">
        <v>-2584.212</v>
      </c>
      <c r="BP176" s="145">
        <v>640.29999999999995</v>
      </c>
      <c r="BQ176" s="145">
        <v>-41251.088000000003</v>
      </c>
      <c r="BR176" s="145">
        <v>-50335.542999999998</v>
      </c>
      <c r="BS176" s="145">
        <v>-158116.14000000001</v>
      </c>
      <c r="BT176" s="145">
        <v>-42673.495999999999</v>
      </c>
      <c r="BU176" s="145">
        <v>-114511.966</v>
      </c>
      <c r="BV176" s="145">
        <v>-16183.633</v>
      </c>
      <c r="BW176" s="145">
        <v>64568.771000000001</v>
      </c>
      <c r="BX176" s="145"/>
      <c r="BY176" s="145">
        <v>-37866.79</v>
      </c>
      <c r="BZ176" s="145">
        <v>-41251.088000000003</v>
      </c>
      <c r="CA176" s="145"/>
      <c r="CB176" s="145"/>
      <c r="CG176" s="260"/>
    </row>
    <row r="177" spans="2:85" s="5" customFormat="1" ht="13.5" customHeight="1">
      <c r="B177" s="16" t="s">
        <v>405</v>
      </c>
      <c r="C177" s="8">
        <f t="shared" ref="C177:H177" si="653">SUM(C159:C176)</f>
        <v>89256.719000000041</v>
      </c>
      <c r="D177" s="8">
        <f t="shared" si="653"/>
        <v>231718.25499999992</v>
      </c>
      <c r="E177" s="8">
        <f t="shared" si="653"/>
        <v>129519.787</v>
      </c>
      <c r="F177" s="8">
        <f t="shared" si="653"/>
        <v>173591.67799999999</v>
      </c>
      <c r="G177" s="8">
        <f t="shared" si="653"/>
        <v>173591.67799999999</v>
      </c>
      <c r="H177" s="8">
        <f t="shared" si="653"/>
        <v>376555.69399999996</v>
      </c>
      <c r="I177" s="8">
        <f t="shared" ref="I177:N177" si="654">SUM(I159:I176)</f>
        <v>545837.30899999989</v>
      </c>
      <c r="J177" s="8">
        <f t="shared" si="654"/>
        <v>457914.48999999993</v>
      </c>
      <c r="K177" s="8">
        <f t="shared" si="654"/>
        <v>1416705.8099999996</v>
      </c>
      <c r="L177" s="8">
        <f t="shared" si="654"/>
        <v>138007.6699999999</v>
      </c>
      <c r="M177" s="8">
        <f>SUM(M159:M176)</f>
        <v>-11350.967000000484</v>
      </c>
      <c r="N177" s="8">
        <f t="shared" si="654"/>
        <v>703000.81599999988</v>
      </c>
      <c r="O177" s="8">
        <f>SUM(O159:O176)</f>
        <v>125098.48100000017</v>
      </c>
      <c r="P177" s="8">
        <f>SUM(P159:P176)</f>
        <v>173340.47100000008</v>
      </c>
      <c r="Q177" s="8"/>
      <c r="R177" s="8">
        <f t="shared" ref="R177:W177" si="655">SUM(R159:R176)</f>
        <v>15258.10999999999</v>
      </c>
      <c r="S177" s="8">
        <f t="shared" si="655"/>
        <v>-8322.8869999999824</v>
      </c>
      <c r="T177" s="8">
        <f t="shared" si="655"/>
        <v>-5770.9629999999888</v>
      </c>
      <c r="U177" s="8">
        <f t="shared" si="655"/>
        <v>128355.52700000003</v>
      </c>
      <c r="V177" s="8">
        <f t="shared" si="655"/>
        <v>130592.34900000002</v>
      </c>
      <c r="W177" s="8">
        <f t="shared" si="655"/>
        <v>79661.095999999961</v>
      </c>
      <c r="X177" s="8">
        <f t="shared" ref="X177:AC177" si="656">SUM(X159:X176)</f>
        <v>-108199.625</v>
      </c>
      <c r="Y177" s="8">
        <f t="shared" si="656"/>
        <v>71537.858000000022</v>
      </c>
      <c r="Z177" s="182">
        <f t="shared" si="656"/>
        <v>51209.479999999967</v>
      </c>
      <c r="AA177" s="182">
        <f t="shared" si="656"/>
        <v>74806.13099999995</v>
      </c>
      <c r="AB177" s="182">
        <f t="shared" si="656"/>
        <v>89304.229999999981</v>
      </c>
      <c r="AC177" s="182">
        <f t="shared" si="656"/>
        <v>161235.85300000006</v>
      </c>
      <c r="AD177" s="141">
        <f t="shared" ref="AD177:AI177" si="657">SUM(AD159:AD176)</f>
        <v>-203554.34600000002</v>
      </c>
      <c r="AE177" s="141">
        <f t="shared" si="657"/>
        <v>336207.26500000013</v>
      </c>
      <c r="AF177" s="141">
        <f t="shared" si="657"/>
        <v>-176962.71400000004</v>
      </c>
      <c r="AG177" s="182">
        <f t="shared" si="657"/>
        <v>502224.2849999998</v>
      </c>
      <c r="AH177" s="141">
        <f t="shared" si="657"/>
        <v>593703.64600000007</v>
      </c>
      <c r="AI177" s="141">
        <f t="shared" si="657"/>
        <v>376182.54499999998</v>
      </c>
      <c r="AJ177" s="141">
        <f t="shared" ref="AJ177:AO177" si="658">SUM(AJ159:AJ176)</f>
        <v>316186.57500000007</v>
      </c>
      <c r="AK177" s="182">
        <f t="shared" si="658"/>
        <v>130633.04399999986</v>
      </c>
      <c r="AL177" s="141">
        <f t="shared" si="658"/>
        <v>-65871.928999999916</v>
      </c>
      <c r="AM177" s="141">
        <f t="shared" si="658"/>
        <v>176309.23499999999</v>
      </c>
      <c r="AN177" s="141">
        <f t="shared" si="658"/>
        <v>-75158.110999999975</v>
      </c>
      <c r="AO177" s="182">
        <f t="shared" si="658"/>
        <v>102728.47499999986</v>
      </c>
      <c r="AP177" s="141">
        <f t="shared" ref="AP177:AU177" si="659">SUM(AP159:AP176)</f>
        <v>-9156.5900000001748</v>
      </c>
      <c r="AQ177" s="141">
        <f t="shared" si="659"/>
        <v>-83626.0459999999</v>
      </c>
      <c r="AR177" s="141">
        <f t="shared" si="659"/>
        <v>66702.169999999882</v>
      </c>
      <c r="AS177" s="182">
        <f t="shared" si="659"/>
        <v>14729.499000000094</v>
      </c>
      <c r="AT177" s="141">
        <f t="shared" si="659"/>
        <v>7891.8399999999674</v>
      </c>
      <c r="AU177" s="141">
        <f t="shared" si="659"/>
        <v>407197.92499999981</v>
      </c>
      <c r="AV177" s="141">
        <f t="shared" ref="AV177:BA177" si="660">SUM(AV159:AV176)</f>
        <v>347940.06600000011</v>
      </c>
      <c r="AW177" s="182">
        <f t="shared" si="660"/>
        <v>-60029.015000000087</v>
      </c>
      <c r="AX177" s="141">
        <f t="shared" si="660"/>
        <v>150193.18499999997</v>
      </c>
      <c r="AY177" s="141">
        <f t="shared" si="660"/>
        <v>-77620.831999999951</v>
      </c>
      <c r="AZ177" s="141">
        <f t="shared" si="660"/>
        <v>89956.018999999811</v>
      </c>
      <c r="BA177" s="182">
        <f t="shared" si="660"/>
        <v>-37429.890999999814</v>
      </c>
      <c r="BB177" s="141">
        <f>SUM(BB159:BB176)</f>
        <v>352784.15699999989</v>
      </c>
      <c r="BC177" s="141">
        <f>SUM(BC159:BC176)</f>
        <v>-7812.0159999999742</v>
      </c>
      <c r="BD177" s="141">
        <f>SUM(BD159:BD176)</f>
        <v>76216.870000000228</v>
      </c>
      <c r="BE177" s="182">
        <f>SUM(BE159:BE176)</f>
        <v>-247848.54000000021</v>
      </c>
      <c r="BF177" s="141">
        <f>SUM(BF159:BF176)</f>
        <v>341452.81099999999</v>
      </c>
      <c r="BG177" s="142"/>
      <c r="BH177" s="141">
        <f>SUM(BH159:BH176)</f>
        <v>28933.619999999981</v>
      </c>
      <c r="BI177" s="141">
        <f>SUM(BI159:BI176)</f>
        <v>110018.639</v>
      </c>
      <c r="BJ177" s="141">
        <f>SUM(BJ159:BJ176)</f>
        <v>137900.80500000002</v>
      </c>
      <c r="BK177" s="182">
        <f>SUM(BK159:BK176)</f>
        <v>330517.46800000028</v>
      </c>
      <c r="BL177" s="141">
        <f>SUM(BL159:BL176)</f>
        <v>-203554.34600000002</v>
      </c>
      <c r="BM177" s="141"/>
      <c r="BN177" s="8">
        <f t="shared" ref="BN177:BS177" si="661">SUM(BN159:BN176)</f>
        <v>6935.2229999999927</v>
      </c>
      <c r="BO177" s="8">
        <f t="shared" si="661"/>
        <v>210253.44499999998</v>
      </c>
      <c r="BP177" s="8">
        <f t="shared" si="661"/>
        <v>126015.61099999995</v>
      </c>
      <c r="BQ177" s="8">
        <f t="shared" si="661"/>
        <v>132652.91899999999</v>
      </c>
      <c r="BR177" s="8">
        <f t="shared" si="661"/>
        <v>969886.19100000011</v>
      </c>
      <c r="BS177" s="55">
        <f t="shared" si="661"/>
        <v>110437.3060000001</v>
      </c>
      <c r="BT177" s="55">
        <f>SUM(BT159:BT176)</f>
        <v>-92782.636000000071</v>
      </c>
      <c r="BU177" s="55">
        <f>SUM(BU159:BU176)</f>
        <v>415089.76500000001</v>
      </c>
      <c r="BV177" s="55">
        <f>SUM(BV159:BV176)</f>
        <v>72572.352999999828</v>
      </c>
      <c r="BW177" s="55">
        <f>SUM(BW159:BW176)</f>
        <v>344972.14100000006</v>
      </c>
      <c r="BX177" s="8"/>
      <c r="BY177" s="8">
        <f>SUM(BY159:BY176)</f>
        <v>138952.25900000005</v>
      </c>
      <c r="BZ177" s="8">
        <f>SUM(BZ159:BZ176)</f>
        <v>132652.91899999999</v>
      </c>
      <c r="CA177" s="8"/>
      <c r="CB177" s="8"/>
      <c r="CG177" s="260"/>
    </row>
    <row r="178" spans="2:85" s="5" customFormat="1" ht="13.5" customHeight="1">
      <c r="B178" s="7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BG178" s="142"/>
      <c r="BH178" s="182"/>
      <c r="BI178" s="182"/>
      <c r="BJ178" s="182"/>
      <c r="BK178" s="182"/>
      <c r="BL178" s="182"/>
      <c r="BM178" s="182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G178" s="260"/>
    </row>
    <row r="179" spans="2:85" s="5" customFormat="1" ht="13.5" customHeight="1">
      <c r="B179" s="7" t="s">
        <v>406</v>
      </c>
      <c r="C179" s="145">
        <v>-2958.9340000000002</v>
      </c>
      <c r="D179" s="145">
        <v>-159135.21299999999</v>
      </c>
      <c r="E179" s="145">
        <v>-141502.57199999999</v>
      </c>
      <c r="F179" s="145">
        <v>-92016.464999999997</v>
      </c>
      <c r="G179" s="145">
        <v>-92016.464999999997</v>
      </c>
      <c r="H179" s="145">
        <v>-1920.2940000000001</v>
      </c>
      <c r="I179" s="145">
        <v>-1920.2940000000001</v>
      </c>
      <c r="J179" s="145">
        <v>148697.22500000001</v>
      </c>
      <c r="K179" s="145">
        <v>-65414.091</v>
      </c>
      <c r="L179" s="145">
        <v>-111301.44500000001</v>
      </c>
      <c r="M179" s="145">
        <v>-31657.49</v>
      </c>
      <c r="N179" s="145">
        <f>43155.054</f>
        <v>43155.053999999996</v>
      </c>
      <c r="O179" s="145">
        <v>283344.609</v>
      </c>
      <c r="P179" s="145">
        <v>-139345.84</v>
      </c>
      <c r="Q179" s="145"/>
      <c r="R179" s="145">
        <v>-25479.71</v>
      </c>
      <c r="S179" s="6">
        <f>BN179-R179</f>
        <v>2799.5689999999995</v>
      </c>
      <c r="T179" s="145">
        <f>-28286.702-S179-R179</f>
        <v>-5606.5610000000015</v>
      </c>
      <c r="U179" s="6">
        <f>E179-T179-S179-R179</f>
        <v>-113215.87</v>
      </c>
      <c r="V179" s="145">
        <v>-114622.36500000001</v>
      </c>
      <c r="W179" s="6">
        <f>BO179-V179</f>
        <v>-16440.929999999993</v>
      </c>
      <c r="X179" s="145">
        <f>-43939.481-W179-V179</f>
        <v>87123.813999999998</v>
      </c>
      <c r="Y179" s="6">
        <f>F179-X179-W179-V179</f>
        <v>-48076.983999999982</v>
      </c>
      <c r="Z179" s="294">
        <v>11503.17</v>
      </c>
      <c r="AA179" s="181">
        <f>BP179-Z179</f>
        <v>-10353.326999999999</v>
      </c>
      <c r="AB179" s="294">
        <f>14464.882-AA179-Z179</f>
        <v>13315.038999999999</v>
      </c>
      <c r="AC179" s="200">
        <f>H179-AB179-AA179-Z179</f>
        <v>-16385.175999999999</v>
      </c>
      <c r="AD179" s="294">
        <v>199602.83100000001</v>
      </c>
      <c r="AE179" s="181">
        <f>BQ179-AD179</f>
        <v>-48925.562999999995</v>
      </c>
      <c r="AF179" s="294">
        <f>256550.842-AE179-AD179</f>
        <v>105873.57400000002</v>
      </c>
      <c r="AG179" s="200">
        <f>J179-AF179-AE179-AD179</f>
        <v>-107853.61700000003</v>
      </c>
      <c r="AH179" s="294">
        <v>-12723.132</v>
      </c>
      <c r="AI179" s="181">
        <f>BR179-AH179</f>
        <v>44246.438000000002</v>
      </c>
      <c r="AJ179" s="294">
        <f>-10485.804-AI179-AH179</f>
        <v>-42009.11</v>
      </c>
      <c r="AK179" s="200">
        <f>K179-AJ179-AI179-AH179</f>
        <v>-54928.286999999997</v>
      </c>
      <c r="AL179" s="294">
        <v>61929.61</v>
      </c>
      <c r="AM179" s="181">
        <f>BS179-AL179</f>
        <v>39880.126999999993</v>
      </c>
      <c r="AN179" s="294">
        <f>-146562.119-AM179-AL179</f>
        <v>-248371.85599999997</v>
      </c>
      <c r="AO179" s="200">
        <f>L179-AN179-AM179-AL179</f>
        <v>35260.67399999997</v>
      </c>
      <c r="AP179" s="294">
        <v>211566.736</v>
      </c>
      <c r="AQ179" s="181">
        <f>BT179-AP179</f>
        <v>-174266.16100000002</v>
      </c>
      <c r="AR179" s="294">
        <f>239614.134-AQ179-AP179</f>
        <v>202313.55900000004</v>
      </c>
      <c r="AS179" s="200">
        <f>M179-AR179-AQ179-AP179</f>
        <v>-271271.62400000001</v>
      </c>
      <c r="AT179" s="294">
        <v>133070.435</v>
      </c>
      <c r="AU179" s="181">
        <f>BU179-AT179</f>
        <v>28143.934999999998</v>
      </c>
      <c r="AV179" s="294">
        <f>88971.869-AU179-AT179</f>
        <v>-72242.500999999989</v>
      </c>
      <c r="AW179" s="200">
        <f>N179-AV179-AU179-AT179</f>
        <v>-45816.815000000002</v>
      </c>
      <c r="AX179" s="294">
        <v>222912.62299999999</v>
      </c>
      <c r="AY179" s="181">
        <f>BV179-AX179</f>
        <v>73481.710999999981</v>
      </c>
      <c r="AZ179" s="294">
        <f>334733.344-AY179-AX179</f>
        <v>38339.010000000009</v>
      </c>
      <c r="BA179" s="200">
        <f>O179-AZ179-AY179-AX179</f>
        <v>-51388.734999999986</v>
      </c>
      <c r="BB179" s="294">
        <v>-26371.315999999999</v>
      </c>
      <c r="BC179" s="181">
        <f>BW179-BB179</f>
        <v>-20304.455999999998</v>
      </c>
      <c r="BD179" s="294">
        <f>-75894.054-BC179-BB179</f>
        <v>-29218.282000000007</v>
      </c>
      <c r="BE179" s="200">
        <f>P179-BD179-BC179-BB179</f>
        <v>-63451.785999999986</v>
      </c>
      <c r="BF179" s="294">
        <v>-42307.684000000001</v>
      </c>
      <c r="BG179" s="142"/>
      <c r="BH179" s="294">
        <v>11503.17</v>
      </c>
      <c r="BI179" s="203">
        <f>BY179-BH179</f>
        <v>-10353.326999999999</v>
      </c>
      <c r="BJ179" s="294">
        <f>14464.882-BI179-BH179</f>
        <v>13315.038999999999</v>
      </c>
      <c r="BK179" s="200">
        <f>I179-Z179-AB179-AA179</f>
        <v>-16385.175999999999</v>
      </c>
      <c r="BL179" s="294">
        <v>199602.83100000001</v>
      </c>
      <c r="BM179" s="294"/>
      <c r="BN179" s="145">
        <v>-22680.141</v>
      </c>
      <c r="BO179" s="145">
        <v>-131063.295</v>
      </c>
      <c r="BP179" s="145">
        <v>1149.8430000000001</v>
      </c>
      <c r="BQ179" s="145">
        <v>150677.26800000001</v>
      </c>
      <c r="BR179" s="145">
        <v>31523.306</v>
      </c>
      <c r="BS179" s="145">
        <v>101809.73699999999</v>
      </c>
      <c r="BT179" s="145">
        <v>37300.574999999997</v>
      </c>
      <c r="BU179" s="145">
        <v>161214.37</v>
      </c>
      <c r="BV179" s="145">
        <v>296394.33399999997</v>
      </c>
      <c r="BW179" s="145">
        <v>-46675.771999999997</v>
      </c>
      <c r="BX179" s="145"/>
      <c r="BY179" s="145">
        <v>1149.8430000000001</v>
      </c>
      <c r="BZ179" s="145">
        <v>150677.26800000001</v>
      </c>
      <c r="CA179" s="145"/>
      <c r="CB179" s="145"/>
      <c r="CG179" s="260"/>
    </row>
    <row r="180" spans="2:85" s="5" customFormat="1" ht="13.5" customHeight="1">
      <c r="B180" s="7" t="s">
        <v>407</v>
      </c>
      <c r="C180" s="145">
        <v>-20735.628000000001</v>
      </c>
      <c r="D180" s="145">
        <v>-26394.008999999998</v>
      </c>
      <c r="E180" s="145">
        <v>-30982.298999999999</v>
      </c>
      <c r="F180" s="145">
        <v>-33890.114999999998</v>
      </c>
      <c r="G180" s="145">
        <v>-33890.114999999998</v>
      </c>
      <c r="H180" s="145">
        <v>-33036.205000000002</v>
      </c>
      <c r="I180" s="145">
        <v>-33036.205000000002</v>
      </c>
      <c r="J180" s="145">
        <v>-30574.835999999999</v>
      </c>
      <c r="K180" s="145">
        <v>-33982.055999999997</v>
      </c>
      <c r="L180" s="145">
        <v>-25228.3</v>
      </c>
      <c r="M180" s="145">
        <v>-17133.417000000001</v>
      </c>
      <c r="N180" s="145">
        <v>-17918.148000000001</v>
      </c>
      <c r="O180" s="145">
        <v>-22102.329000000002</v>
      </c>
      <c r="P180" s="145">
        <v>-30553.663</v>
      </c>
      <c r="Q180" s="145"/>
      <c r="R180" s="145">
        <v>-5234.0940000000001</v>
      </c>
      <c r="S180" s="6">
        <f>BN180-R180</f>
        <v>-7338.2190000000001</v>
      </c>
      <c r="T180" s="145">
        <f>-20478.369-S180-R180</f>
        <v>-7906.0559999999978</v>
      </c>
      <c r="U180" s="6">
        <f>E180-T180-S180-R180</f>
        <v>-10503.93</v>
      </c>
      <c r="V180" s="145">
        <v>-5626.08</v>
      </c>
      <c r="W180" s="6">
        <f>BO180-V180</f>
        <v>-7001.9400000000005</v>
      </c>
      <c r="X180" s="145">
        <f>-20667.355-W180-V180</f>
        <v>-8039.3349999999991</v>
      </c>
      <c r="Y180" s="6">
        <f>F180-X180-W180-V180</f>
        <v>-13222.759999999997</v>
      </c>
      <c r="Z180" s="294">
        <v>-4948.9390000000003</v>
      </c>
      <c r="AA180" s="181">
        <f>BP180-Z180</f>
        <v>-7615.9439999999995</v>
      </c>
      <c r="AB180" s="294">
        <f>-22331.845-AA180-Z180</f>
        <v>-9766.9620000000014</v>
      </c>
      <c r="AC180" s="200">
        <f>H180-AB180-AA180-Z180</f>
        <v>-10704.360000000002</v>
      </c>
      <c r="AD180" s="294">
        <v>-5604.8739999999998</v>
      </c>
      <c r="AE180" s="181">
        <f>BQ180-AD180</f>
        <v>-8048.1669999999995</v>
      </c>
      <c r="AF180" s="294">
        <f>-18574.348-AE180-AD180</f>
        <v>-4921.3070000000025</v>
      </c>
      <c r="AG180" s="200">
        <f>J180-AF180-AE180-AD180</f>
        <v>-12000.487999999994</v>
      </c>
      <c r="AH180" s="294">
        <v>-12360.369000000001</v>
      </c>
      <c r="AI180" s="181">
        <f>BR180-AH180</f>
        <v>-7373.5949999999993</v>
      </c>
      <c r="AJ180" s="294">
        <f>-26456.116-AI180-AH180</f>
        <v>-6722.152</v>
      </c>
      <c r="AK180" s="200">
        <f>K180-AJ180-AI180-AH180</f>
        <v>-7525.9399999999932</v>
      </c>
      <c r="AL180" s="294">
        <v>-5184.1319999999996</v>
      </c>
      <c r="AM180" s="181">
        <f>BS180-AL180</f>
        <v>-7168.2160000000003</v>
      </c>
      <c r="AN180" s="294">
        <f>-19398.614-AM180-AL180</f>
        <v>-7046.2660000000014</v>
      </c>
      <c r="AO180" s="200">
        <f>L180-AN180-AM180-AL180</f>
        <v>-5829.6859999999997</v>
      </c>
      <c r="AP180" s="294">
        <v>-5501.1940000000004</v>
      </c>
      <c r="AQ180" s="181">
        <f>BT180-AP180</f>
        <v>-10309.027999999998</v>
      </c>
      <c r="AR180" s="294">
        <f>-20314.437-AQ180-AP180</f>
        <v>-4504.2150000000029</v>
      </c>
      <c r="AS180" s="200">
        <f>M180-AR180-AQ180-AP180</f>
        <v>3181.0200000000013</v>
      </c>
      <c r="AT180" s="294">
        <v>-3855.2060000000001</v>
      </c>
      <c r="AU180" s="181">
        <f>BU180-AT180</f>
        <v>-6546.134</v>
      </c>
      <c r="AV180" s="294">
        <f>-16082.209-AU180-AT180</f>
        <v>-5680.8690000000006</v>
      </c>
      <c r="AW180" s="200">
        <f>N180-AV180-AU180-AT180</f>
        <v>-1835.9390000000003</v>
      </c>
      <c r="AX180" s="294">
        <v>-2938.489</v>
      </c>
      <c r="AY180" s="181">
        <f>BV180-AX180</f>
        <v>-4582.1080000000002</v>
      </c>
      <c r="AZ180" s="294">
        <f>-10493.42-AY180-AX180</f>
        <v>-2972.8229999999999</v>
      </c>
      <c r="BA180" s="200">
        <f>O180-AZ180-AY180-AX180</f>
        <v>-11608.909000000001</v>
      </c>
      <c r="BB180" s="294">
        <v>-4883.442</v>
      </c>
      <c r="BC180" s="181">
        <f>BW180-BB180</f>
        <v>-8295.7180000000008</v>
      </c>
      <c r="BD180" s="294">
        <f>-19338.19-BC180-BB180</f>
        <v>-6159.0299999999979</v>
      </c>
      <c r="BE180" s="200">
        <f>P180-BD180-BC180-BB180</f>
        <v>-11215.473000000002</v>
      </c>
      <c r="BF180" s="294">
        <v>-26734.974999999999</v>
      </c>
      <c r="BG180" s="142"/>
      <c r="BH180" s="294">
        <v>-4948.9390000000003</v>
      </c>
      <c r="BI180" s="203">
        <f>BY180-BH180</f>
        <v>-7615.9439999999995</v>
      </c>
      <c r="BJ180" s="294">
        <f>-22331.845-BI180-BH180</f>
        <v>-9766.9620000000014</v>
      </c>
      <c r="BK180" s="200">
        <f>I180-Z180-AB180-AA180</f>
        <v>-10704.360000000004</v>
      </c>
      <c r="BL180" s="294">
        <v>-5604.8739999999998</v>
      </c>
      <c r="BM180" s="294"/>
      <c r="BN180" s="145">
        <v>-12572.313</v>
      </c>
      <c r="BO180" s="145">
        <v>-12628.02</v>
      </c>
      <c r="BP180" s="145">
        <v>-12564.883</v>
      </c>
      <c r="BQ180" s="145">
        <v>-13653.040999999999</v>
      </c>
      <c r="BR180" s="145">
        <v>-19733.964</v>
      </c>
      <c r="BS180" s="145">
        <v>-12352.348</v>
      </c>
      <c r="BT180" s="145">
        <v>-15810.222</v>
      </c>
      <c r="BU180" s="145">
        <v>-10401.34</v>
      </c>
      <c r="BV180" s="145">
        <v>-7520.5969999999998</v>
      </c>
      <c r="BW180" s="145">
        <v>-13179.16</v>
      </c>
      <c r="BX180" s="145"/>
      <c r="BY180" s="145">
        <v>-12564.883</v>
      </c>
      <c r="BZ180" s="145">
        <v>-13653.040999999999</v>
      </c>
      <c r="CA180" s="145"/>
      <c r="CB180" s="145"/>
      <c r="CG180" s="260"/>
    </row>
    <row r="181" spans="2:85" s="5" customFormat="1" ht="13.5" customHeight="1">
      <c r="B181" s="7" t="s">
        <v>408</v>
      </c>
      <c r="C181" s="145">
        <v>0</v>
      </c>
      <c r="D181" s="145">
        <v>-819.26300000000003</v>
      </c>
      <c r="E181" s="145">
        <v>0</v>
      </c>
      <c r="F181" s="145">
        <v>0</v>
      </c>
      <c r="G181" s="145">
        <v>0</v>
      </c>
      <c r="H181" s="145">
        <v>0</v>
      </c>
      <c r="I181" s="145">
        <v>0</v>
      </c>
      <c r="J181" s="145">
        <v>0</v>
      </c>
      <c r="K181" s="145">
        <v>0</v>
      </c>
      <c r="L181" s="145">
        <v>0</v>
      </c>
      <c r="M181" s="145">
        <v>0</v>
      </c>
      <c r="N181" s="145">
        <v>0</v>
      </c>
      <c r="O181" s="145">
        <v>0</v>
      </c>
      <c r="P181" s="145">
        <v>0</v>
      </c>
      <c r="Q181" s="145"/>
      <c r="R181" s="145">
        <v>0</v>
      </c>
      <c r="S181" s="6">
        <f>BN181-R181</f>
        <v>0</v>
      </c>
      <c r="T181" s="145">
        <v>0</v>
      </c>
      <c r="U181" s="6">
        <f>E181-T181-S181-R181</f>
        <v>0</v>
      </c>
      <c r="V181" s="145">
        <v>0</v>
      </c>
      <c r="W181" s="6">
        <f>BO181-V181</f>
        <v>0</v>
      </c>
      <c r="X181" s="145">
        <v>0</v>
      </c>
      <c r="Y181" s="6">
        <f>F181-X181-W181-V181</f>
        <v>0</v>
      </c>
      <c r="Z181" s="294">
        <v>0</v>
      </c>
      <c r="AA181" s="181">
        <f>BP181-Z181</f>
        <v>0</v>
      </c>
      <c r="AB181" s="294">
        <f>-AA181-Z181</f>
        <v>0</v>
      </c>
      <c r="AC181" s="200">
        <f>H181-AB181-AA181-Z181</f>
        <v>0</v>
      </c>
      <c r="AD181" s="294">
        <v>0</v>
      </c>
      <c r="AE181" s="181">
        <f>BQ181-AD181</f>
        <v>0</v>
      </c>
      <c r="AF181" s="294">
        <f>-AE181-AD181</f>
        <v>0</v>
      </c>
      <c r="AG181" s="200">
        <f>J181-AF181-AE181-AD181</f>
        <v>0</v>
      </c>
      <c r="AH181" s="294">
        <v>0</v>
      </c>
      <c r="AI181" s="181">
        <f>BR181-AH181</f>
        <v>0</v>
      </c>
      <c r="AJ181" s="294">
        <f>-AI181-AH181</f>
        <v>0</v>
      </c>
      <c r="AK181" s="200">
        <f>K181-AJ181-AI181-AH181</f>
        <v>0</v>
      </c>
      <c r="AL181" s="294">
        <v>0</v>
      </c>
      <c r="AM181" s="181">
        <f>BS181-AL181</f>
        <v>0</v>
      </c>
      <c r="AN181" s="294">
        <f>-AM181-AL181</f>
        <v>0</v>
      </c>
      <c r="AO181" s="200">
        <f>L181-AN181-AM181-AL181</f>
        <v>0</v>
      </c>
      <c r="AP181" s="294">
        <v>0</v>
      </c>
      <c r="AQ181" s="181">
        <f>BT181-AP181</f>
        <v>0</v>
      </c>
      <c r="AR181" s="294">
        <v>0</v>
      </c>
      <c r="AS181" s="200">
        <f>M181-AR181-AQ181-AP181</f>
        <v>0</v>
      </c>
      <c r="AT181" s="294">
        <v>0</v>
      </c>
      <c r="AU181" s="181">
        <f>BU181-AT181</f>
        <v>0</v>
      </c>
      <c r="AV181" s="294">
        <v>0</v>
      </c>
      <c r="AW181" s="200">
        <f>N181-AV181-AU181-AT181</f>
        <v>0</v>
      </c>
      <c r="AX181" s="294">
        <v>0</v>
      </c>
      <c r="AY181" s="181">
        <f>BV181-AX181</f>
        <v>0</v>
      </c>
      <c r="AZ181" s="294">
        <v>0</v>
      </c>
      <c r="BA181" s="200">
        <f>O181-AZ181-AY181-AX181</f>
        <v>0</v>
      </c>
      <c r="BB181" s="294">
        <v>0</v>
      </c>
      <c r="BC181" s="181">
        <f>BW181-BB181</f>
        <v>0</v>
      </c>
      <c r="BD181" s="294">
        <v>0</v>
      </c>
      <c r="BE181" s="200">
        <f>P181-BD181-BC181-BB181</f>
        <v>0</v>
      </c>
      <c r="BF181" s="294">
        <v>0</v>
      </c>
      <c r="BG181" s="142"/>
      <c r="BH181" s="294">
        <v>0</v>
      </c>
      <c r="BI181" s="203">
        <f>BY181-BH181</f>
        <v>0</v>
      </c>
      <c r="BJ181" s="294">
        <f>-BI181-BH181</f>
        <v>0</v>
      </c>
      <c r="BK181" s="200">
        <f>I181-Z181-AB181-AA181</f>
        <v>0</v>
      </c>
      <c r="BL181" s="294">
        <v>0</v>
      </c>
      <c r="BM181" s="294"/>
      <c r="BN181" s="145">
        <v>0</v>
      </c>
      <c r="BO181" s="145">
        <v>0</v>
      </c>
      <c r="BP181" s="145">
        <v>0</v>
      </c>
      <c r="BQ181" s="145">
        <v>0</v>
      </c>
      <c r="BR181" s="145">
        <v>0</v>
      </c>
      <c r="BS181" s="145">
        <v>0</v>
      </c>
      <c r="BT181" s="145">
        <v>0</v>
      </c>
      <c r="BU181" s="145">
        <v>0</v>
      </c>
      <c r="BV181" s="145">
        <v>0</v>
      </c>
      <c r="BW181" s="145">
        <v>0</v>
      </c>
      <c r="BX181" s="145"/>
      <c r="BY181" s="145">
        <v>0</v>
      </c>
      <c r="BZ181" s="145">
        <v>0</v>
      </c>
      <c r="CA181" s="145"/>
      <c r="CB181" s="145"/>
      <c r="CG181" s="260"/>
    </row>
    <row r="182" spans="2:85" s="5" customFormat="1" ht="13.5" customHeight="1">
      <c r="B182" s="7" t="s">
        <v>409</v>
      </c>
      <c r="C182" s="145">
        <v>202.87</v>
      </c>
      <c r="D182" s="145">
        <v>444.36500000000001</v>
      </c>
      <c r="E182" s="145">
        <v>78.697000000000003</v>
      </c>
      <c r="F182" s="145">
        <v>527.97199999999998</v>
      </c>
      <c r="G182" s="145">
        <v>527.97199999999998</v>
      </c>
      <c r="H182" s="145">
        <v>503.392</v>
      </c>
      <c r="I182" s="145">
        <v>503.392</v>
      </c>
      <c r="J182" s="145">
        <v>638.601</v>
      </c>
      <c r="K182" s="145">
        <v>247.434</v>
      </c>
      <c r="L182" s="145">
        <v>506.42200000000003</v>
      </c>
      <c r="M182" s="145">
        <v>550.44200000000001</v>
      </c>
      <c r="N182" s="145">
        <f>999.892</f>
        <v>999.89200000000005</v>
      </c>
      <c r="O182" s="145">
        <v>614.68700000000001</v>
      </c>
      <c r="P182" s="145">
        <v>491.93099999999998</v>
      </c>
      <c r="Q182" s="145"/>
      <c r="R182" s="145">
        <v>0</v>
      </c>
      <c r="S182" s="6">
        <f>BN182-R182</f>
        <v>78.697000000000003</v>
      </c>
      <c r="T182" s="145">
        <f>78.697-S182-R182</f>
        <v>0</v>
      </c>
      <c r="U182" s="6">
        <f>E182-T182-S182-R182</f>
        <v>0</v>
      </c>
      <c r="V182" s="145">
        <v>0</v>
      </c>
      <c r="W182" s="6">
        <f>BO182-V182</f>
        <v>0</v>
      </c>
      <c r="X182" s="145">
        <f>0-W182-V182</f>
        <v>0</v>
      </c>
      <c r="Y182" s="6">
        <f>F182-X182-W182-V182</f>
        <v>527.97199999999998</v>
      </c>
      <c r="Z182" s="294">
        <v>0</v>
      </c>
      <c r="AA182" s="181">
        <f>BP182-Z182</f>
        <v>0</v>
      </c>
      <c r="AB182" s="294">
        <f>503.392-AA182-Z182</f>
        <v>503.392</v>
      </c>
      <c r="AC182" s="200">
        <f>H182-AB182-AA182-Z182</f>
        <v>0</v>
      </c>
      <c r="AD182" s="294">
        <v>0</v>
      </c>
      <c r="AE182" s="181">
        <f>BQ182-AD182</f>
        <v>610.39499999999998</v>
      </c>
      <c r="AF182" s="294">
        <f>638.601-AE182-AD182</f>
        <v>28.206000000000017</v>
      </c>
      <c r="AG182" s="200">
        <f>J182-AF182-AE182-AD182</f>
        <v>0</v>
      </c>
      <c r="AH182" s="294">
        <v>0</v>
      </c>
      <c r="AI182" s="181">
        <f>BR182-AH182</f>
        <v>0</v>
      </c>
      <c r="AJ182" s="294">
        <f>0-AI182-AH182</f>
        <v>0</v>
      </c>
      <c r="AK182" s="200">
        <f>K182-AJ182-AI182-AH182</f>
        <v>247.434</v>
      </c>
      <c r="AL182" s="294">
        <v>0</v>
      </c>
      <c r="AM182" s="181">
        <f>BS182-AL182</f>
        <v>0</v>
      </c>
      <c r="AN182" s="294">
        <f>0-AM182-AL182</f>
        <v>0</v>
      </c>
      <c r="AO182" s="200">
        <f>L182-AN182-AM182-AL182</f>
        <v>506.42200000000003</v>
      </c>
      <c r="AP182" s="294">
        <v>172.82300000000001</v>
      </c>
      <c r="AQ182" s="181">
        <f>BT182-AP182</f>
        <v>0</v>
      </c>
      <c r="AR182" s="294">
        <f>550.442-AQ182-AP182</f>
        <v>377.61900000000003</v>
      </c>
      <c r="AS182" s="200">
        <f>M182-AR182-AQ182-AP182</f>
        <v>0</v>
      </c>
      <c r="AT182" s="294">
        <v>478.928</v>
      </c>
      <c r="AU182" s="181">
        <f>BU182-AT182</f>
        <v>0</v>
      </c>
      <c r="AV182" s="294">
        <f>841.836-AU182-AT182</f>
        <v>362.90800000000002</v>
      </c>
      <c r="AW182" s="200">
        <f>N182-AV182-AU182-AT182</f>
        <v>158.05600000000004</v>
      </c>
      <c r="AX182" s="294">
        <v>0</v>
      </c>
      <c r="AY182" s="181">
        <f>BV182-AX182</f>
        <v>185.273</v>
      </c>
      <c r="AZ182" s="294">
        <f>416.486-AY182-AX182</f>
        <v>231.21299999999999</v>
      </c>
      <c r="BA182" s="200">
        <f>O182-AZ182-AY182-AX182</f>
        <v>198.20100000000005</v>
      </c>
      <c r="BB182" s="294">
        <v>144.21199999999999</v>
      </c>
      <c r="BC182" s="181">
        <f>BW182-BB182</f>
        <v>195.98099999999999</v>
      </c>
      <c r="BD182" s="294">
        <f>340.193-BC182-BB182</f>
        <v>0</v>
      </c>
      <c r="BE182" s="200">
        <f>P182-BD182-BC182-BB182</f>
        <v>151.738</v>
      </c>
      <c r="BF182" s="294">
        <v>147.328</v>
      </c>
      <c r="BG182" s="142"/>
      <c r="BH182" s="294">
        <v>0</v>
      </c>
      <c r="BI182" s="203">
        <f>BY182-BH182</f>
        <v>0</v>
      </c>
      <c r="BJ182" s="294">
        <f>503.392-BI182-BH182</f>
        <v>503.392</v>
      </c>
      <c r="BK182" s="200">
        <f>I182-Z182-AB182-AA182</f>
        <v>0</v>
      </c>
      <c r="BL182" s="294">
        <v>0</v>
      </c>
      <c r="BM182" s="294"/>
      <c r="BN182" s="145">
        <v>78.697000000000003</v>
      </c>
      <c r="BO182" s="145">
        <v>0</v>
      </c>
      <c r="BP182" s="145">
        <v>0</v>
      </c>
      <c r="BQ182" s="145">
        <v>610.39499999999998</v>
      </c>
      <c r="BR182" s="145">
        <v>0</v>
      </c>
      <c r="BS182" s="145">
        <v>0</v>
      </c>
      <c r="BT182" s="145">
        <v>172.82300000000001</v>
      </c>
      <c r="BU182" s="145">
        <v>478.928</v>
      </c>
      <c r="BV182" s="145">
        <v>185.273</v>
      </c>
      <c r="BW182" s="145">
        <v>340.19299999999998</v>
      </c>
      <c r="BX182" s="145"/>
      <c r="BY182" s="145">
        <v>0</v>
      </c>
      <c r="BZ182" s="145">
        <v>610.39499999999998</v>
      </c>
      <c r="CA182" s="145"/>
      <c r="CB182" s="145"/>
      <c r="CG182" s="260"/>
    </row>
    <row r="183" spans="2:85" s="5" customFormat="1" ht="13.5" customHeight="1">
      <c r="B183" s="7" t="s">
        <v>410</v>
      </c>
      <c r="C183" s="145">
        <v>2925.6</v>
      </c>
      <c r="D183" s="145">
        <v>2066.3229999999999</v>
      </c>
      <c r="E183" s="145">
        <v>555.55399999999997</v>
      </c>
      <c r="F183" s="145">
        <v>447.98899999999998</v>
      </c>
      <c r="G183" s="145">
        <v>447.98899999999998</v>
      </c>
      <c r="H183" s="145">
        <v>443.05500000000001</v>
      </c>
      <c r="I183" s="145">
        <v>443.05500000000001</v>
      </c>
      <c r="J183" s="145">
        <v>1581.9459999999999</v>
      </c>
      <c r="K183" s="145">
        <v>-84.18</v>
      </c>
      <c r="L183" s="145">
        <v>-35.555</v>
      </c>
      <c r="M183" s="145">
        <v>3.3959999999999999</v>
      </c>
      <c r="N183" s="145">
        <v>11.617000000000001</v>
      </c>
      <c r="O183" s="145">
        <v>461.19</v>
      </c>
      <c r="P183" s="145">
        <v>25.077000000000002</v>
      </c>
      <c r="Q183" s="145"/>
      <c r="R183" s="145">
        <v>611.81799999999998</v>
      </c>
      <c r="S183" s="6">
        <f>BN183-R183</f>
        <v>-39.357999999999947</v>
      </c>
      <c r="T183" s="145">
        <f>-4706.665-S183-R183</f>
        <v>-5279.125</v>
      </c>
      <c r="U183" s="6">
        <f>E183-T183-S183-R183</f>
        <v>5262.2190000000001</v>
      </c>
      <c r="V183" s="145">
        <v>665.02700000000004</v>
      </c>
      <c r="W183" s="6">
        <f>BO183-V183</f>
        <v>808.51299999999992</v>
      </c>
      <c r="X183" s="145">
        <f>-3063.314-W183-V183</f>
        <v>-4536.8539999999994</v>
      </c>
      <c r="Y183" s="6">
        <f>F183-X183-W183-V183</f>
        <v>3511.302999999999</v>
      </c>
      <c r="Z183" s="294">
        <v>587.20299999999997</v>
      </c>
      <c r="AA183" s="181">
        <f>BP183-Z183</f>
        <v>-260.73599999999999</v>
      </c>
      <c r="AB183" s="294">
        <f>-2941.056-AA183-Z183</f>
        <v>-3267.5230000000001</v>
      </c>
      <c r="AC183" s="200">
        <f>H183-AB183-AA183-Z183</f>
        <v>3384.1109999999999</v>
      </c>
      <c r="AD183" s="294">
        <v>82.677000000000007</v>
      </c>
      <c r="AE183" s="181">
        <f>BQ183-AD183</f>
        <v>1361.259</v>
      </c>
      <c r="AF183" s="294">
        <f>474.721-AE183-AD183</f>
        <v>-969.21500000000003</v>
      </c>
      <c r="AG183" s="200">
        <f>J183-AF183-AE183-AD183</f>
        <v>1107.2250000000001</v>
      </c>
      <c r="AH183" s="294">
        <v>232.33699999999999</v>
      </c>
      <c r="AI183" s="181">
        <f>BR183-AH183</f>
        <v>975.03500000000008</v>
      </c>
      <c r="AJ183" s="294">
        <f>27.479-AI183-AH183</f>
        <v>-1179.893</v>
      </c>
      <c r="AK183" s="200">
        <f>K183-AJ183-AI183-AH183</f>
        <v>-111.65900000000011</v>
      </c>
      <c r="AL183" s="294">
        <v>-216.654</v>
      </c>
      <c r="AM183" s="181">
        <f>BS183-AL183</f>
        <v>216.654</v>
      </c>
      <c r="AN183" s="294">
        <f>-AM183-AL183</f>
        <v>0</v>
      </c>
      <c r="AO183" s="200">
        <f>L183-AN183-AM183-AL183</f>
        <v>-35.555000000000007</v>
      </c>
      <c r="AP183" s="294">
        <v>-9.8409999999999993</v>
      </c>
      <c r="AQ183" s="181">
        <f>BT183-AP183</f>
        <v>9.8409999999999993</v>
      </c>
      <c r="AR183" s="294">
        <f>2.397-AQ183-AP183</f>
        <v>2.3970000000000002</v>
      </c>
      <c r="AS183" s="200">
        <f>M183-AR183-AQ183-AP183</f>
        <v>0.99900000000000055</v>
      </c>
      <c r="AT183" s="294">
        <v>0</v>
      </c>
      <c r="AU183" s="181">
        <f>BU183-AT183</f>
        <v>0</v>
      </c>
      <c r="AV183" s="294">
        <f>0-AU183-AT183</f>
        <v>0</v>
      </c>
      <c r="AW183" s="200">
        <f>N183-AV183-AU183-AT183</f>
        <v>11.617000000000001</v>
      </c>
      <c r="AX183" s="294">
        <v>0</v>
      </c>
      <c r="AY183" s="181">
        <f>BV183-AX183</f>
        <v>0</v>
      </c>
      <c r="AZ183" s="294">
        <f>461.19-AY183-AX183</f>
        <v>461.19</v>
      </c>
      <c r="BA183" s="200">
        <f>O183-AZ183-AY183-AX183</f>
        <v>0</v>
      </c>
      <c r="BB183" s="294">
        <v>0</v>
      </c>
      <c r="BC183" s="181">
        <f>BW183-BB183</f>
        <v>0</v>
      </c>
      <c r="BD183" s="294">
        <f>25.077-BC183-BB183</f>
        <v>25.077000000000002</v>
      </c>
      <c r="BE183" s="200">
        <f>P183-BD183-BC183-BB183</f>
        <v>0</v>
      </c>
      <c r="BF183" s="294">
        <v>0</v>
      </c>
      <c r="BG183" s="142"/>
      <c r="BH183" s="294">
        <v>587.20299999999997</v>
      </c>
      <c r="BI183" s="203">
        <f>BY183-BH183</f>
        <v>-260.73599999999999</v>
      </c>
      <c r="BJ183" s="294">
        <f>-2941.056-BI183-BH183</f>
        <v>-3267.5230000000001</v>
      </c>
      <c r="BK183" s="200">
        <f>I183-Z183-AB183-AA183</f>
        <v>3384.1109999999999</v>
      </c>
      <c r="BL183" s="294">
        <v>82.677000000000007</v>
      </c>
      <c r="BM183" s="294"/>
      <c r="BN183" s="145">
        <v>572.46</v>
      </c>
      <c r="BO183" s="145">
        <v>1473.54</v>
      </c>
      <c r="BP183" s="145">
        <v>326.46699999999998</v>
      </c>
      <c r="BQ183" s="145">
        <v>1443.9359999999999</v>
      </c>
      <c r="BR183" s="145">
        <v>1207.3720000000001</v>
      </c>
      <c r="BS183" s="145">
        <v>0</v>
      </c>
      <c r="BT183" s="145">
        <v>0</v>
      </c>
      <c r="BU183" s="145">
        <v>0</v>
      </c>
      <c r="BV183" s="145">
        <v>0</v>
      </c>
      <c r="BW183" s="145">
        <v>0</v>
      </c>
      <c r="BX183" s="145"/>
      <c r="BY183" s="145">
        <v>326.46699999999998</v>
      </c>
      <c r="BZ183" s="145">
        <v>1443.9359999999999</v>
      </c>
      <c r="CA183" s="145"/>
      <c r="CB183" s="145"/>
      <c r="CG183" s="260"/>
    </row>
    <row r="184" spans="2:85" s="5" customFormat="1" ht="13.5" customHeight="1">
      <c r="B184" s="16" t="s">
        <v>411</v>
      </c>
      <c r="C184" s="8">
        <f t="shared" ref="C184:H184" si="662">SUM(C179:C183)</f>
        <v>-20566.092000000004</v>
      </c>
      <c r="D184" s="8">
        <f t="shared" si="662"/>
        <v>-183837.79699999999</v>
      </c>
      <c r="E184" s="8">
        <f t="shared" si="662"/>
        <v>-171850.62</v>
      </c>
      <c r="F184" s="8">
        <f t="shared" si="662"/>
        <v>-124930.61899999999</v>
      </c>
      <c r="G184" s="8">
        <f t="shared" si="662"/>
        <v>-124930.61899999999</v>
      </c>
      <c r="H184" s="8">
        <f t="shared" si="662"/>
        <v>-34010.052000000003</v>
      </c>
      <c r="I184" s="8">
        <f t="shared" ref="I184:N184" si="663">SUM(I179:I183)</f>
        <v>-34010.052000000003</v>
      </c>
      <c r="J184" s="8">
        <f t="shared" si="663"/>
        <v>120342.936</v>
      </c>
      <c r="K184" s="8">
        <f t="shared" si="663"/>
        <v>-99232.892999999996</v>
      </c>
      <c r="L184" s="8">
        <f t="shared" si="663"/>
        <v>-136058.878</v>
      </c>
      <c r="M184" s="8">
        <f>SUM(M179:M183)</f>
        <v>-48237.069000000003</v>
      </c>
      <c r="N184" s="8">
        <f t="shared" si="663"/>
        <v>26248.414999999994</v>
      </c>
      <c r="O184" s="8">
        <f>SUM(O179:O183)</f>
        <v>262318.15700000001</v>
      </c>
      <c r="P184" s="8">
        <f>SUM(P179:P183)</f>
        <v>-169382.495</v>
      </c>
      <c r="Q184" s="8"/>
      <c r="R184" s="8">
        <f t="shared" ref="R184:W184" si="664">SUM(R179:R183)</f>
        <v>-30101.986000000001</v>
      </c>
      <c r="S184" s="8">
        <f t="shared" si="664"/>
        <v>-4499.3110000000006</v>
      </c>
      <c r="T184" s="8">
        <f t="shared" si="664"/>
        <v>-18791.741999999998</v>
      </c>
      <c r="U184" s="8">
        <f t="shared" si="664"/>
        <v>-118457.58099999999</v>
      </c>
      <c r="V184" s="8">
        <f t="shared" si="664"/>
        <v>-119583.41800000001</v>
      </c>
      <c r="W184" s="8">
        <f t="shared" si="664"/>
        <v>-22634.356999999996</v>
      </c>
      <c r="X184" s="8">
        <f t="shared" ref="X184:AC184" si="665">SUM(X179:X183)</f>
        <v>74547.625</v>
      </c>
      <c r="Y184" s="8">
        <f t="shared" si="665"/>
        <v>-57260.468999999975</v>
      </c>
      <c r="Z184" s="182">
        <f t="shared" si="665"/>
        <v>7141.4339999999993</v>
      </c>
      <c r="AA184" s="182">
        <f t="shared" si="665"/>
        <v>-18230.007000000001</v>
      </c>
      <c r="AB184" s="182">
        <f t="shared" si="665"/>
        <v>783.94599999999718</v>
      </c>
      <c r="AC184" s="182">
        <f t="shared" si="665"/>
        <v>-23705.424999999999</v>
      </c>
      <c r="AD184" s="141">
        <f t="shared" ref="AD184:AI184" si="666">SUM(AD179:AD183)</f>
        <v>194080.63399999999</v>
      </c>
      <c r="AE184" s="141">
        <f t="shared" si="666"/>
        <v>-55002.076000000001</v>
      </c>
      <c r="AF184" s="141">
        <f t="shared" si="666"/>
        <v>100011.25800000003</v>
      </c>
      <c r="AG184" s="182">
        <f t="shared" si="666"/>
        <v>-118746.88000000002</v>
      </c>
      <c r="AH184" s="141">
        <f t="shared" si="666"/>
        <v>-24851.164000000001</v>
      </c>
      <c r="AI184" s="141">
        <f t="shared" si="666"/>
        <v>37847.878000000004</v>
      </c>
      <c r="AJ184" s="141">
        <f t="shared" ref="AJ184:AO184" si="667">SUM(AJ179:AJ183)</f>
        <v>-49911.154999999999</v>
      </c>
      <c r="AK184" s="182">
        <f t="shared" si="667"/>
        <v>-62318.45199999999</v>
      </c>
      <c r="AL184" s="141">
        <f t="shared" si="667"/>
        <v>56528.824000000001</v>
      </c>
      <c r="AM184" s="141">
        <f t="shared" si="667"/>
        <v>32928.564999999995</v>
      </c>
      <c r="AN184" s="141">
        <f t="shared" si="667"/>
        <v>-255418.12199999997</v>
      </c>
      <c r="AO184" s="182">
        <f t="shared" si="667"/>
        <v>29901.854999999967</v>
      </c>
      <c r="AP184" s="141">
        <f t="shared" ref="AP184:AU184" si="668">SUM(AP179:AP183)</f>
        <v>206228.52400000003</v>
      </c>
      <c r="AQ184" s="141">
        <f t="shared" si="668"/>
        <v>-184565.34800000003</v>
      </c>
      <c r="AR184" s="141">
        <f t="shared" si="668"/>
        <v>198189.36000000004</v>
      </c>
      <c r="AS184" s="182">
        <f t="shared" si="668"/>
        <v>-268089.60499999998</v>
      </c>
      <c r="AT184" s="141">
        <f t="shared" si="668"/>
        <v>129694.15699999999</v>
      </c>
      <c r="AU184" s="141">
        <f t="shared" si="668"/>
        <v>21597.800999999999</v>
      </c>
      <c r="AV184" s="141">
        <f t="shared" ref="AV184:BA184" si="669">SUM(AV179:AV183)</f>
        <v>-77560.462</v>
      </c>
      <c r="AW184" s="182">
        <f t="shared" si="669"/>
        <v>-47483.081000000006</v>
      </c>
      <c r="AX184" s="141">
        <f t="shared" si="669"/>
        <v>219974.13399999999</v>
      </c>
      <c r="AY184" s="141">
        <f t="shared" si="669"/>
        <v>69084.875999999975</v>
      </c>
      <c r="AZ184" s="141">
        <f t="shared" si="669"/>
        <v>36058.590000000018</v>
      </c>
      <c r="BA184" s="182">
        <f t="shared" si="669"/>
        <v>-62799.442999999985</v>
      </c>
      <c r="BB184" s="141">
        <f>SUM(BB179:BB183)</f>
        <v>-31110.545999999998</v>
      </c>
      <c r="BC184" s="141">
        <f>SUM(BC179:BC183)</f>
        <v>-28404.192999999999</v>
      </c>
      <c r="BD184" s="141">
        <f>SUM(BD179:BD183)</f>
        <v>-35352.235000000008</v>
      </c>
      <c r="BE184" s="182">
        <f>SUM(BE179:BE183)</f>
        <v>-74515.520999999993</v>
      </c>
      <c r="BF184" s="141">
        <f>SUM(BF179:BF183)</f>
        <v>-68895.331000000006</v>
      </c>
      <c r="BG184" s="142"/>
      <c r="BH184" s="141">
        <f>SUM(BH179:BH183)</f>
        <v>7141.4339999999993</v>
      </c>
      <c r="BI184" s="141">
        <f>SUM(BI179:BI183)</f>
        <v>-18230.007000000001</v>
      </c>
      <c r="BJ184" s="141">
        <f>SUM(BJ179:BJ183)</f>
        <v>783.94599999999718</v>
      </c>
      <c r="BK184" s="182">
        <f>SUM(BK179:BK183)</f>
        <v>-23705.425000000003</v>
      </c>
      <c r="BL184" s="141">
        <f>SUM(BL179:BL183)</f>
        <v>194080.63399999999</v>
      </c>
      <c r="BM184" s="141"/>
      <c r="BN184" s="8">
        <f t="shared" ref="BN184:BS184" si="670">SUM(BN179:BN183)</f>
        <v>-34601.296999999999</v>
      </c>
      <c r="BO184" s="8">
        <f t="shared" si="670"/>
        <v>-142217.77499999999</v>
      </c>
      <c r="BP184" s="8">
        <f t="shared" si="670"/>
        <v>-11088.572999999999</v>
      </c>
      <c r="BQ184" s="8">
        <f t="shared" si="670"/>
        <v>139078.55799999999</v>
      </c>
      <c r="BR184" s="8">
        <f t="shared" si="670"/>
        <v>12996.714</v>
      </c>
      <c r="BS184" s="8">
        <f t="shared" si="670"/>
        <v>89457.388999999996</v>
      </c>
      <c r="BT184" s="8">
        <f>SUM(BT179:BT183)</f>
        <v>21663.175999999996</v>
      </c>
      <c r="BU184" s="8">
        <f>SUM(BU179:BU183)</f>
        <v>151291.95800000001</v>
      </c>
      <c r="BV184" s="8">
        <f>SUM(BV179:BV183)</f>
        <v>289059.00999999995</v>
      </c>
      <c r="BW184" s="8">
        <f>SUM(BW179:BW183)</f>
        <v>-59514.739000000001</v>
      </c>
      <c r="BX184" s="8"/>
      <c r="BY184" s="8">
        <f>SUM(BY179:BY183)</f>
        <v>-11088.572999999999</v>
      </c>
      <c r="BZ184" s="8">
        <f>SUM(BZ179:BZ183)</f>
        <v>139078.55799999999</v>
      </c>
      <c r="CA184" s="8"/>
      <c r="CB184" s="8"/>
      <c r="CG184" s="260"/>
    </row>
    <row r="185" spans="2:85" s="5" customFormat="1" ht="13.5" customHeight="1">
      <c r="B185" s="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BG185" s="142"/>
      <c r="BH185" s="182"/>
      <c r="BI185" s="182"/>
      <c r="BJ185" s="182"/>
      <c r="BK185" s="200"/>
      <c r="BL185" s="182"/>
      <c r="BM185" s="182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G185" s="260"/>
    </row>
    <row r="186" spans="2:85" s="5" customFormat="1" ht="13.5" customHeight="1">
      <c r="B186" s="7" t="s">
        <v>412</v>
      </c>
      <c r="C186" s="145">
        <v>-6246.3019999999997</v>
      </c>
      <c r="D186" s="145">
        <v>-10429.838</v>
      </c>
      <c r="E186" s="145">
        <v>-7839.67</v>
      </c>
      <c r="F186" s="145">
        <v>-7023.6239999999998</v>
      </c>
      <c r="G186" s="145">
        <v>-7023.6239999999998</v>
      </c>
      <c r="H186" s="145">
        <v>-10824.643</v>
      </c>
      <c r="I186" s="145">
        <v>-10824.643</v>
      </c>
      <c r="J186" s="145">
        <v>-10071.569</v>
      </c>
      <c r="K186" s="145">
        <v>-9934.9599999999991</v>
      </c>
      <c r="L186" s="145">
        <v>-5790.9639999999999</v>
      </c>
      <c r="M186" s="145">
        <v>-2700.6080000000002</v>
      </c>
      <c r="N186" s="145">
        <v>-4529.7839999999997</v>
      </c>
      <c r="O186" s="145">
        <v>-9500.1730000000007</v>
      </c>
      <c r="P186" s="145">
        <v>-8268.2340000000004</v>
      </c>
      <c r="Q186" s="145"/>
      <c r="R186" s="145">
        <v>-2894.681</v>
      </c>
      <c r="S186" s="6">
        <f>BN186-R186</f>
        <v>-375.75700000000006</v>
      </c>
      <c r="T186" s="145">
        <f>-5586.333-S186-R186</f>
        <v>-2315.8949999999991</v>
      </c>
      <c r="U186" s="6">
        <f>E186-T186-S186-R186</f>
        <v>-2253.3370000000018</v>
      </c>
      <c r="V186" s="145">
        <v>-1543.634</v>
      </c>
      <c r="W186" s="6">
        <f>BO186-V186</f>
        <v>-460.10099999999989</v>
      </c>
      <c r="X186" s="145">
        <f>-4799.219-W186-V186</f>
        <v>-2795.4840000000004</v>
      </c>
      <c r="Y186" s="6">
        <f>F186-X186-W186-V186</f>
        <v>-2224.4049999999997</v>
      </c>
      <c r="Z186" s="294">
        <v>-2899.6080000000002</v>
      </c>
      <c r="AA186" s="181">
        <f>BP186-Z186</f>
        <v>-2613.3689999999997</v>
      </c>
      <c r="AB186" s="294">
        <f>-8153.229-AA186-Z186</f>
        <v>-2640.2520000000004</v>
      </c>
      <c r="AC186" s="200">
        <f>H186-AB186-AA186-Z186</f>
        <v>-2671.4139999999998</v>
      </c>
      <c r="AD186" s="294">
        <v>-2959.5749999999998</v>
      </c>
      <c r="AE186" s="181">
        <f>BQ186-AD186</f>
        <v>-1736.5250000000005</v>
      </c>
      <c r="AF186" s="294">
        <f>-7703.248-AE186-AD186</f>
        <v>-3007.1479999999992</v>
      </c>
      <c r="AG186" s="200">
        <f>J186-AF186-AE186-AD186</f>
        <v>-2368.3209999999999</v>
      </c>
      <c r="AH186" s="294">
        <v>-2049.1280000000002</v>
      </c>
      <c r="AI186" s="181">
        <f>BR186-AH186</f>
        <v>-2626.7890000000002</v>
      </c>
      <c r="AJ186" s="294">
        <f>-7765.7-AI186-AH186</f>
        <v>-3089.7829999999999</v>
      </c>
      <c r="AK186" s="200">
        <f>K186-AJ186-AI186-AH186</f>
        <v>-2169.2599999999989</v>
      </c>
      <c r="AL186" s="294">
        <v>-2065.37</v>
      </c>
      <c r="AM186" s="181">
        <f>BS186-AL186</f>
        <v>-1832.7049999999999</v>
      </c>
      <c r="AN186" s="294">
        <f>-5881.765-AM186-AL186</f>
        <v>-1983.6900000000005</v>
      </c>
      <c r="AO186" s="200">
        <f>L186-AN186-AM186-AL186</f>
        <v>90.801000000000386</v>
      </c>
      <c r="AP186" s="294">
        <v>-2605.4630000000002</v>
      </c>
      <c r="AQ186" s="181">
        <f>BT186-AP186</f>
        <v>-3206.4090000000001</v>
      </c>
      <c r="AR186" s="294">
        <f>-3580.313-AQ186-AP186</f>
        <v>2231.5590000000002</v>
      </c>
      <c r="AS186" s="200">
        <f>M186-AR186-AQ186-AP186</f>
        <v>879.70499999999993</v>
      </c>
      <c r="AT186" s="294">
        <v>-2599.0880000000002</v>
      </c>
      <c r="AU186" s="181">
        <f>BU186-AT186</f>
        <v>-8120.893</v>
      </c>
      <c r="AV186" s="294">
        <f>-4529.784-AU186-AT186</f>
        <v>6190.1970000000001</v>
      </c>
      <c r="AW186" s="200">
        <f>N186-AV186-AU186-AT186</f>
        <v>0</v>
      </c>
      <c r="AX186" s="294">
        <v>-2608.6080000000002</v>
      </c>
      <c r="AY186" s="181">
        <f>BV186-AX186</f>
        <v>-2372.3369999999995</v>
      </c>
      <c r="AZ186" s="294">
        <f>-7119.444-AY186-AX186</f>
        <v>-2138.4990000000007</v>
      </c>
      <c r="BA186" s="200">
        <f>O186-AZ186-AY186-AX186</f>
        <v>-2380.7290000000003</v>
      </c>
      <c r="BB186" s="294">
        <v>-1990.7940000000001</v>
      </c>
      <c r="BC186" s="181">
        <f>BW186-BB186</f>
        <v>-2114.3289999999997</v>
      </c>
      <c r="BD186" s="294">
        <f>-6297.791-BC186-BB186</f>
        <v>-2192.6680000000006</v>
      </c>
      <c r="BE186" s="200">
        <f>P186-BD186-BC186-BB186</f>
        <v>-1970.443</v>
      </c>
      <c r="BF186" s="294">
        <v>-2012.2919999999999</v>
      </c>
      <c r="BG186" s="142"/>
      <c r="BH186" s="294">
        <v>-2899.6080000000002</v>
      </c>
      <c r="BI186" s="203">
        <f>BY186-BH186</f>
        <v>-2613.3689999999997</v>
      </c>
      <c r="BJ186" s="294">
        <f>-8153.229-BI186-BH186</f>
        <v>-2640.2520000000004</v>
      </c>
      <c r="BK186" s="200">
        <f>I186-Z186-AB186-AA186</f>
        <v>-2671.4139999999998</v>
      </c>
      <c r="BL186" s="294">
        <v>-2959.5749999999998</v>
      </c>
      <c r="BM186" s="294"/>
      <c r="BN186" s="145">
        <v>-3270.4380000000001</v>
      </c>
      <c r="BO186" s="145">
        <v>-2003.7349999999999</v>
      </c>
      <c r="BP186" s="145">
        <v>-5512.9769999999999</v>
      </c>
      <c r="BQ186" s="145">
        <v>-4696.1000000000004</v>
      </c>
      <c r="BR186" s="145">
        <v>-4675.9170000000004</v>
      </c>
      <c r="BS186" s="145">
        <v>-3898.0749999999998</v>
      </c>
      <c r="BT186" s="145">
        <v>-5811.8720000000003</v>
      </c>
      <c r="BU186" s="145">
        <v>-10719.981</v>
      </c>
      <c r="BV186" s="145">
        <v>-4980.9449999999997</v>
      </c>
      <c r="BW186" s="145">
        <v>-4105.1229999999996</v>
      </c>
      <c r="BX186" s="145"/>
      <c r="BY186" s="145">
        <v>-5512.9769999999999</v>
      </c>
      <c r="BZ186" s="145">
        <v>-4696.1000000000004</v>
      </c>
      <c r="CA186" s="145"/>
      <c r="CB186" s="145"/>
      <c r="CG186" s="260"/>
    </row>
    <row r="187" spans="2:85" s="5" customFormat="1" ht="13.5" customHeight="1">
      <c r="B187" s="7" t="s">
        <v>413</v>
      </c>
      <c r="C187" s="145"/>
      <c r="D187" s="145"/>
      <c r="E187" s="145"/>
      <c r="F187" s="145"/>
      <c r="G187" s="145"/>
      <c r="H187" s="145">
        <v>0</v>
      </c>
      <c r="I187" s="145">
        <v>25860.469000000001</v>
      </c>
      <c r="J187" s="145">
        <v>-4239.0410000000002</v>
      </c>
      <c r="K187" s="145">
        <v>-58430.709000000003</v>
      </c>
      <c r="L187" s="145">
        <v>0</v>
      </c>
      <c r="M187" s="145">
        <v>0</v>
      </c>
      <c r="N187" s="145">
        <f>75174.158</f>
        <v>75174.157999999996</v>
      </c>
      <c r="O187" s="145">
        <v>18266.056</v>
      </c>
      <c r="P187" s="145">
        <v>24707.185000000001</v>
      </c>
      <c r="Q187" s="145"/>
      <c r="R187" s="145"/>
      <c r="S187" s="6"/>
      <c r="T187" s="145"/>
      <c r="U187" s="6"/>
      <c r="V187" s="145"/>
      <c r="W187" s="6"/>
      <c r="X187" s="145"/>
      <c r="Y187" s="6"/>
      <c r="Z187" s="294">
        <v>32947.322</v>
      </c>
      <c r="AA187" s="181">
        <f>BP187-Z187</f>
        <v>-32947.322</v>
      </c>
      <c r="AB187" s="294"/>
      <c r="AC187" s="200">
        <f>H187-AB187-AA187-Z187</f>
        <v>0</v>
      </c>
      <c r="AD187" s="294">
        <v>0</v>
      </c>
      <c r="AE187" s="181">
        <f>BQ187-AD187</f>
        <v>-1490.826</v>
      </c>
      <c r="AF187" s="294">
        <f>-1802.777-AE187-AD187</f>
        <v>-311.95100000000002</v>
      </c>
      <c r="AG187" s="200">
        <f>J187-AF187-AE187-AD187</f>
        <v>-2436.2640000000001</v>
      </c>
      <c r="AH187" s="294">
        <v>0</v>
      </c>
      <c r="AI187" s="181">
        <f>BR187-AH187</f>
        <v>0</v>
      </c>
      <c r="AJ187" s="294">
        <f>-266283.757-AI187-AH187</f>
        <v>-266283.75699999998</v>
      </c>
      <c r="AK187" s="200">
        <f>K187-AJ187-AI187-AH187</f>
        <v>207853.04799999998</v>
      </c>
      <c r="AL187" s="294">
        <v>36380.572</v>
      </c>
      <c r="AM187" s="181">
        <f>BS187-AL187</f>
        <v>-36380.572</v>
      </c>
      <c r="AN187" s="294">
        <f>270252.921-AM187-AL187</f>
        <v>270252.92099999997</v>
      </c>
      <c r="AO187" s="200">
        <f>L187-AN187-AM187-AL187</f>
        <v>-270252.92099999997</v>
      </c>
      <c r="AP187" s="294">
        <v>59846.38</v>
      </c>
      <c r="AQ187" s="181">
        <f>BT187-AP187</f>
        <v>-59846.38</v>
      </c>
      <c r="AR187" s="294">
        <f>-25689.506-AQ187-AP187</f>
        <v>-25689.506000000001</v>
      </c>
      <c r="AS187" s="200">
        <f>M187-AR187-AQ187-AP187</f>
        <v>25689.506000000001</v>
      </c>
      <c r="AT187" s="294">
        <v>-52937.533000000003</v>
      </c>
      <c r="AU187" s="181">
        <f>BU187-AT187</f>
        <v>52937.533000000003</v>
      </c>
      <c r="AV187" s="294">
        <f>36471.487-AU187-AT187</f>
        <v>36471.487000000001</v>
      </c>
      <c r="AW187" s="200">
        <f>N187-AV187-AU187-AT187</f>
        <v>38702.670999999995</v>
      </c>
      <c r="AX187" s="294">
        <v>-20532.802</v>
      </c>
      <c r="AY187" s="181">
        <f>BV187-AX187</f>
        <v>20532.802</v>
      </c>
      <c r="AZ187" s="294">
        <f>7591.289-AY187-AX187</f>
        <v>7591.2890000000007</v>
      </c>
      <c r="BA187" s="200">
        <f>O187-AZ187-AY187-AX187</f>
        <v>10674.767</v>
      </c>
      <c r="BB187" s="294">
        <v>-19464.978999999999</v>
      </c>
      <c r="BC187" s="181">
        <f>BW187-BB187</f>
        <v>19464.978999999999</v>
      </c>
      <c r="BD187" s="294">
        <f>0-BC187-BB187</f>
        <v>0</v>
      </c>
      <c r="BE187" s="200">
        <f>P187-BD187-BC187-BB187</f>
        <v>24707.185000000001</v>
      </c>
      <c r="BF187" s="294">
        <v>0</v>
      </c>
      <c r="BG187" s="142"/>
      <c r="BH187" s="294">
        <v>32947.322</v>
      </c>
      <c r="BI187" s="203">
        <f>BY187-BH187</f>
        <v>-3949.2819999999992</v>
      </c>
      <c r="BJ187" s="294">
        <f>26474.051-BI187-BH187</f>
        <v>-2523.9890000000014</v>
      </c>
      <c r="BK187" s="200">
        <f>I187-Z187-AB187-AA187</f>
        <v>25860.469000000001</v>
      </c>
      <c r="BL187" s="294">
        <v>0</v>
      </c>
      <c r="BM187" s="294"/>
      <c r="BN187" s="145"/>
      <c r="BO187" s="145"/>
      <c r="BP187" s="145"/>
      <c r="BQ187" s="145">
        <v>-1490.826</v>
      </c>
      <c r="BR187" s="145"/>
      <c r="BS187" s="145"/>
      <c r="BT187" s="145"/>
      <c r="BU187" s="145"/>
      <c r="BV187" s="145"/>
      <c r="BW187" s="145"/>
      <c r="BX187" s="145"/>
      <c r="BY187" s="145">
        <v>28998.04</v>
      </c>
      <c r="BZ187" s="145"/>
      <c r="CA187" s="145"/>
      <c r="CB187" s="145"/>
      <c r="CG187" s="260"/>
    </row>
    <row r="188" spans="2:85" s="5" customFormat="1" ht="13.5" customHeight="1">
      <c r="B188" s="7" t="s">
        <v>414</v>
      </c>
      <c r="C188" s="145">
        <v>-40303.374000000003</v>
      </c>
      <c r="D188" s="145">
        <v>62723.237000000001</v>
      </c>
      <c r="E188" s="145">
        <v>-30059.945</v>
      </c>
      <c r="F188" s="145">
        <v>-21731.107</v>
      </c>
      <c r="G188" s="145">
        <v>-21731.107</v>
      </c>
      <c r="H188" s="145">
        <v>25860.469000000001</v>
      </c>
      <c r="I188" s="145">
        <v>127350</v>
      </c>
      <c r="J188" s="145">
        <v>-39381.186000000002</v>
      </c>
      <c r="K188" s="145">
        <v>-225476.72200000001</v>
      </c>
      <c r="L188" s="145">
        <v>272053.65299999999</v>
      </c>
      <c r="M188" s="145">
        <v>-167120.133</v>
      </c>
      <c r="N188" s="145">
        <f>-294249.733</f>
        <v>-294249.73300000001</v>
      </c>
      <c r="O188" s="145">
        <v>-148428.81700000001</v>
      </c>
      <c r="P188" s="145">
        <v>54049.442999999999</v>
      </c>
      <c r="Q188" s="145"/>
      <c r="R188" s="145">
        <v>-1588.011</v>
      </c>
      <c r="S188" s="6">
        <f>BN188-R188</f>
        <v>-6212.223</v>
      </c>
      <c r="T188" s="145">
        <f>-26697.505-S188-R188</f>
        <v>-18897.271000000001</v>
      </c>
      <c r="U188" s="6">
        <f>E188-T188-S188-R188</f>
        <v>-3362.4399999999991</v>
      </c>
      <c r="V188" s="145">
        <v>-5380.5649999999996</v>
      </c>
      <c r="W188" s="6">
        <f>BO188-V188</f>
        <v>-7040.6850000000004</v>
      </c>
      <c r="X188" s="145">
        <f>-18052.617-W188-V188</f>
        <v>-5631.3669999999975</v>
      </c>
      <c r="Y188" s="6">
        <f>F188-X188-W188-V188</f>
        <v>-3678.4900000000007</v>
      </c>
      <c r="Z188" s="294">
        <v>-1794.4590000000001</v>
      </c>
      <c r="AA188" s="181">
        <f>BP188-Z188</f>
        <v>30792.499</v>
      </c>
      <c r="AB188" s="294">
        <f>26474.051-AA188-Z188</f>
        <v>-2523.9890000000005</v>
      </c>
      <c r="AC188" s="200">
        <f>H188-AB188-AA188-Z188</f>
        <v>-613.58199999999738</v>
      </c>
      <c r="AD188" s="294">
        <v>-76199.407000000007</v>
      </c>
      <c r="AE188" s="181">
        <f>BQ188-AD188</f>
        <v>-528.36299999999756</v>
      </c>
      <c r="AF188" s="294">
        <f>-49585.978-AE188-AD188</f>
        <v>27141.792000000001</v>
      </c>
      <c r="AG188" s="200">
        <f>J188-AF188-AE188-AD188</f>
        <v>10204.792000000001</v>
      </c>
      <c r="AH188" s="294">
        <v>2881.2559999999999</v>
      </c>
      <c r="AI188" s="181">
        <f>BR188-AH188</f>
        <v>-156083.41999999998</v>
      </c>
      <c r="AJ188" s="294">
        <f>0-AI188-AH188</f>
        <v>153202.16399999999</v>
      </c>
      <c r="AK188" s="200">
        <f>K188-AJ188-AI188-AH188</f>
        <v>-225476.72200000001</v>
      </c>
      <c r="AL188" s="294">
        <v>0</v>
      </c>
      <c r="AM188" s="181">
        <f>BS188-AL188</f>
        <v>265751.09999999998</v>
      </c>
      <c r="AN188" s="294">
        <f>0-AM188-AL188</f>
        <v>-265751.09999999998</v>
      </c>
      <c r="AO188" s="200">
        <f>L188-AN188-AM188-AL188</f>
        <v>272053.65300000005</v>
      </c>
      <c r="AP188" s="294">
        <v>0</v>
      </c>
      <c r="AQ188" s="181">
        <f>BT188-AP188</f>
        <v>75210.149999999994</v>
      </c>
      <c r="AR188" s="294">
        <f>0-AQ188-AP188</f>
        <v>-75210.149999999994</v>
      </c>
      <c r="AS188" s="200">
        <f>M188-AR188-AQ188-AP188</f>
        <v>-167120.133</v>
      </c>
      <c r="AT188" s="294">
        <v>0</v>
      </c>
      <c r="AU188" s="181">
        <f>BU188-AT188</f>
        <v>-237235.40900000001</v>
      </c>
      <c r="AV188" s="294">
        <f>-257172.143-AU188-AT188</f>
        <v>-19936.733999999997</v>
      </c>
      <c r="AW188" s="200">
        <f>N188-AV188-AU188-AT188</f>
        <v>-37077.589999999997</v>
      </c>
      <c r="AX188" s="294">
        <v>0</v>
      </c>
      <c r="AY188" s="181">
        <f>BV188-AX188</f>
        <v>-54059.313000000002</v>
      </c>
      <c r="AZ188" s="294">
        <f>-125857.586-AY188-AX188</f>
        <v>-71798.272999999986</v>
      </c>
      <c r="BA188" s="200">
        <f>O188-AZ188-AY188-AX188</f>
        <v>-22571.231000000022</v>
      </c>
      <c r="BB188" s="294">
        <v>0</v>
      </c>
      <c r="BC188" s="181">
        <f>BW188-BB188</f>
        <v>29522.282999999999</v>
      </c>
      <c r="BD188" s="294">
        <f>38560.762-BC188-BB188</f>
        <v>9038.479000000003</v>
      </c>
      <c r="BE188" s="200">
        <f>P188-BD188-BC188-BB188</f>
        <v>15488.680999999993</v>
      </c>
      <c r="BF188" s="294">
        <v>62807.665999999997</v>
      </c>
      <c r="BG188" s="142"/>
      <c r="BH188" s="294">
        <v>-49444.459000000003</v>
      </c>
      <c r="BI188" s="203">
        <f>BY188-BH188</f>
        <v>76794.459000000003</v>
      </c>
      <c r="BJ188" s="294">
        <f>87350-BI188-BH188</f>
        <v>60000</v>
      </c>
      <c r="BK188" s="200">
        <f>I188-Z188-AB188-AA188</f>
        <v>100875.94900000001</v>
      </c>
      <c r="BL188" s="294">
        <v>-76199.407000000007</v>
      </c>
      <c r="BM188" s="294"/>
      <c r="BN188" s="145">
        <v>-7800.2340000000004</v>
      </c>
      <c r="BO188" s="145">
        <v>-12421.25</v>
      </c>
      <c r="BP188" s="145">
        <v>28998.04</v>
      </c>
      <c r="BQ188" s="145">
        <v>-76727.77</v>
      </c>
      <c r="BR188" s="145">
        <v>-153202.16399999999</v>
      </c>
      <c r="BS188" s="145">
        <v>265751.09999999998</v>
      </c>
      <c r="BT188" s="145">
        <v>75210.149999999994</v>
      </c>
      <c r="BU188" s="145">
        <v>-237235.40900000001</v>
      </c>
      <c r="BV188" s="145">
        <v>-54059.313000000002</v>
      </c>
      <c r="BW188" s="145">
        <v>29522.282999999999</v>
      </c>
      <c r="BX188" s="145"/>
      <c r="BY188" s="145">
        <v>27350</v>
      </c>
      <c r="BZ188" s="145">
        <v>-78218.596000000005</v>
      </c>
      <c r="CA188" s="145"/>
      <c r="CB188" s="145"/>
      <c r="CG188" s="260"/>
    </row>
    <row r="189" spans="2:85" s="5" customFormat="1" ht="13.5" customHeight="1">
      <c r="B189" s="7" t="s">
        <v>415</v>
      </c>
      <c r="C189" s="145">
        <v>-38741.239000000001</v>
      </c>
      <c r="D189" s="145">
        <v>-11598.629000000001</v>
      </c>
      <c r="E189" s="145">
        <v>-4633.8689999999997</v>
      </c>
      <c r="F189" s="145">
        <v>-7871.902</v>
      </c>
      <c r="G189" s="145">
        <v>-7871.902</v>
      </c>
      <c r="H189" s="145">
        <v>-7771.8040000000001</v>
      </c>
      <c r="I189" s="145">
        <v>-7771.8040000000001</v>
      </c>
      <c r="J189" s="145">
        <v>15902.076999999999</v>
      </c>
      <c r="K189" s="145">
        <v>-4736.9070000000002</v>
      </c>
      <c r="L189" s="145">
        <v>-176.61199999999999</v>
      </c>
      <c r="M189" s="145">
        <v>529.20100000000002</v>
      </c>
      <c r="N189" s="145">
        <f>-3053.492</f>
        <v>-3053.4920000000002</v>
      </c>
      <c r="O189" s="145">
        <v>-7996.4139999999998</v>
      </c>
      <c r="P189" s="145">
        <v>-8149.6229999999996</v>
      </c>
      <c r="Q189" s="145"/>
      <c r="R189" s="145">
        <v>2685.3249999999998</v>
      </c>
      <c r="S189" s="6">
        <f>BN189-R189</f>
        <v>-9390.5519999999997</v>
      </c>
      <c r="T189" s="145">
        <f>-2891.25-S189-R189</f>
        <v>3813.9769999999999</v>
      </c>
      <c r="U189" s="6">
        <f>E189-T189-S189-R189</f>
        <v>-1742.6189999999997</v>
      </c>
      <c r="V189" s="145">
        <v>1428.1379999999999</v>
      </c>
      <c r="W189" s="6">
        <f>BO189-V189</f>
        <v>-7684.0109999999995</v>
      </c>
      <c r="X189" s="145">
        <f>-4400.886-W189-V189</f>
        <v>1854.9869999999992</v>
      </c>
      <c r="Y189" s="6">
        <f>F189-X189-W189-V189</f>
        <v>-3471.0159999999996</v>
      </c>
      <c r="Z189" s="294">
        <v>250.822</v>
      </c>
      <c r="AA189" s="181">
        <f>BP189-Z189</f>
        <v>-8495.6319999999996</v>
      </c>
      <c r="AB189" s="294">
        <f>-4098.374-AA189-Z189</f>
        <v>4146.4359999999997</v>
      </c>
      <c r="AC189" s="200">
        <f>H189-AB189-AA189-Z189</f>
        <v>-3673.4300000000003</v>
      </c>
      <c r="AD189" s="294">
        <v>148.18899999999999</v>
      </c>
      <c r="AE189" s="181">
        <f>BQ189-AD189</f>
        <v>-1149.442</v>
      </c>
      <c r="AF189" s="294">
        <f>-2799.847-AE189-AD189</f>
        <v>-1798.5940000000003</v>
      </c>
      <c r="AG189" s="200">
        <f>J189-AF189-AE189-AD189</f>
        <v>18701.923999999999</v>
      </c>
      <c r="AH189" s="294">
        <v>107.746</v>
      </c>
      <c r="AI189" s="181">
        <f>BR189-AH189</f>
        <v>-648.85699999999997</v>
      </c>
      <c r="AJ189" s="294">
        <f>-2416.03-AI189-AH189</f>
        <v>-1874.9190000000003</v>
      </c>
      <c r="AK189" s="200">
        <f>K189-AJ189-AI189-AH189</f>
        <v>-2320.877</v>
      </c>
      <c r="AL189" s="294">
        <v>167.751</v>
      </c>
      <c r="AM189" s="181">
        <f>BS189-AL189</f>
        <v>-1710.4369999999999</v>
      </c>
      <c r="AN189" s="294">
        <f>-623.588-AM189-AL189</f>
        <v>919.09799999999996</v>
      </c>
      <c r="AO189" s="200">
        <f>L189-AN189-AM189-AL189</f>
        <v>446.97599999999989</v>
      </c>
      <c r="AP189" s="294">
        <v>114.685</v>
      </c>
      <c r="AQ189" s="181">
        <f>BT189-AP189</f>
        <v>642.78600000000006</v>
      </c>
      <c r="AR189" s="294">
        <f>-692.951-AQ189-AP189</f>
        <v>-1450.422</v>
      </c>
      <c r="AS189" s="200">
        <f>M189-AR189-AQ189-AP189</f>
        <v>1222.152</v>
      </c>
      <c r="AT189" s="294">
        <v>-553</v>
      </c>
      <c r="AU189" s="181">
        <f>BU189-AT189</f>
        <v>-1302.3030000000001</v>
      </c>
      <c r="AV189" s="294">
        <f>-1905.246-AU189-AT189</f>
        <v>-49.942999999999984</v>
      </c>
      <c r="AW189" s="200">
        <f>N189-AV189-AU189-AT189</f>
        <v>-1148.2459999999999</v>
      </c>
      <c r="AX189" s="294">
        <v>0</v>
      </c>
      <c r="AY189" s="181">
        <f>BV189-AX189</f>
        <v>-4069.09</v>
      </c>
      <c r="AZ189" s="294">
        <f>-5861.764-AY189-AX189</f>
        <v>-1792.674</v>
      </c>
      <c r="BA189" s="200">
        <f>O189-AZ189-AY189-AX189</f>
        <v>-2134.6499999999996</v>
      </c>
      <c r="BB189" s="294">
        <v>0</v>
      </c>
      <c r="BC189" s="181">
        <f>BW189-BB189</f>
        <v>-3805.817</v>
      </c>
      <c r="BD189" s="294">
        <f>-5878.194-BC189-BB189</f>
        <v>-2072.3770000000004</v>
      </c>
      <c r="BE189" s="200">
        <f>P189-BD189-BC189-BB189</f>
        <v>-2271.4289999999992</v>
      </c>
      <c r="BF189" s="294">
        <v>-2161.4699999999998</v>
      </c>
      <c r="BG189" s="142"/>
      <c r="BH189" s="294">
        <v>250.822</v>
      </c>
      <c r="BI189" s="203">
        <f>BY189-BH189</f>
        <v>-8495.6319999999996</v>
      </c>
      <c r="BJ189" s="294">
        <f>-4098.374-BI189-BH189</f>
        <v>4146.4359999999997</v>
      </c>
      <c r="BK189" s="200">
        <f>I189-Z189-AB189-AA189</f>
        <v>-3673.4300000000003</v>
      </c>
      <c r="BL189" s="294">
        <v>148.18899999999999</v>
      </c>
      <c r="BM189" s="294"/>
      <c r="BN189" s="145">
        <v>-6705.2269999999999</v>
      </c>
      <c r="BO189" s="145">
        <v>-6255.8729999999996</v>
      </c>
      <c r="BP189" s="145">
        <v>-8244.81</v>
      </c>
      <c r="BQ189" s="145">
        <v>-1001.253</v>
      </c>
      <c r="BR189" s="145">
        <v>-541.11099999999999</v>
      </c>
      <c r="BS189" s="145">
        <v>-1542.6859999999999</v>
      </c>
      <c r="BT189" s="145">
        <v>757.471</v>
      </c>
      <c r="BU189" s="145">
        <v>-1855.3030000000001</v>
      </c>
      <c r="BV189" s="145">
        <v>-4069.09</v>
      </c>
      <c r="BW189" s="145">
        <v>-3805.817</v>
      </c>
      <c r="BX189" s="145"/>
      <c r="BY189" s="145">
        <v>-8244.81</v>
      </c>
      <c r="BZ189" s="145">
        <v>-1001.253</v>
      </c>
      <c r="CA189" s="145"/>
      <c r="CB189" s="145"/>
      <c r="CG189" s="260"/>
    </row>
    <row r="190" spans="2:85" s="5" customFormat="1" ht="13.5" customHeight="1">
      <c r="B190" s="16" t="s">
        <v>416</v>
      </c>
      <c r="C190" s="8">
        <f t="shared" ref="C190:H190" si="671">SUM(C186:C189)</f>
        <v>-85290.915000000008</v>
      </c>
      <c r="D190" s="8">
        <f t="shared" si="671"/>
        <v>40694.770000000004</v>
      </c>
      <c r="E190" s="8">
        <f t="shared" si="671"/>
        <v>-42533.483999999997</v>
      </c>
      <c r="F190" s="8">
        <f t="shared" si="671"/>
        <v>-36626.633000000002</v>
      </c>
      <c r="G190" s="8">
        <f t="shared" si="671"/>
        <v>-36626.633000000002</v>
      </c>
      <c r="H190" s="8">
        <f t="shared" si="671"/>
        <v>7264.0220000000008</v>
      </c>
      <c r="I190" s="8">
        <f t="shared" ref="I190:N190" si="672">SUM(I186:I189)</f>
        <v>134614.022</v>
      </c>
      <c r="J190" s="8">
        <f t="shared" si="672"/>
        <v>-37789.719000000005</v>
      </c>
      <c r="K190" s="8">
        <f t="shared" si="672"/>
        <v>-298579.29800000001</v>
      </c>
      <c r="L190" s="8">
        <f t="shared" si="672"/>
        <v>266086.07699999999</v>
      </c>
      <c r="M190" s="8">
        <f>SUM(M186:M189)</f>
        <v>-169291.54</v>
      </c>
      <c r="N190" s="8">
        <f t="shared" si="672"/>
        <v>-226658.851</v>
      </c>
      <c r="O190" s="8">
        <f>SUM(O186:O189)</f>
        <v>-147659.348</v>
      </c>
      <c r="P190" s="8">
        <f>SUM(P186:P189)</f>
        <v>62338.771000000001</v>
      </c>
      <c r="Q190" s="8"/>
      <c r="R190" s="8">
        <f t="shared" ref="R190:W190" si="673">SUM(R186:R189)</f>
        <v>-1797.3670000000002</v>
      </c>
      <c r="S190" s="8">
        <f t="shared" si="673"/>
        <v>-15978.531999999999</v>
      </c>
      <c r="T190" s="8">
        <f t="shared" si="673"/>
        <v>-17399.189000000002</v>
      </c>
      <c r="U190" s="8">
        <f t="shared" si="673"/>
        <v>-7358.3960000000006</v>
      </c>
      <c r="V190" s="8">
        <f t="shared" si="673"/>
        <v>-5496.0609999999997</v>
      </c>
      <c r="W190" s="8">
        <f t="shared" si="673"/>
        <v>-15184.796999999999</v>
      </c>
      <c r="X190" s="8">
        <f t="shared" ref="X190:AC190" si="674">SUM(X186:X189)</f>
        <v>-6571.8639999999996</v>
      </c>
      <c r="Y190" s="8">
        <f t="shared" si="674"/>
        <v>-9373.9110000000001</v>
      </c>
      <c r="Z190" s="182">
        <f t="shared" si="674"/>
        <v>28504.077000000001</v>
      </c>
      <c r="AA190" s="182">
        <f t="shared" si="674"/>
        <v>-13263.823999999999</v>
      </c>
      <c r="AB190" s="182">
        <f t="shared" si="674"/>
        <v>-1017.8050000000012</v>
      </c>
      <c r="AC190" s="182">
        <f t="shared" si="674"/>
        <v>-6958.4259999999977</v>
      </c>
      <c r="AD190" s="182">
        <f t="shared" ref="AD190:AI190" si="675">SUM(AD186:AD189)</f>
        <v>-79010.793000000005</v>
      </c>
      <c r="AE190" s="182">
        <f t="shared" si="675"/>
        <v>-4905.1559999999981</v>
      </c>
      <c r="AF190" s="182">
        <f t="shared" si="675"/>
        <v>22024.099000000002</v>
      </c>
      <c r="AG190" s="182">
        <f t="shared" si="675"/>
        <v>24102.131000000001</v>
      </c>
      <c r="AH190" s="182">
        <f t="shared" si="675"/>
        <v>939.87399999999968</v>
      </c>
      <c r="AI190" s="182">
        <f t="shared" si="675"/>
        <v>-159359.06599999996</v>
      </c>
      <c r="AJ190" s="182">
        <f t="shared" ref="AJ190:AO190" si="676">SUM(AJ186:AJ189)</f>
        <v>-118046.29499999998</v>
      </c>
      <c r="AK190" s="182">
        <f t="shared" si="676"/>
        <v>-22113.811000000038</v>
      </c>
      <c r="AL190" s="182">
        <f t="shared" si="676"/>
        <v>34482.952999999994</v>
      </c>
      <c r="AM190" s="182">
        <f t="shared" si="676"/>
        <v>225827.38599999997</v>
      </c>
      <c r="AN190" s="182">
        <f t="shared" si="676"/>
        <v>3437.2289999999939</v>
      </c>
      <c r="AO190" s="182">
        <f t="shared" si="676"/>
        <v>2338.5090000000537</v>
      </c>
      <c r="AP190" s="182">
        <f t="shared" ref="AP190:AU190" si="677">SUM(AP186:AP189)</f>
        <v>57355.601999999992</v>
      </c>
      <c r="AQ190" s="182">
        <f t="shared" si="677"/>
        <v>12800.146999999997</v>
      </c>
      <c r="AR190" s="182">
        <f t="shared" si="677"/>
        <v>-100118.519</v>
      </c>
      <c r="AS190" s="182">
        <f t="shared" si="677"/>
        <v>-139328.76999999999</v>
      </c>
      <c r="AT190" s="182">
        <f t="shared" si="677"/>
        <v>-56089.621000000006</v>
      </c>
      <c r="AU190" s="182">
        <f t="shared" si="677"/>
        <v>-193721.07200000004</v>
      </c>
      <c r="AV190" s="182">
        <f t="shared" ref="AV190:BA190" si="678">SUM(AV186:AV189)</f>
        <v>22675.007000000005</v>
      </c>
      <c r="AW190" s="182">
        <f t="shared" si="678"/>
        <v>476.83499999999844</v>
      </c>
      <c r="AX190" s="182">
        <f t="shared" si="678"/>
        <v>-23141.41</v>
      </c>
      <c r="AY190" s="182">
        <f t="shared" si="678"/>
        <v>-39967.937999999995</v>
      </c>
      <c r="AZ190" s="182">
        <f t="shared" si="678"/>
        <v>-68138.156999999992</v>
      </c>
      <c r="BA190" s="182">
        <f t="shared" si="678"/>
        <v>-16411.843000000023</v>
      </c>
      <c r="BB190" s="182">
        <f>SUM(BB186:BB189)</f>
        <v>-21455.773000000001</v>
      </c>
      <c r="BC190" s="182">
        <f>SUM(BC186:BC189)</f>
        <v>43067.116000000002</v>
      </c>
      <c r="BD190" s="182">
        <f>SUM(BD186:BD189)</f>
        <v>4773.434000000002</v>
      </c>
      <c r="BE190" s="182">
        <f>SUM(BE186:BE189)</f>
        <v>35953.993999999999</v>
      </c>
      <c r="BF190" s="182">
        <f>SUM(BF186:BF189)</f>
        <v>58633.903999999995</v>
      </c>
      <c r="BG190" s="142"/>
      <c r="BH190" s="182">
        <f>SUM(BH186:BH189)</f>
        <v>-19145.923000000003</v>
      </c>
      <c r="BI190" s="182">
        <f>SUM(BI186:BI189)</f>
        <v>61736.176000000007</v>
      </c>
      <c r="BJ190" s="182">
        <f>SUM(BJ186:BJ189)</f>
        <v>58982.195</v>
      </c>
      <c r="BK190" s="182">
        <f>SUM(BK186:BK189)</f>
        <v>120391.57400000002</v>
      </c>
      <c r="BL190" s="182">
        <f>SUM(BL186:BL189)</f>
        <v>-79010.793000000005</v>
      </c>
      <c r="BM190" s="182"/>
      <c r="BN190" s="8">
        <f t="shared" ref="BN190:BS190" si="679">SUM(BN186:BN189)</f>
        <v>-17775.899000000001</v>
      </c>
      <c r="BO190" s="8">
        <f t="shared" si="679"/>
        <v>-20680.858</v>
      </c>
      <c r="BP190" s="8">
        <f t="shared" si="679"/>
        <v>15240.253000000002</v>
      </c>
      <c r="BQ190" s="8">
        <f t="shared" si="679"/>
        <v>-83915.949000000008</v>
      </c>
      <c r="BR190" s="8">
        <f t="shared" si="679"/>
        <v>-158419.19199999998</v>
      </c>
      <c r="BS190" s="55">
        <f t="shared" si="679"/>
        <v>260310.33899999998</v>
      </c>
      <c r="BT190" s="55">
        <f>SUM(BT186:BT189)</f>
        <v>70155.748999999996</v>
      </c>
      <c r="BU190" s="55">
        <f>SUM(BU186:BU189)</f>
        <v>-249810.69300000003</v>
      </c>
      <c r="BV190" s="55">
        <f>SUM(BV186:BV189)</f>
        <v>-63109.347999999998</v>
      </c>
      <c r="BW190" s="55">
        <f>SUM(BW186:BW189)</f>
        <v>21611.343000000001</v>
      </c>
      <c r="BX190" s="8"/>
      <c r="BY190" s="8">
        <f>SUM(BY186:BY189)</f>
        <v>42590.253000000004</v>
      </c>
      <c r="BZ190" s="8">
        <f>SUM(BZ186:BZ189)</f>
        <v>-83915.949000000008</v>
      </c>
      <c r="CA190" s="8"/>
      <c r="CB190" s="8"/>
      <c r="CG190" s="260"/>
    </row>
    <row r="191" spans="2:85" s="5" customFormat="1" ht="13.5" customHeight="1">
      <c r="B191" s="7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182"/>
      <c r="AA191" s="182"/>
      <c r="AB191" s="182"/>
      <c r="AC191" s="182"/>
      <c r="AD191" s="182"/>
      <c r="AE191" s="182"/>
      <c r="AF191" s="182"/>
      <c r="AG191" s="182"/>
      <c r="AH191" s="182"/>
      <c r="AI191" s="182"/>
      <c r="AJ191" s="182"/>
      <c r="AK191" s="182"/>
      <c r="AL191" s="182"/>
      <c r="AM191" s="182"/>
      <c r="AN191" s="182"/>
      <c r="AO191" s="182"/>
      <c r="AP191" s="182"/>
      <c r="AQ191" s="182"/>
      <c r="AR191" s="182"/>
      <c r="AS191" s="182"/>
      <c r="AT191" s="182"/>
      <c r="AU191" s="182"/>
      <c r="AV191" s="182"/>
      <c r="AW191" s="182"/>
      <c r="AX191" s="182"/>
      <c r="AY191" s="182"/>
      <c r="AZ191" s="182"/>
      <c r="BA191" s="182"/>
      <c r="BB191" s="182"/>
      <c r="BC191" s="182"/>
      <c r="BD191" s="182"/>
      <c r="BE191" s="182"/>
      <c r="BF191" s="182"/>
      <c r="BG191" s="142"/>
      <c r="BH191" s="182"/>
      <c r="BI191" s="182"/>
      <c r="BJ191" s="182"/>
      <c r="BK191" s="182"/>
      <c r="BL191" s="182"/>
      <c r="BM191" s="182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G191" s="260"/>
    </row>
    <row r="192" spans="2:85" s="5" customFormat="1" ht="13.5" customHeight="1">
      <c r="B192" s="7" t="s">
        <v>417</v>
      </c>
      <c r="C192" s="8">
        <f t="shared" ref="C192:H192" si="680">C190+C184+C177</f>
        <v>-16600.287999999971</v>
      </c>
      <c r="D192" s="8">
        <f t="shared" si="680"/>
        <v>88575.227999999915</v>
      </c>
      <c r="E192" s="8">
        <f t="shared" si="680"/>
        <v>-84864.316999999995</v>
      </c>
      <c r="F192" s="8">
        <f t="shared" si="680"/>
        <v>12034.426000000007</v>
      </c>
      <c r="G192" s="8">
        <f t="shared" si="680"/>
        <v>12034.426000000007</v>
      </c>
      <c r="H192" s="8">
        <f t="shared" si="680"/>
        <v>349809.66399999993</v>
      </c>
      <c r="I192" s="8">
        <f t="shared" ref="I192:N192" si="681">I190+I184+I177</f>
        <v>646441.27899999986</v>
      </c>
      <c r="J192" s="8">
        <f t="shared" si="681"/>
        <v>540467.70699999994</v>
      </c>
      <c r="K192" s="8">
        <f t="shared" si="681"/>
        <v>1018893.6189999996</v>
      </c>
      <c r="L192" s="8">
        <f t="shared" si="681"/>
        <v>268034.86899999989</v>
      </c>
      <c r="M192" s="8">
        <f>M190+M184+M177</f>
        <v>-228879.57600000047</v>
      </c>
      <c r="N192" s="8">
        <f t="shared" si="681"/>
        <v>502590.37999999989</v>
      </c>
      <c r="O192" s="8">
        <f>O190+O184+O177</f>
        <v>239757.29000000018</v>
      </c>
      <c r="P192" s="8">
        <f>P190+P184+P177</f>
        <v>66296.74700000009</v>
      </c>
      <c r="Q192" s="8"/>
      <c r="R192" s="8">
        <f t="shared" ref="R192:W192" si="682">R190+R184+R177</f>
        <v>-16641.243000000013</v>
      </c>
      <c r="S192" s="8">
        <f t="shared" si="682"/>
        <v>-28800.729999999981</v>
      </c>
      <c r="T192" s="8">
        <f t="shared" si="682"/>
        <v>-41961.893999999986</v>
      </c>
      <c r="U192" s="8">
        <f t="shared" si="682"/>
        <v>2539.5500000000466</v>
      </c>
      <c r="V192" s="8">
        <f t="shared" si="682"/>
        <v>5512.8700000000099</v>
      </c>
      <c r="W192" s="8">
        <f t="shared" si="682"/>
        <v>41841.941999999966</v>
      </c>
      <c r="X192" s="8">
        <f t="shared" ref="X192:AC192" si="683">X190+X184+X177</f>
        <v>-40223.864000000001</v>
      </c>
      <c r="Y192" s="8">
        <f t="shared" si="683"/>
        <v>4903.4780000000464</v>
      </c>
      <c r="Z192" s="182">
        <f t="shared" si="683"/>
        <v>86854.990999999965</v>
      </c>
      <c r="AA192" s="182">
        <f t="shared" si="683"/>
        <v>43312.299999999952</v>
      </c>
      <c r="AB192" s="182">
        <f t="shared" si="683"/>
        <v>89070.370999999985</v>
      </c>
      <c r="AC192" s="182">
        <f t="shared" si="683"/>
        <v>130572.00200000007</v>
      </c>
      <c r="AD192" s="182">
        <f t="shared" ref="AD192:AI192" si="684">AD190+AD184+AD177</f>
        <v>-88484.505000000034</v>
      </c>
      <c r="AE192" s="182">
        <f t="shared" si="684"/>
        <v>276300.03300000011</v>
      </c>
      <c r="AF192" s="182">
        <f t="shared" si="684"/>
        <v>-54927.357000000004</v>
      </c>
      <c r="AG192" s="182">
        <f t="shared" si="684"/>
        <v>407579.53599999979</v>
      </c>
      <c r="AH192" s="182">
        <f t="shared" si="684"/>
        <v>569792.35600000003</v>
      </c>
      <c r="AI192" s="182">
        <f t="shared" si="684"/>
        <v>254671.35700000002</v>
      </c>
      <c r="AJ192" s="182">
        <f t="shared" ref="AJ192:AO192" si="685">AJ190+AJ184+AJ177</f>
        <v>148229.12500000009</v>
      </c>
      <c r="AK192" s="182">
        <f t="shared" si="685"/>
        <v>46200.780999999828</v>
      </c>
      <c r="AL192" s="182">
        <f t="shared" si="685"/>
        <v>25139.848000000085</v>
      </c>
      <c r="AM192" s="182">
        <f t="shared" si="685"/>
        <v>435065.18599999999</v>
      </c>
      <c r="AN192" s="182">
        <f t="shared" si="685"/>
        <v>-327139.00399999996</v>
      </c>
      <c r="AO192" s="182">
        <f t="shared" si="685"/>
        <v>134968.83899999989</v>
      </c>
      <c r="AP192" s="182">
        <f t="shared" ref="AP192:AU192" si="686">AP190+AP184+AP177</f>
        <v>254427.53599999988</v>
      </c>
      <c r="AQ192" s="182">
        <f t="shared" si="686"/>
        <v>-255391.24699999992</v>
      </c>
      <c r="AR192" s="182">
        <f t="shared" si="686"/>
        <v>164773.01099999994</v>
      </c>
      <c r="AS192" s="182">
        <f t="shared" si="686"/>
        <v>-392688.87599999993</v>
      </c>
      <c r="AT192" s="182">
        <f t="shared" si="686"/>
        <v>81496.37599999996</v>
      </c>
      <c r="AU192" s="182">
        <f t="shared" si="686"/>
        <v>235074.65399999978</v>
      </c>
      <c r="AV192" s="182">
        <f t="shared" ref="AV192:BA192" si="687">AV190+AV184+AV177</f>
        <v>293054.61100000009</v>
      </c>
      <c r="AW192" s="182">
        <f t="shared" si="687"/>
        <v>-107035.26100000009</v>
      </c>
      <c r="AX192" s="182">
        <f t="shared" si="687"/>
        <v>347025.90899999999</v>
      </c>
      <c r="AY192" s="182">
        <f t="shared" si="687"/>
        <v>-48503.893999999971</v>
      </c>
      <c r="AZ192" s="182">
        <f t="shared" si="687"/>
        <v>57876.451999999837</v>
      </c>
      <c r="BA192" s="182">
        <f t="shared" si="687"/>
        <v>-116641.17699999982</v>
      </c>
      <c r="BB192" s="182">
        <f>BB190+BB184+BB177</f>
        <v>300217.83799999987</v>
      </c>
      <c r="BC192" s="182">
        <f>BC190+BC184+BC177</f>
        <v>6850.9070000000283</v>
      </c>
      <c r="BD192" s="182">
        <f>BD190+BD184+BD177</f>
        <v>45638.069000000221</v>
      </c>
      <c r="BE192" s="182">
        <f>BE190+BE184+BE177</f>
        <v>-286410.06700000021</v>
      </c>
      <c r="BF192" s="182">
        <f>BF190+BF184+BF177</f>
        <v>331191.38399999996</v>
      </c>
      <c r="BG192" s="142"/>
      <c r="BH192" s="182">
        <f>BH190+BH184+BH177</f>
        <v>16929.130999999979</v>
      </c>
      <c r="BI192" s="182">
        <f>BI190+BI184+BI177</f>
        <v>153524.80800000002</v>
      </c>
      <c r="BJ192" s="182">
        <f>BJ190+BJ184+BJ177</f>
        <v>197666.94600000003</v>
      </c>
      <c r="BK192" s="182">
        <f>BK190+BK184+BK177</f>
        <v>427203.61700000032</v>
      </c>
      <c r="BL192" s="182">
        <f>BL190+BL184+BL177</f>
        <v>-88484.505000000034</v>
      </c>
      <c r="BM192" s="182"/>
      <c r="BN192" s="8">
        <f t="shared" ref="BN192:BS192" si="688">BN190+BN184+BN177</f>
        <v>-45441.973000000005</v>
      </c>
      <c r="BO192" s="8">
        <f t="shared" si="688"/>
        <v>47354.811999999976</v>
      </c>
      <c r="BP192" s="8">
        <f t="shared" si="688"/>
        <v>130167.29099999995</v>
      </c>
      <c r="BQ192" s="8">
        <f t="shared" si="688"/>
        <v>187815.52799999999</v>
      </c>
      <c r="BR192" s="8">
        <f t="shared" si="688"/>
        <v>824463.71300000011</v>
      </c>
      <c r="BS192" s="8">
        <f t="shared" si="688"/>
        <v>460205.0340000001</v>
      </c>
      <c r="BT192" s="8">
        <f>BT190+BT184+BT177</f>
        <v>-963.711000000083</v>
      </c>
      <c r="BU192" s="8">
        <f>BU190+BU184+BU177</f>
        <v>316571.03000000003</v>
      </c>
      <c r="BV192" s="8">
        <f>BV190+BV184+BV177</f>
        <v>298522.01499999978</v>
      </c>
      <c r="BW192" s="8">
        <f>BW190+BW184+BW177</f>
        <v>307068.74500000005</v>
      </c>
      <c r="BX192" s="8"/>
      <c r="BY192" s="8">
        <f>BY190+BY184+BY177</f>
        <v>170453.93900000007</v>
      </c>
      <c r="BZ192" s="8">
        <f>BZ190+BZ184+BZ177</f>
        <v>187815.52799999999</v>
      </c>
      <c r="CA192" s="8"/>
      <c r="CB192" s="8"/>
      <c r="CG192" s="260"/>
    </row>
    <row r="193" spans="1:86" s="5" customFormat="1" ht="13.5" customHeight="1">
      <c r="B193" s="7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BG193" s="142"/>
      <c r="BH193" s="182"/>
      <c r="BI193" s="182"/>
      <c r="BJ193" s="182"/>
      <c r="BK193" s="182"/>
      <c r="BL193" s="182"/>
      <c r="BM193" s="182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G193" s="260"/>
    </row>
    <row r="194" spans="1:86" s="5" customFormat="1" ht="13.5" customHeight="1">
      <c r="B194" s="16" t="s">
        <v>418</v>
      </c>
      <c r="C194" s="8">
        <f t="shared" ref="C194:H194" si="689">C192+C152</f>
        <v>-51136.957000000009</v>
      </c>
      <c r="D194" s="8">
        <f t="shared" si="689"/>
        <v>58051.797999999937</v>
      </c>
      <c r="E194" s="8">
        <f t="shared" si="689"/>
        <v>-62850.00599999995</v>
      </c>
      <c r="F194" s="8">
        <f t="shared" si="689"/>
        <v>-65525.882000000012</v>
      </c>
      <c r="G194" s="8">
        <f t="shared" si="689"/>
        <v>-65525.882000000012</v>
      </c>
      <c r="H194" s="8">
        <f t="shared" si="689"/>
        <v>184703.18199999994</v>
      </c>
      <c r="I194" s="8">
        <f t="shared" ref="I194:N194" si="690">I192+I152</f>
        <v>184703.1819999998</v>
      </c>
      <c r="J194" s="8">
        <f t="shared" si="690"/>
        <v>132729.88699999999</v>
      </c>
      <c r="K194" s="8">
        <f t="shared" si="690"/>
        <v>1728485.4379999996</v>
      </c>
      <c r="L194" s="8">
        <f t="shared" si="690"/>
        <v>-418818.37600000022</v>
      </c>
      <c r="M194" s="8">
        <f>M192+M152</f>
        <v>-191667.4370000005</v>
      </c>
      <c r="N194" s="8">
        <f t="shared" si="690"/>
        <v>566146.33099999989</v>
      </c>
      <c r="O194" s="8">
        <f>O192+O152</f>
        <v>736595.92900000024</v>
      </c>
      <c r="P194" s="8">
        <f>P192+P152</f>
        <v>-270927.24599999993</v>
      </c>
      <c r="Q194" s="8"/>
      <c r="R194" s="8">
        <f t="shared" ref="R194:W194" si="691">R192+R152</f>
        <v>-30575.160000000029</v>
      </c>
      <c r="S194" s="8">
        <f t="shared" si="691"/>
        <v>-84768.776000000042</v>
      </c>
      <c r="T194" s="8">
        <f t="shared" si="691"/>
        <v>-58279.878999999899</v>
      </c>
      <c r="U194" s="8">
        <f t="shared" si="691"/>
        <v>110773.83499999993</v>
      </c>
      <c r="V194" s="8">
        <f t="shared" si="691"/>
        <v>-44510.265999999974</v>
      </c>
      <c r="W194" s="8">
        <f t="shared" si="691"/>
        <v>3678.9489999999787</v>
      </c>
      <c r="X194" s="8">
        <f t="shared" ref="X194:AC194" si="692">X192+X152</f>
        <v>-14082.543000000052</v>
      </c>
      <c r="Y194" s="8">
        <f t="shared" si="692"/>
        <v>-10611.326999999917</v>
      </c>
      <c r="Z194" s="182">
        <f t="shared" si="692"/>
        <v>3392.5229999999574</v>
      </c>
      <c r="AA194" s="182">
        <f t="shared" si="692"/>
        <v>-23901.476000000031</v>
      </c>
      <c r="AB194" s="182" t="e">
        <f t="shared" si="692"/>
        <v>#REF!</v>
      </c>
      <c r="AC194" s="182" t="e">
        <f t="shared" si="692"/>
        <v>#REF!</v>
      </c>
      <c r="AD194" s="182">
        <f t="shared" ref="AD194:AI194" si="693">AD192+AD152</f>
        <v>-111811.04900000003</v>
      </c>
      <c r="AE194" s="182">
        <f t="shared" si="693"/>
        <v>-17335.852000000596</v>
      </c>
      <c r="AF194" s="182">
        <f t="shared" si="693"/>
        <v>-46533.241999999402</v>
      </c>
      <c r="AG194" s="182">
        <f t="shared" si="693"/>
        <v>308410.0299999995</v>
      </c>
      <c r="AH194" s="182">
        <f t="shared" si="693"/>
        <v>1223807.8489999999</v>
      </c>
      <c r="AI194" s="182">
        <f t="shared" si="693"/>
        <v>559978.64299999992</v>
      </c>
      <c r="AJ194" s="182">
        <f t="shared" ref="AJ194:AO194" si="694">AJ192+AJ152</f>
        <v>-33851.207999999839</v>
      </c>
      <c r="AK194" s="182">
        <f t="shared" si="694"/>
        <v>-21449.846000000267</v>
      </c>
      <c r="AL194" s="182">
        <f t="shared" si="694"/>
        <v>-167193.37799999994</v>
      </c>
      <c r="AM194" s="182">
        <f t="shared" si="694"/>
        <v>193721.27500000011</v>
      </c>
      <c r="AN194" s="182">
        <f t="shared" si="694"/>
        <v>-627615.36300000013</v>
      </c>
      <c r="AO194" s="182">
        <f t="shared" si="694"/>
        <v>182269.08999999962</v>
      </c>
      <c r="AP194" s="182">
        <f t="shared" ref="AP194:AU194" si="695">AP192+AP152</f>
        <v>82267.648999999859</v>
      </c>
      <c r="AQ194" s="182">
        <f t="shared" si="695"/>
        <v>-169157.20300000001</v>
      </c>
      <c r="AR194" s="182">
        <f t="shared" si="695"/>
        <v>1124816.7800000003</v>
      </c>
      <c r="AS194" s="182">
        <f t="shared" si="695"/>
        <v>-1229594.6630000004</v>
      </c>
      <c r="AT194" s="182">
        <f t="shared" si="695"/>
        <v>5669.3029999999562</v>
      </c>
      <c r="AU194" s="182">
        <f t="shared" si="695"/>
        <v>-98122.381000000256</v>
      </c>
      <c r="AV194" s="182">
        <f t="shared" ref="AV194:BA194" si="696">AV192+AV152</f>
        <v>392473.47500000021</v>
      </c>
      <c r="AW194" s="182">
        <f t="shared" si="696"/>
        <v>266125.93399999954</v>
      </c>
      <c r="AX194" s="182">
        <f t="shared" si="696"/>
        <v>152555.55799999999</v>
      </c>
      <c r="AY194" s="182">
        <f t="shared" si="696"/>
        <v>-8188.7930000000633</v>
      </c>
      <c r="AZ194" s="182">
        <f t="shared" si="696"/>
        <v>439561.12199999986</v>
      </c>
      <c r="BA194" s="182">
        <f t="shared" si="696"/>
        <v>152668.04200000045</v>
      </c>
      <c r="BB194" s="182">
        <f>BB192+BB152</f>
        <v>-246344.95600000012</v>
      </c>
      <c r="BC194" s="182">
        <f>BC192+BC152</f>
        <v>115383.71000000011</v>
      </c>
      <c r="BD194" s="182">
        <f>BD192+BD152</f>
        <v>-90356.764999999839</v>
      </c>
      <c r="BE194" s="182">
        <f>BE192+BE152</f>
        <v>-49609.235000000044</v>
      </c>
      <c r="BF194" s="182">
        <f>BF192+BF152</f>
        <v>399312.97899999993</v>
      </c>
      <c r="BG194" s="142"/>
      <c r="BH194" s="182">
        <f>BH192+BH152</f>
        <v>3392.5229999999865</v>
      </c>
      <c r="BI194" s="182">
        <f>BI192+BI152</f>
        <v>-23901.475999999937</v>
      </c>
      <c r="BJ194" s="182" t="e">
        <f>BJ192+BJ152</f>
        <v>#REF!</v>
      </c>
      <c r="BK194" s="182" t="e">
        <f>BK192+BK152</f>
        <v>#REF!</v>
      </c>
      <c r="BL194" s="182">
        <f>BL192+BL152</f>
        <v>-111811.04900000003</v>
      </c>
      <c r="BM194" s="182"/>
      <c r="BN194" s="8">
        <f t="shared" ref="BN194:BS194" si="697">BN192+BN152</f>
        <v>-115343.99400000001</v>
      </c>
      <c r="BO194" s="8">
        <f t="shared" si="697"/>
        <v>-40831.31700000001</v>
      </c>
      <c r="BP194" s="8">
        <f t="shared" si="697"/>
        <v>-20508.953000000052</v>
      </c>
      <c r="BQ194" s="8">
        <f t="shared" si="697"/>
        <v>-129146.90100000001</v>
      </c>
      <c r="BR194" s="8">
        <f t="shared" si="697"/>
        <v>1783786.4920000001</v>
      </c>
      <c r="BS194" s="8">
        <f t="shared" si="697"/>
        <v>26527.897000000114</v>
      </c>
      <c r="BT194" s="8">
        <f>BT192+BT152</f>
        <v>-86889.554000000076</v>
      </c>
      <c r="BU194" s="8">
        <f>BU192+BU152</f>
        <v>-92453.07799999998</v>
      </c>
      <c r="BV194" s="8">
        <f>BV192+BV152</f>
        <v>144366.76499999978</v>
      </c>
      <c r="BW194" s="8">
        <f>BW192+BW152</f>
        <v>-130961.24599999987</v>
      </c>
      <c r="BX194" s="8"/>
      <c r="BY194" s="8">
        <f>BY192+BY152</f>
        <v>-20508.952999999921</v>
      </c>
      <c r="BZ194" s="8">
        <f>BZ192+BZ152</f>
        <v>-129146.90100000001</v>
      </c>
      <c r="CA194" s="8"/>
      <c r="CB194" s="8"/>
      <c r="CG194" s="260"/>
    </row>
    <row r="195" spans="1:86" ht="13.5" customHeight="1">
      <c r="B195" s="7" t="s">
        <v>419</v>
      </c>
      <c r="C195" s="4">
        <v>13573.178</v>
      </c>
      <c r="D195" s="4">
        <v>-7118.8069999999998</v>
      </c>
      <c r="E195" s="4">
        <v>-22216.406999999999</v>
      </c>
      <c r="F195" s="4">
        <v>-15508.194</v>
      </c>
      <c r="G195" s="4">
        <v>-15508.194</v>
      </c>
      <c r="H195" s="4">
        <v>9749.83</v>
      </c>
      <c r="I195" s="4">
        <v>9749.83</v>
      </c>
      <c r="J195" s="4">
        <v>15640.299000000001</v>
      </c>
      <c r="K195" s="4">
        <v>-103891.485</v>
      </c>
      <c r="L195" s="4">
        <v>19468.608</v>
      </c>
      <c r="M195" s="4">
        <v>-20634.567999999999</v>
      </c>
      <c r="N195" s="4">
        <f>13156.879</f>
        <v>13156.879000000001</v>
      </c>
      <c r="O195" s="4">
        <v>26398.717000000001</v>
      </c>
      <c r="P195" s="4">
        <v>-9959.2999999999993</v>
      </c>
      <c r="Q195" s="4"/>
      <c r="R195" s="4">
        <v>-12310.035</v>
      </c>
      <c r="S195" s="6">
        <f>BN195-R195</f>
        <v>543.12700000000041</v>
      </c>
      <c r="T195" s="145">
        <f>-19345.839-S195-R195</f>
        <v>-7578.9310000000005</v>
      </c>
      <c r="U195" s="6">
        <f>E195-T195-S195-R195</f>
        <v>-2870.5679999999993</v>
      </c>
      <c r="V195" s="4">
        <v>7448.9089999999997</v>
      </c>
      <c r="W195" s="6">
        <f>BO195-V195</f>
        <v>-3130.4679999999998</v>
      </c>
      <c r="X195" s="145">
        <f>-5103.47-W195-V195</f>
        <v>-9421.9110000000001</v>
      </c>
      <c r="Y195" s="6">
        <f>F195-X195-W195-V195</f>
        <v>-10404.723999999998</v>
      </c>
      <c r="Z195" s="294">
        <v>-1333.2950000000001</v>
      </c>
      <c r="AA195" s="181">
        <f>BP195-Z195</f>
        <v>8683.0689999999995</v>
      </c>
      <c r="AB195" s="294">
        <f>7178.068-AA195-Z195</f>
        <v>-171.70599999999922</v>
      </c>
      <c r="AC195" s="200">
        <f>H195-AB195-AA195-Z195</f>
        <v>2571.7620000000006</v>
      </c>
      <c r="AD195" s="294">
        <v>-1190.722</v>
      </c>
      <c r="AE195" s="181">
        <f>BQ195-AD195</f>
        <v>742.14699999999993</v>
      </c>
      <c r="AF195" s="294">
        <f>4593.444-AE195-AD195</f>
        <v>5042.0190000000002</v>
      </c>
      <c r="AG195" s="200">
        <f>J195-AF195-AE195-AD195</f>
        <v>11046.855000000001</v>
      </c>
      <c r="AH195" s="294">
        <v>9931.9959999999992</v>
      </c>
      <c r="AI195" s="181">
        <f>BR195-AH195</f>
        <v>-28241.666999999998</v>
      </c>
      <c r="AJ195" s="294">
        <f>-60344.648-AI195-AH195</f>
        <v>-42034.976999999999</v>
      </c>
      <c r="AK195" s="200">
        <f>K195-AJ195-AI195-AH195</f>
        <v>-43546.837</v>
      </c>
      <c r="AL195" s="294">
        <v>-8613.6</v>
      </c>
      <c r="AM195" s="181">
        <f>BS195-AL195</f>
        <v>-10161.416999999999</v>
      </c>
      <c r="AN195" s="294">
        <f>1483.779-AM195-AL195</f>
        <v>20258.796000000002</v>
      </c>
      <c r="AO195" s="200">
        <f>L195-AN195-AM195-AL195</f>
        <v>17984.828999999998</v>
      </c>
      <c r="AP195" s="294">
        <v>5748.4129999999996</v>
      </c>
      <c r="AQ195" s="181">
        <f>BT195-AP195</f>
        <v>47845.885999999999</v>
      </c>
      <c r="AR195" s="294">
        <f>48466.722-833029.204-AQ195-AP195</f>
        <v>-838156.78099999996</v>
      </c>
      <c r="AS195" s="200">
        <f>M195-AR195-AQ195-AP195</f>
        <v>763927.91400000011</v>
      </c>
      <c r="AT195" s="294">
        <v>-36065.595000000001</v>
      </c>
      <c r="AU195" s="181">
        <f>BU195-AT195</f>
        <v>15920.467000000001</v>
      </c>
      <c r="AV195" s="294">
        <f>14322.51-AU195-AT195</f>
        <v>34467.637999999999</v>
      </c>
      <c r="AW195" s="200">
        <f>N195-AV195-AU195-AT195</f>
        <v>-1165.6309999999939</v>
      </c>
      <c r="AX195" s="294">
        <v>61839.459000000003</v>
      </c>
      <c r="AY195" s="181">
        <f>BV195-AX195</f>
        <v>-52115.03</v>
      </c>
      <c r="AZ195" s="294">
        <f>-22166.9-AY195-AX195</f>
        <v>-31891.329000000005</v>
      </c>
      <c r="BA195" s="200">
        <f>O195-AZ195-AY195-AX195</f>
        <v>48565.616999999998</v>
      </c>
      <c r="BB195" s="294">
        <v>-28743.642</v>
      </c>
      <c r="BC195" s="181">
        <f>BW195-BB195</f>
        <v>-6230.0760000000009</v>
      </c>
      <c r="BD195" s="294">
        <f>4615.51-BC195-BB195</f>
        <v>39589.228000000003</v>
      </c>
      <c r="BE195" s="200">
        <f>P195-BD195-BC195-BB195</f>
        <v>-14574.810000000005</v>
      </c>
      <c r="BF195" s="294">
        <v>6992.2659999999996</v>
      </c>
      <c r="BG195" s="142"/>
      <c r="BH195" s="294">
        <v>-1333.2950000000001</v>
      </c>
      <c r="BI195" s="203">
        <f>BY195-BH195</f>
        <v>8683.0689999999995</v>
      </c>
      <c r="BJ195" s="294">
        <f>7178.068-BI195-BH195</f>
        <v>-171.70599999999922</v>
      </c>
      <c r="BK195" s="200">
        <f>I195-Z195-AB195-AA195</f>
        <v>2571.7619999999988</v>
      </c>
      <c r="BL195" s="294">
        <v>-1190.722</v>
      </c>
      <c r="BM195" s="294"/>
      <c r="BN195" s="4">
        <v>-11766.907999999999</v>
      </c>
      <c r="BO195" s="4">
        <v>4318.4409999999998</v>
      </c>
      <c r="BP195" s="4">
        <v>7349.7740000000003</v>
      </c>
      <c r="BQ195" s="145">
        <v>-448.57499999999999</v>
      </c>
      <c r="BR195" s="145">
        <v>-18309.670999999998</v>
      </c>
      <c r="BS195" s="145">
        <v>-18775.017</v>
      </c>
      <c r="BT195" s="145">
        <v>53594.298999999999</v>
      </c>
      <c r="BU195" s="145">
        <v>-20145.128000000001</v>
      </c>
      <c r="BV195" s="145">
        <v>9724.4290000000001</v>
      </c>
      <c r="BW195" s="145">
        <v>-34973.718000000001</v>
      </c>
      <c r="BX195" s="4"/>
      <c r="BY195" s="145">
        <v>7349.7740000000003</v>
      </c>
      <c r="BZ195" s="145">
        <v>-448.57499999999999</v>
      </c>
      <c r="CA195" s="4"/>
      <c r="CB195" s="4"/>
      <c r="CG195" s="260"/>
    </row>
    <row r="196" spans="1:86" ht="13.5" customHeight="1">
      <c r="B196" s="16" t="s">
        <v>420</v>
      </c>
      <c r="C196" s="8">
        <f t="shared" ref="C196:H196" si="698">C194+C195</f>
        <v>-37563.77900000001</v>
      </c>
      <c r="D196" s="8">
        <f t="shared" si="698"/>
        <v>50932.990999999936</v>
      </c>
      <c r="E196" s="8">
        <f t="shared" si="698"/>
        <v>-85066.412999999942</v>
      </c>
      <c r="F196" s="8">
        <f t="shared" si="698"/>
        <v>-81034.076000000015</v>
      </c>
      <c r="G196" s="8">
        <f t="shared" si="698"/>
        <v>-81034.076000000015</v>
      </c>
      <c r="H196" s="8">
        <f t="shared" si="698"/>
        <v>194453.01199999993</v>
      </c>
      <c r="I196" s="8">
        <f t="shared" ref="I196:N196" si="699">I194+I195</f>
        <v>194453.01199999978</v>
      </c>
      <c r="J196" s="8">
        <f t="shared" si="699"/>
        <v>148370.18599999999</v>
      </c>
      <c r="K196" s="8">
        <f t="shared" si="699"/>
        <v>1624593.9529999995</v>
      </c>
      <c r="L196" s="8">
        <f t="shared" si="699"/>
        <v>-399349.76800000021</v>
      </c>
      <c r="M196" s="8">
        <f>M194+M195</f>
        <v>-212302.0050000005</v>
      </c>
      <c r="N196" s="8">
        <f t="shared" si="699"/>
        <v>579303.20999999985</v>
      </c>
      <c r="O196" s="8">
        <f>O194+O195</f>
        <v>762994.64600000018</v>
      </c>
      <c r="P196" s="8">
        <f>P194+P195</f>
        <v>-280886.54599999991</v>
      </c>
      <c r="Q196" s="8"/>
      <c r="R196" s="8">
        <f t="shared" ref="R196:W196" si="700">R194+R195</f>
        <v>-42885.195000000029</v>
      </c>
      <c r="S196" s="8">
        <f t="shared" si="700"/>
        <v>-84225.649000000034</v>
      </c>
      <c r="T196" s="8">
        <f t="shared" si="700"/>
        <v>-65858.809999999896</v>
      </c>
      <c r="U196" s="8">
        <f t="shared" si="700"/>
        <v>107903.26699999993</v>
      </c>
      <c r="V196" s="8">
        <f t="shared" si="700"/>
        <v>-37061.356999999975</v>
      </c>
      <c r="W196" s="8">
        <f t="shared" si="700"/>
        <v>548.48099999997885</v>
      </c>
      <c r="X196" s="8">
        <f t="shared" ref="X196:AC196" si="701">X194+X195</f>
        <v>-23504.454000000052</v>
      </c>
      <c r="Y196" s="8">
        <f t="shared" si="701"/>
        <v>-21016.050999999916</v>
      </c>
      <c r="Z196" s="182">
        <f t="shared" si="701"/>
        <v>2059.2279999999573</v>
      </c>
      <c r="AA196" s="182">
        <f t="shared" si="701"/>
        <v>-15218.407000000032</v>
      </c>
      <c r="AB196" s="182" t="e">
        <f t="shared" si="701"/>
        <v>#REF!</v>
      </c>
      <c r="AC196" s="182" t="e">
        <f t="shared" si="701"/>
        <v>#REF!</v>
      </c>
      <c r="AD196" s="182">
        <f t="shared" ref="AD196:AI196" si="702">AD194+AD195</f>
        <v>-113001.77100000002</v>
      </c>
      <c r="AE196" s="182">
        <f t="shared" si="702"/>
        <v>-16593.705000000595</v>
      </c>
      <c r="AF196" s="182">
        <f t="shared" si="702"/>
        <v>-41491.222999999402</v>
      </c>
      <c r="AG196" s="182">
        <f t="shared" si="702"/>
        <v>319456.88499999949</v>
      </c>
      <c r="AH196" s="182">
        <f t="shared" si="702"/>
        <v>1233739.845</v>
      </c>
      <c r="AI196" s="182">
        <f t="shared" si="702"/>
        <v>531736.97599999991</v>
      </c>
      <c r="AJ196" s="182">
        <f t="shared" ref="AJ196:AO196" si="703">AJ194+AJ195</f>
        <v>-75886.184999999838</v>
      </c>
      <c r="AK196" s="182">
        <f t="shared" si="703"/>
        <v>-64996.683000000266</v>
      </c>
      <c r="AL196" s="182">
        <f t="shared" si="703"/>
        <v>-175806.97799999994</v>
      </c>
      <c r="AM196" s="182">
        <f t="shared" si="703"/>
        <v>183559.85800000012</v>
      </c>
      <c r="AN196" s="182">
        <f t="shared" si="703"/>
        <v>-607356.56700000016</v>
      </c>
      <c r="AO196" s="182">
        <f t="shared" si="703"/>
        <v>200253.91899999962</v>
      </c>
      <c r="AP196" s="182">
        <f t="shared" ref="AP196:AU196" si="704">AP194+AP195</f>
        <v>88016.06199999986</v>
      </c>
      <c r="AQ196" s="182">
        <f t="shared" si="704"/>
        <v>-121311.31700000001</v>
      </c>
      <c r="AR196" s="182">
        <f t="shared" si="704"/>
        <v>286659.9990000003</v>
      </c>
      <c r="AS196" s="182">
        <f t="shared" si="704"/>
        <v>-465666.7490000003</v>
      </c>
      <c r="AT196" s="182">
        <f t="shared" si="704"/>
        <v>-30396.292000000045</v>
      </c>
      <c r="AU196" s="182">
        <f t="shared" si="704"/>
        <v>-82201.914000000252</v>
      </c>
      <c r="AV196" s="182">
        <f t="shared" ref="AV196:BA196" si="705">AV194+AV195</f>
        <v>426941.11300000019</v>
      </c>
      <c r="AW196" s="182">
        <f t="shared" si="705"/>
        <v>264960.30299999955</v>
      </c>
      <c r="AX196" s="182">
        <f t="shared" si="705"/>
        <v>214395.01699999999</v>
      </c>
      <c r="AY196" s="182">
        <f t="shared" si="705"/>
        <v>-60303.823000000062</v>
      </c>
      <c r="AZ196" s="182">
        <f t="shared" si="705"/>
        <v>407669.79299999983</v>
      </c>
      <c r="BA196" s="182">
        <f t="shared" si="705"/>
        <v>201233.65900000045</v>
      </c>
      <c r="BB196" s="182">
        <f>BB194+BB195</f>
        <v>-275088.59800000011</v>
      </c>
      <c r="BC196" s="182">
        <f>BC194+BC195</f>
        <v>109153.63400000011</v>
      </c>
      <c r="BD196" s="182">
        <f>BD194+BD195</f>
        <v>-50767.536999999837</v>
      </c>
      <c r="BE196" s="182">
        <f>BE194+BE195</f>
        <v>-64184.045000000049</v>
      </c>
      <c r="BF196" s="182">
        <f>BF194+BF195</f>
        <v>406305.24499999994</v>
      </c>
      <c r="BG196" s="142"/>
      <c r="BH196" s="182">
        <f>BH194+BH195</f>
        <v>2059.2279999999864</v>
      </c>
      <c r="BI196" s="182">
        <f>BI194+BI195</f>
        <v>-15218.406999999937</v>
      </c>
      <c r="BJ196" s="182" t="e">
        <f>BJ194+BJ195</f>
        <v>#REF!</v>
      </c>
      <c r="BK196" s="182" t="e">
        <f>BK194+BK195</f>
        <v>#REF!</v>
      </c>
      <c r="BL196" s="182">
        <f>BL194+BL195</f>
        <v>-113001.77100000002</v>
      </c>
      <c r="BM196" s="182"/>
      <c r="BN196" s="8">
        <f t="shared" ref="BN196:BS196" si="706">BN194+BN195</f>
        <v>-127110.902</v>
      </c>
      <c r="BO196" s="8">
        <f t="shared" si="706"/>
        <v>-36512.876000000011</v>
      </c>
      <c r="BP196" s="8">
        <f t="shared" si="706"/>
        <v>-13159.179000000051</v>
      </c>
      <c r="BQ196" s="8">
        <f t="shared" si="706"/>
        <v>-129595.47600000001</v>
      </c>
      <c r="BR196" s="8">
        <f t="shared" si="706"/>
        <v>1765476.821</v>
      </c>
      <c r="BS196" s="8">
        <f t="shared" si="706"/>
        <v>7752.8800000001138</v>
      </c>
      <c r="BT196" s="8">
        <f>BT194+BT195</f>
        <v>-33295.255000000077</v>
      </c>
      <c r="BU196" s="8">
        <f>BU194+BU195</f>
        <v>-112598.20599999998</v>
      </c>
      <c r="BV196" s="8">
        <f>BV194+BV195</f>
        <v>154091.19399999978</v>
      </c>
      <c r="BW196" s="8">
        <f>BW194+BW195</f>
        <v>-165934.96399999986</v>
      </c>
      <c r="BX196" s="8"/>
      <c r="BY196" s="8">
        <f>BY194+BY195</f>
        <v>-13159.17899999992</v>
      </c>
      <c r="BZ196" s="8">
        <f>BZ194+BZ195</f>
        <v>-129595.47600000001</v>
      </c>
      <c r="CA196" s="8"/>
      <c r="CB196" s="8"/>
      <c r="CC196" s="171"/>
      <c r="CG196" s="260"/>
    </row>
    <row r="197" spans="1:86" ht="13.5" customHeight="1">
      <c r="B197" s="7" t="s">
        <v>421</v>
      </c>
      <c r="C197" s="145">
        <f>647689.942+C196</f>
        <v>610126.16300000006</v>
      </c>
      <c r="D197" s="6">
        <f>C197+D196</f>
        <v>661059.15399999998</v>
      </c>
      <c r="E197" s="6">
        <f>D197+E196</f>
        <v>575992.74100000004</v>
      </c>
      <c r="F197" s="6">
        <f>E197+F196</f>
        <v>494958.66500000004</v>
      </c>
      <c r="G197" s="6">
        <f>E197+G196</f>
        <v>494958.66500000004</v>
      </c>
      <c r="H197" s="6">
        <f>G197+H196</f>
        <v>689411.67699999991</v>
      </c>
      <c r="I197" s="6">
        <f>G197+I196</f>
        <v>689411.67699999979</v>
      </c>
      <c r="J197" s="6">
        <f>H197+J196</f>
        <v>837781.8629999999</v>
      </c>
      <c r="K197" s="6">
        <f t="shared" ref="K197:P197" si="707">J197+K196</f>
        <v>2462375.8159999996</v>
      </c>
      <c r="L197" s="6">
        <f t="shared" si="707"/>
        <v>2063026.0479999995</v>
      </c>
      <c r="M197" s="6">
        <f t="shared" si="707"/>
        <v>1850724.0429999989</v>
      </c>
      <c r="N197" s="6">
        <f t="shared" si="707"/>
        <v>2430027.2529999986</v>
      </c>
      <c r="O197" s="6">
        <f t="shared" si="707"/>
        <v>3193021.8989999988</v>
      </c>
      <c r="P197" s="6">
        <f t="shared" si="707"/>
        <v>2912135.3529999987</v>
      </c>
      <c r="Q197" s="6"/>
      <c r="R197" s="6">
        <f>D197+R196</f>
        <v>618173.95899999992</v>
      </c>
      <c r="S197" s="6">
        <f t="shared" ref="S197:AG197" si="708">R197+S196</f>
        <v>533948.30999999982</v>
      </c>
      <c r="T197" s="6">
        <f t="shared" si="708"/>
        <v>468089.49999999994</v>
      </c>
      <c r="U197" s="6">
        <f t="shared" si="708"/>
        <v>575992.76699999988</v>
      </c>
      <c r="V197" s="6">
        <f t="shared" si="708"/>
        <v>538931.40999999992</v>
      </c>
      <c r="W197" s="6">
        <f t="shared" si="708"/>
        <v>539479.89099999995</v>
      </c>
      <c r="X197" s="6">
        <f t="shared" si="708"/>
        <v>515975.43699999992</v>
      </c>
      <c r="Y197" s="6">
        <f>X197+Y196</f>
        <v>494959.386</v>
      </c>
      <c r="Z197" s="181">
        <f t="shared" si="708"/>
        <v>497018.61399999994</v>
      </c>
      <c r="AA197" s="181">
        <f t="shared" si="708"/>
        <v>481800.20699999994</v>
      </c>
      <c r="AB197" s="181" t="e">
        <f t="shared" si="708"/>
        <v>#REF!</v>
      </c>
      <c r="AC197" s="181" t="e">
        <f t="shared" si="708"/>
        <v>#REF!</v>
      </c>
      <c r="AD197" s="181">
        <f>H197+AD196</f>
        <v>576409.90599999984</v>
      </c>
      <c r="AE197" s="181">
        <f t="shared" si="708"/>
        <v>559816.2009999993</v>
      </c>
      <c r="AF197" s="181">
        <f t="shared" si="708"/>
        <v>518324.97799999989</v>
      </c>
      <c r="AG197" s="181">
        <f t="shared" si="708"/>
        <v>837781.86299999943</v>
      </c>
      <c r="AH197" s="181">
        <f t="shared" ref="AH197:BF197" si="709">AG197+AH196</f>
        <v>2071521.7079999994</v>
      </c>
      <c r="AI197" s="181">
        <f t="shared" si="709"/>
        <v>2603258.6839999994</v>
      </c>
      <c r="AJ197" s="181">
        <f t="shared" si="709"/>
        <v>2527372.4989999994</v>
      </c>
      <c r="AK197" s="181">
        <f t="shared" si="709"/>
        <v>2462375.8159999992</v>
      </c>
      <c r="AL197" s="181">
        <f t="shared" si="709"/>
        <v>2286568.8379999991</v>
      </c>
      <c r="AM197" s="181">
        <f t="shared" si="709"/>
        <v>2470128.6959999991</v>
      </c>
      <c r="AN197" s="181">
        <f>AM197+AN196</f>
        <v>1862772.1289999988</v>
      </c>
      <c r="AO197" s="181">
        <f t="shared" si="709"/>
        <v>2063026.0479999983</v>
      </c>
      <c r="AP197" s="181">
        <f t="shared" si="709"/>
        <v>2151042.109999998</v>
      </c>
      <c r="AQ197" s="181">
        <f t="shared" si="709"/>
        <v>2029730.792999998</v>
      </c>
      <c r="AR197" s="181">
        <f>AQ197+AR196</f>
        <v>2316390.7919999985</v>
      </c>
      <c r="AS197" s="181">
        <f t="shared" si="709"/>
        <v>1850724.0429999982</v>
      </c>
      <c r="AT197" s="181">
        <f t="shared" si="709"/>
        <v>1820327.7509999981</v>
      </c>
      <c r="AU197" s="181">
        <f t="shared" si="709"/>
        <v>1738125.8369999977</v>
      </c>
      <c r="AV197" s="181">
        <f>AU197+AV196</f>
        <v>2165066.9499999979</v>
      </c>
      <c r="AW197" s="181">
        <f t="shared" si="709"/>
        <v>2430027.2529999972</v>
      </c>
      <c r="AX197" s="181">
        <f t="shared" si="709"/>
        <v>2644422.2699999972</v>
      </c>
      <c r="AY197" s="181">
        <f t="shared" si="709"/>
        <v>2584118.4469999974</v>
      </c>
      <c r="AZ197" s="181">
        <f>AY197+AZ196</f>
        <v>2991788.2399999974</v>
      </c>
      <c r="BA197" s="181">
        <f t="shared" si="709"/>
        <v>3193021.8989999979</v>
      </c>
      <c r="BB197" s="181">
        <f t="shared" si="709"/>
        <v>2917933.3009999976</v>
      </c>
      <c r="BC197" s="181">
        <f t="shared" si="709"/>
        <v>3027086.9349999977</v>
      </c>
      <c r="BD197" s="181">
        <f>BC197+BD196</f>
        <v>2976319.3979999977</v>
      </c>
      <c r="BE197" s="181">
        <f t="shared" si="709"/>
        <v>2912135.3529999978</v>
      </c>
      <c r="BF197" s="181">
        <f t="shared" si="709"/>
        <v>3318440.5979999979</v>
      </c>
      <c r="BG197" s="142"/>
      <c r="BH197" s="181">
        <f>G197+BH196</f>
        <v>497017.89300000004</v>
      </c>
      <c r="BI197" s="181">
        <f>BH197+BI196</f>
        <v>481799.48600000009</v>
      </c>
      <c r="BJ197" s="181" t="e">
        <f>BI197+BJ196</f>
        <v>#REF!</v>
      </c>
      <c r="BK197" s="181" t="e">
        <f>BJ197+BK196</f>
        <v>#REF!</v>
      </c>
      <c r="BL197" s="181" t="e">
        <f>BK197+BL196</f>
        <v>#REF!</v>
      </c>
      <c r="BM197" s="181"/>
      <c r="BN197" s="6">
        <f>D197+BN196</f>
        <v>533948.25199999998</v>
      </c>
      <c r="BO197" s="6">
        <f>E197+BO196</f>
        <v>539479.86499999999</v>
      </c>
      <c r="BP197" s="6">
        <f>F197+BP196</f>
        <v>481799.48599999998</v>
      </c>
      <c r="BQ197" s="6">
        <f>H197+BQ196</f>
        <v>559816.20099999988</v>
      </c>
      <c r="BR197" s="6">
        <f t="shared" ref="BR197:BW197" si="710">J197+BR196</f>
        <v>2603258.6839999999</v>
      </c>
      <c r="BS197" s="6">
        <f t="shared" si="710"/>
        <v>2470128.6959999995</v>
      </c>
      <c r="BT197" s="6">
        <f t="shared" si="710"/>
        <v>2029730.7929999994</v>
      </c>
      <c r="BU197" s="6">
        <f t="shared" si="710"/>
        <v>1738125.8369999989</v>
      </c>
      <c r="BV197" s="6">
        <f t="shared" si="710"/>
        <v>2584118.4469999983</v>
      </c>
      <c r="BW197" s="6">
        <f t="shared" si="710"/>
        <v>3027086.9349999991</v>
      </c>
      <c r="BX197" s="6"/>
      <c r="BY197" s="6">
        <f>F197+BY196</f>
        <v>481799.48600000009</v>
      </c>
      <c r="BZ197" s="6">
        <f>H197+BZ196</f>
        <v>559816.20099999988</v>
      </c>
      <c r="CA197" s="6"/>
      <c r="CB197" s="6"/>
      <c r="CG197" s="260"/>
    </row>
    <row r="198" spans="1:86" ht="11.25" customHeight="1"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77"/>
      <c r="R198" s="60"/>
      <c r="V198" s="77"/>
      <c r="W198" s="77"/>
      <c r="AA198" s="77"/>
      <c r="AE198" s="77"/>
      <c r="AI198" s="77"/>
      <c r="AM198" s="77"/>
      <c r="AQ198" s="77"/>
      <c r="AU198" s="77"/>
      <c r="AY198" s="77"/>
      <c r="BC198" s="77"/>
      <c r="BG198" s="142"/>
      <c r="CG198" s="260"/>
    </row>
    <row r="199" spans="1:86" ht="11.25" customHeight="1">
      <c r="B199" s="1" t="s">
        <v>386</v>
      </c>
      <c r="C199" s="232">
        <f>C197-610126.163</f>
        <v>0</v>
      </c>
      <c r="D199" s="232">
        <f>D197-661059.154</f>
        <v>0</v>
      </c>
      <c r="E199" s="232">
        <f>E197-575992.7</f>
        <v>4.1000000084750354E-2</v>
      </c>
      <c r="F199" s="232">
        <f>F197-494958.665</f>
        <v>0</v>
      </c>
      <c r="G199" s="232">
        <f>G197-494958.665</f>
        <v>0</v>
      </c>
      <c r="H199" s="232">
        <f>H197-689411.677</f>
        <v>0</v>
      </c>
      <c r="I199" s="232">
        <f>I197-689411.677</f>
        <v>0</v>
      </c>
      <c r="J199" s="232">
        <f>J197-837781.863</f>
        <v>0</v>
      </c>
      <c r="K199" s="232">
        <f>K197-2462375.816</f>
        <v>0</v>
      </c>
      <c r="L199" s="232">
        <f>L197-2063026.048</f>
        <v>0</v>
      </c>
      <c r="M199" s="232">
        <f>M197-1850724.043</f>
        <v>0</v>
      </c>
      <c r="N199" s="232">
        <f>N197-2430027.253</f>
        <v>0</v>
      </c>
      <c r="O199" s="232">
        <f>O197-3193021.899</f>
        <v>0</v>
      </c>
      <c r="P199" s="232">
        <f>P197-2912135.353</f>
        <v>0</v>
      </c>
      <c r="Q199" s="232"/>
      <c r="R199" s="232">
        <f>R197-618173.959</f>
        <v>0</v>
      </c>
      <c r="S199" s="232">
        <f>533948.252-S197</f>
        <v>-5.799999984446913E-2</v>
      </c>
      <c r="T199" s="232">
        <f>468089.5-T197</f>
        <v>0</v>
      </c>
      <c r="U199" s="232">
        <f>575992.7-U197</f>
        <v>-6.6999999922700226E-2</v>
      </c>
      <c r="V199" s="232">
        <f>538931.384-V197</f>
        <v>-2.5999999954365194E-2</v>
      </c>
      <c r="W199" s="232">
        <f>539479.865-W197</f>
        <v>-2.5999999954365194E-2</v>
      </c>
      <c r="X199" s="232">
        <f>515975.411-X197</f>
        <v>-2.5999999896157533E-2</v>
      </c>
      <c r="Y199" s="232">
        <f>494958.665-Y197</f>
        <v>-0.72100000001955777</v>
      </c>
      <c r="Z199" s="232">
        <f>497017.893-Z197</f>
        <v>-0.72099999996135011</v>
      </c>
      <c r="AA199" s="232">
        <f>481799.486-AA197</f>
        <v>-0.72099999996135011</v>
      </c>
      <c r="AB199" s="232" t="e">
        <f>554403.956-AB197</f>
        <v>#REF!</v>
      </c>
      <c r="AC199" s="232" t="e">
        <f>689411.677-AC197</f>
        <v>#REF!</v>
      </c>
      <c r="AD199" s="232">
        <f>576409.906-AD197</f>
        <v>0</v>
      </c>
      <c r="AE199" s="232">
        <f>559816.201-AE197</f>
        <v>0</v>
      </c>
      <c r="AF199" s="232">
        <f>518324.978-AF197</f>
        <v>0</v>
      </c>
      <c r="AG199" s="232">
        <f>AG197-837781.863</f>
        <v>0</v>
      </c>
      <c r="AH199" s="232">
        <f>2071521.709-AH197</f>
        <v>1.0000006295740604E-3</v>
      </c>
      <c r="AI199" s="232">
        <f>2603258.684-AI197</f>
        <v>0</v>
      </c>
      <c r="AJ199" s="232">
        <f>2527372.499-AJ197</f>
        <v>0</v>
      </c>
      <c r="AK199" s="232">
        <f>AK197-2462375.816</f>
        <v>0</v>
      </c>
      <c r="AL199" s="232">
        <f>2286568.838-AL197</f>
        <v>0</v>
      </c>
      <c r="AM199" s="232">
        <f>2470128.696-AM197</f>
        <v>0</v>
      </c>
      <c r="AN199" s="232">
        <f>1862772.129-AN197</f>
        <v>0</v>
      </c>
      <c r="AO199" s="232">
        <f>AO197-2063026.048</f>
        <v>0</v>
      </c>
      <c r="AP199" s="232">
        <f>2151042.11-AP197</f>
        <v>0</v>
      </c>
      <c r="AQ199" s="232">
        <f>2029730.793-AQ197</f>
        <v>2.0954757928848267E-9</v>
      </c>
      <c r="AR199" s="232">
        <f>2316390.792-AR197</f>
        <v>0</v>
      </c>
      <c r="AS199" s="232">
        <f>AS197-1850724.043</f>
        <v>-1.862645149230957E-9</v>
      </c>
      <c r="AT199" s="232">
        <f>1820327.751-AT197</f>
        <v>1.862645149230957E-9</v>
      </c>
      <c r="AU199" s="232">
        <f>1738125.837-AU197</f>
        <v>2.3283064365386963E-9</v>
      </c>
      <c r="AV199" s="232">
        <f>2165066.95-AV197</f>
        <v>0</v>
      </c>
      <c r="AW199" s="232">
        <f>AW197-2430027.253</f>
        <v>0</v>
      </c>
      <c r="AX199" s="232">
        <f>2644422.27-AX197</f>
        <v>0</v>
      </c>
      <c r="AY199" s="232">
        <f>2584118.447-AY197</f>
        <v>0</v>
      </c>
      <c r="AZ199" s="232">
        <f>2991788.24-AZ197</f>
        <v>0</v>
      </c>
      <c r="BA199" s="232">
        <f>BA197-3193021.899</f>
        <v>0</v>
      </c>
      <c r="BB199" s="232">
        <f>2917933.301-BB197</f>
        <v>0</v>
      </c>
      <c r="BC199" s="232">
        <f>3027086.935-BC197</f>
        <v>0</v>
      </c>
      <c r="BD199" s="232">
        <f>2976319.398-BD197</f>
        <v>0</v>
      </c>
      <c r="BE199" s="232">
        <f>BE197-2912135.353</f>
        <v>0</v>
      </c>
      <c r="BF199" s="232">
        <f>3318440.598-BF197</f>
        <v>0</v>
      </c>
      <c r="BG199" s="142"/>
      <c r="BH199" s="232">
        <f>497017.893-BH197</f>
        <v>0</v>
      </c>
      <c r="BI199" s="232">
        <f>481799.486-BI197</f>
        <v>0</v>
      </c>
      <c r="BJ199" s="232" t="e">
        <f>554403.956-BJ197</f>
        <v>#REF!</v>
      </c>
      <c r="BK199" s="232" t="e">
        <f>689411.677-BK197</f>
        <v>#REF!</v>
      </c>
      <c r="BL199" s="232" t="e">
        <f>576409.906-BL197</f>
        <v>#REF!</v>
      </c>
      <c r="BM199" s="232"/>
      <c r="BN199" s="232">
        <f>533948.252-BN197</f>
        <v>0</v>
      </c>
      <c r="BO199" s="232">
        <f>539479.865-BO197</f>
        <v>0</v>
      </c>
      <c r="BP199" s="232">
        <f>481799.486-BP197</f>
        <v>0</v>
      </c>
      <c r="BQ199" s="232">
        <f>559816.201-BQ197</f>
        <v>0</v>
      </c>
      <c r="BR199" s="232">
        <f>2603258.684-BR197</f>
        <v>0</v>
      </c>
      <c r="BS199" s="232">
        <f>2470128.696-BS197</f>
        <v>0</v>
      </c>
      <c r="BT199" s="232">
        <f>2029730.793-BT197</f>
        <v>0</v>
      </c>
      <c r="BU199" s="232">
        <f>1738125.837-BU197</f>
        <v>0</v>
      </c>
      <c r="BV199" s="232">
        <f>2584118.447-BV197</f>
        <v>0</v>
      </c>
      <c r="BW199" s="232">
        <f>3027086.935-BW197</f>
        <v>0</v>
      </c>
      <c r="BX199" s="232"/>
      <c r="BY199" s="232">
        <f>481799.486-BY197</f>
        <v>0</v>
      </c>
      <c r="BZ199" s="232">
        <f>559816.201-BZ197</f>
        <v>0</v>
      </c>
      <c r="CA199" s="232"/>
      <c r="CG199" s="260"/>
    </row>
    <row r="200" spans="1:86" ht="13.5" customHeight="1">
      <c r="A200" s="28"/>
      <c r="B200" s="17" t="s">
        <v>422</v>
      </c>
      <c r="C200" s="46">
        <v>41975</v>
      </c>
      <c r="D200" s="46">
        <v>42341</v>
      </c>
      <c r="E200" s="253">
        <f t="shared" ref="E200:J200" si="711">E3</f>
        <v>42708</v>
      </c>
      <c r="F200" s="253">
        <f t="shared" si="711"/>
        <v>43073</v>
      </c>
      <c r="G200" s="253">
        <f t="shared" si="711"/>
        <v>43073</v>
      </c>
      <c r="H200" s="253">
        <f t="shared" si="711"/>
        <v>43438</v>
      </c>
      <c r="I200" s="253">
        <f t="shared" si="711"/>
        <v>43438</v>
      </c>
      <c r="J200" s="253">
        <f t="shared" si="711"/>
        <v>43803</v>
      </c>
      <c r="K200" s="253">
        <f t="shared" ref="K200:P200" si="712">K3</f>
        <v>44169</v>
      </c>
      <c r="L200" s="253">
        <f t="shared" si="712"/>
        <v>44534</v>
      </c>
      <c r="M200" s="253">
        <f t="shared" si="712"/>
        <v>44899</v>
      </c>
      <c r="N200" s="253">
        <f t="shared" si="712"/>
        <v>45264</v>
      </c>
      <c r="O200" s="253">
        <f t="shared" si="712"/>
        <v>45630</v>
      </c>
      <c r="P200" s="253">
        <f t="shared" si="712"/>
        <v>45995</v>
      </c>
      <c r="Q200" s="329"/>
      <c r="R200" s="46">
        <v>42437</v>
      </c>
      <c r="S200" s="46">
        <v>42527</v>
      </c>
      <c r="T200" s="46">
        <v>42622</v>
      </c>
      <c r="U200" s="46">
        <v>42714</v>
      </c>
      <c r="V200" s="46">
        <v>42801</v>
      </c>
      <c r="W200" s="46">
        <v>42892</v>
      </c>
      <c r="X200" s="46">
        <v>42987</v>
      </c>
      <c r="Y200" s="46">
        <v>43079</v>
      </c>
      <c r="Z200" s="46">
        <f t="shared" ref="Z200:AE200" si="713">Z3</f>
        <v>43166</v>
      </c>
      <c r="AA200" s="46">
        <f t="shared" si="713"/>
        <v>43257</v>
      </c>
      <c r="AB200" s="46">
        <f t="shared" si="713"/>
        <v>43352</v>
      </c>
      <c r="AC200" s="253">
        <f t="shared" si="713"/>
        <v>43444</v>
      </c>
      <c r="AD200" s="253">
        <f t="shared" si="713"/>
        <v>43531</v>
      </c>
      <c r="AE200" s="253">
        <f t="shared" si="713"/>
        <v>43622</v>
      </c>
      <c r="AF200" s="253">
        <f t="shared" ref="AF200:AK200" si="714">AF3</f>
        <v>43738</v>
      </c>
      <c r="AG200" s="253">
        <f t="shared" si="714"/>
        <v>43809</v>
      </c>
      <c r="AH200" s="253">
        <f t="shared" si="714"/>
        <v>43897</v>
      </c>
      <c r="AI200" s="253">
        <f t="shared" si="714"/>
        <v>43988</v>
      </c>
      <c r="AJ200" s="253">
        <f t="shared" si="714"/>
        <v>44104</v>
      </c>
      <c r="AK200" s="253">
        <f t="shared" si="714"/>
        <v>44175</v>
      </c>
      <c r="AL200" s="253">
        <f t="shared" ref="AL200:AQ200" si="715">AL3</f>
        <v>44262</v>
      </c>
      <c r="AM200" s="253">
        <f t="shared" si="715"/>
        <v>44348</v>
      </c>
      <c r="AN200" s="253">
        <f t="shared" si="715"/>
        <v>44469</v>
      </c>
      <c r="AO200" s="253">
        <f t="shared" si="715"/>
        <v>44540</v>
      </c>
      <c r="AP200" s="253">
        <f t="shared" si="715"/>
        <v>44651</v>
      </c>
      <c r="AQ200" s="253">
        <f t="shared" si="715"/>
        <v>44713</v>
      </c>
      <c r="AR200" s="253">
        <f t="shared" ref="AR200:AW200" si="716">AR3</f>
        <v>44834</v>
      </c>
      <c r="AS200" s="253">
        <f t="shared" si="716"/>
        <v>44905</v>
      </c>
      <c r="AT200" s="253">
        <f t="shared" si="716"/>
        <v>45016</v>
      </c>
      <c r="AU200" s="253">
        <f t="shared" si="716"/>
        <v>45078</v>
      </c>
      <c r="AV200" s="253">
        <f t="shared" si="716"/>
        <v>45199</v>
      </c>
      <c r="AW200" s="253">
        <f t="shared" si="716"/>
        <v>45270</v>
      </c>
      <c r="AX200" s="253">
        <f t="shared" ref="AX200:BC200" si="717">AX3</f>
        <v>45382</v>
      </c>
      <c r="AY200" s="253">
        <f t="shared" si="717"/>
        <v>45444</v>
      </c>
      <c r="AZ200" s="253">
        <f t="shared" si="717"/>
        <v>45565</v>
      </c>
      <c r="BA200" s="253">
        <f t="shared" si="717"/>
        <v>45636</v>
      </c>
      <c r="BB200" s="253">
        <f t="shared" si="717"/>
        <v>45747</v>
      </c>
      <c r="BC200" s="253">
        <f t="shared" si="717"/>
        <v>45809</v>
      </c>
      <c r="BD200" s="253">
        <f>BD3</f>
        <v>45930</v>
      </c>
      <c r="BE200" s="253">
        <f>BE3</f>
        <v>46001</v>
      </c>
      <c r="BF200" s="253">
        <f>BF3</f>
        <v>46112</v>
      </c>
      <c r="BG200" s="142"/>
      <c r="BH200" s="253"/>
      <c r="BI200" s="253"/>
      <c r="BJ200" s="253"/>
      <c r="BK200" s="253"/>
      <c r="BL200" s="253">
        <f>BL3</f>
        <v>43531</v>
      </c>
      <c r="BM200" s="329"/>
      <c r="BN200" s="46">
        <v>42530</v>
      </c>
      <c r="BO200" s="46">
        <v>42896</v>
      </c>
      <c r="BP200" s="46">
        <f t="shared" ref="BP200:BU200" si="718">BP3</f>
        <v>43261</v>
      </c>
      <c r="BQ200" s="253">
        <f t="shared" si="718"/>
        <v>43646</v>
      </c>
      <c r="BR200" s="253">
        <f t="shared" si="718"/>
        <v>44012</v>
      </c>
      <c r="BS200" s="253">
        <f t="shared" si="718"/>
        <v>44377</v>
      </c>
      <c r="BT200" s="253">
        <f t="shared" si="718"/>
        <v>44742</v>
      </c>
      <c r="BU200" s="253">
        <f t="shared" si="718"/>
        <v>45107</v>
      </c>
      <c r="BV200" s="253">
        <f>BV3</f>
        <v>45473</v>
      </c>
      <c r="BW200" s="253">
        <f>BW3</f>
        <v>45838</v>
      </c>
      <c r="BX200" s="329"/>
      <c r="BY200" s="329"/>
      <c r="BZ200" s="329"/>
      <c r="CA200" s="62"/>
      <c r="CC200" s="333"/>
      <c r="CD200" s="333"/>
      <c r="CE200" s="333"/>
      <c r="CG200" s="260"/>
    </row>
    <row r="201" spans="1:86" ht="13.5" customHeight="1">
      <c r="B201" s="1" t="str">
        <f>+B8</f>
        <v>Revenues</v>
      </c>
      <c r="C201" s="6">
        <f>+C8</f>
        <v>7038379.7879999997</v>
      </c>
      <c r="D201" s="6">
        <f>+D8</f>
        <v>7753209.5719999997</v>
      </c>
      <c r="E201" s="6">
        <f>+E8</f>
        <v>7898301.784</v>
      </c>
      <c r="F201" s="6">
        <f t="shared" ref="F201:K201" si="719">+F8</f>
        <v>8242645.2630000003</v>
      </c>
      <c r="G201" s="6">
        <f t="shared" si="719"/>
        <v>8209851.5099999998</v>
      </c>
      <c r="H201" s="6">
        <f t="shared" si="719"/>
        <v>8483577.3330000006</v>
      </c>
      <c r="I201" s="6">
        <f t="shared" si="719"/>
        <v>7976898.4050000003</v>
      </c>
      <c r="J201" s="6">
        <f t="shared" si="719"/>
        <v>8053582.835</v>
      </c>
      <c r="K201" s="6">
        <f t="shared" si="719"/>
        <v>8281049.949</v>
      </c>
      <c r="L201" s="6">
        <f>+L8</f>
        <v>10335383.74</v>
      </c>
      <c r="M201" s="6">
        <f>+M8</f>
        <v>10460666.398</v>
      </c>
      <c r="N201" s="6">
        <f>+N8</f>
        <v>9355114.6569999997</v>
      </c>
      <c r="O201" s="6">
        <f>+O8</f>
        <v>10322104.478</v>
      </c>
      <c r="P201" s="6">
        <f>+P8</f>
        <v>11342385.896</v>
      </c>
      <c r="Q201" s="6"/>
      <c r="R201" s="6">
        <f>D8+R8-CC8</f>
        <v>7825221.1670000004</v>
      </c>
      <c r="S201" s="6">
        <f>D8+BN8-CD8</f>
        <v>7918324.5990000004</v>
      </c>
      <c r="T201" s="6">
        <f>D8-CE8+R8+S8+T8</f>
        <v>7946080.4749999996</v>
      </c>
      <c r="U201" s="6">
        <f t="shared" ref="U201:AC201" si="720">R8+S8+T8+U8</f>
        <v>7898301.784</v>
      </c>
      <c r="V201" s="6">
        <f t="shared" si="720"/>
        <v>7960738.6720000003</v>
      </c>
      <c r="W201" s="6">
        <f t="shared" si="720"/>
        <v>8027114.3150000004</v>
      </c>
      <c r="X201" s="6">
        <f t="shared" si="720"/>
        <v>8099550.1880000001</v>
      </c>
      <c r="Y201" s="6">
        <f>V8+W8+X8+Y8</f>
        <v>8242645.2630000003</v>
      </c>
      <c r="Z201" s="6">
        <f t="shared" si="720"/>
        <v>8300869.8350000009</v>
      </c>
      <c r="AA201" s="6">
        <f t="shared" si="720"/>
        <v>8392243.7170000002</v>
      </c>
      <c r="AB201" s="6">
        <f t="shared" si="720"/>
        <v>8454860.8890000023</v>
      </c>
      <c r="AC201" s="6">
        <f t="shared" si="720"/>
        <v>8483577.3330000006</v>
      </c>
      <c r="AD201" s="6">
        <f>H8+AD8-BH8</f>
        <v>8523335.2030000016</v>
      </c>
      <c r="AE201" s="6">
        <f>+BQ201</f>
        <v>8536800.743999999</v>
      </c>
      <c r="AF201" s="6">
        <f>H8+AF8-BJ8+AE8-BI8+AD8-BH8</f>
        <v>8540231.5390000008</v>
      </c>
      <c r="AG201" s="6">
        <f t="shared" ref="AG201:BF201" si="721">AD8+AE8+AF8+AG8</f>
        <v>8053582.835</v>
      </c>
      <c r="AH201" s="6">
        <f t="shared" si="721"/>
        <v>8014380.9349999996</v>
      </c>
      <c r="AI201" s="6">
        <f t="shared" si="721"/>
        <v>7478664.0259999996</v>
      </c>
      <c r="AJ201" s="6">
        <f t="shared" si="721"/>
        <v>7814613.4290000005</v>
      </c>
      <c r="AK201" s="6">
        <f t="shared" si="721"/>
        <v>8281049.949000001</v>
      </c>
      <c r="AL201" s="6">
        <f t="shared" si="721"/>
        <v>8611429.7919999994</v>
      </c>
      <c r="AM201" s="6">
        <f t="shared" si="721"/>
        <v>9543654.4409999996</v>
      </c>
      <c r="AN201" s="6">
        <f t="shared" si="721"/>
        <v>9947141.2300000004</v>
      </c>
      <c r="AO201" s="6">
        <f t="shared" si="721"/>
        <v>10335383.74</v>
      </c>
      <c r="AP201" s="6">
        <f t="shared" si="721"/>
        <v>10663451.872</v>
      </c>
      <c r="AQ201" s="6">
        <f t="shared" si="721"/>
        <v>10892051.030000001</v>
      </c>
      <c r="AR201" s="6">
        <f t="shared" si="721"/>
        <v>10763317.330000002</v>
      </c>
      <c r="AS201" s="6">
        <f t="shared" si="721"/>
        <v>10460666.398</v>
      </c>
      <c r="AT201" s="6">
        <f t="shared" si="721"/>
        <v>10189246.075999999</v>
      </c>
      <c r="AU201" s="6">
        <f t="shared" si="721"/>
        <v>9789975.555999998</v>
      </c>
      <c r="AV201" s="6">
        <f t="shared" si="721"/>
        <v>9504253.4299999997</v>
      </c>
      <c r="AW201" s="6">
        <f t="shared" si="721"/>
        <v>9355114.6569999997</v>
      </c>
      <c r="AX201" s="6">
        <f t="shared" si="721"/>
        <v>9472914.0410000011</v>
      </c>
      <c r="AY201" s="6">
        <f t="shared" si="721"/>
        <v>9698284.8200000003</v>
      </c>
      <c r="AZ201" s="6">
        <f t="shared" si="721"/>
        <v>9894802.0749999993</v>
      </c>
      <c r="BA201" s="6">
        <f t="shared" si="721"/>
        <v>10322104.478</v>
      </c>
      <c r="BB201" s="6">
        <f t="shared" si="721"/>
        <v>10582758.075999999</v>
      </c>
      <c r="BC201" s="6">
        <f t="shared" si="721"/>
        <v>10830938.528000001</v>
      </c>
      <c r="BD201" s="6">
        <f t="shared" si="721"/>
        <v>11058284.715</v>
      </c>
      <c r="BE201" s="6">
        <f t="shared" si="721"/>
        <v>11342385.896</v>
      </c>
      <c r="BF201" s="6">
        <f t="shared" si="721"/>
        <v>11455232.595000001</v>
      </c>
      <c r="BG201" s="142"/>
      <c r="BH201" s="6"/>
      <c r="BI201" s="6"/>
      <c r="BJ201" s="6"/>
      <c r="BK201" s="6"/>
      <c r="BL201" s="6">
        <f>U8+BL8-BX8</f>
        <v>4117261.0850000004</v>
      </c>
      <c r="BM201" s="6"/>
      <c r="BN201" s="6">
        <f t="shared" ref="BN201:BN210" si="722">S201</f>
        <v>7918324.5990000004</v>
      </c>
      <c r="BO201" s="6">
        <f>+BO8+E8-BN8</f>
        <v>8027114.3150000013</v>
      </c>
      <c r="BP201" s="6">
        <f>+BP8+F8-BO8</f>
        <v>8392243.7170000002</v>
      </c>
      <c r="BQ201" s="6">
        <f>+BQ8+H8-BY8</f>
        <v>8536800.743999999</v>
      </c>
      <c r="BR201" s="6">
        <f>+BR8+J8-BZ8</f>
        <v>7478664.0259999996</v>
      </c>
      <c r="BS201" s="6">
        <f>+BS8+K8-BR8</f>
        <v>9543654.4409999996</v>
      </c>
      <c r="BT201" s="6">
        <f>+BT8+L8-BS8</f>
        <v>10892051.030000001</v>
      </c>
      <c r="BU201" s="6">
        <f>+BU8+M8-BT8</f>
        <v>9789975.5559999999</v>
      </c>
      <c r="BV201" s="6">
        <f>+BV8+N8-BU8</f>
        <v>9698284.8200000003</v>
      </c>
      <c r="BW201" s="6">
        <f>+BW8+O8-BV8</f>
        <v>10830938.528000001</v>
      </c>
      <c r="BX201" s="6"/>
      <c r="BY201" s="6"/>
      <c r="BZ201" s="6"/>
      <c r="CA201" s="6"/>
      <c r="CG201" s="6"/>
      <c r="CH201" s="6"/>
    </row>
    <row r="202" spans="1:86" ht="13.5" customHeight="1">
      <c r="B202" s="1" t="s">
        <v>352</v>
      </c>
      <c r="C202" s="6">
        <f>C18</f>
        <v>715259.95899999933</v>
      </c>
      <c r="D202" s="6">
        <f>D18</f>
        <v>780405.76999999955</v>
      </c>
      <c r="E202" s="6">
        <f>E18</f>
        <v>936752.27700000012</v>
      </c>
      <c r="F202" s="6">
        <f t="shared" ref="F202:K202" si="723">F18</f>
        <v>823039.88800000062</v>
      </c>
      <c r="G202" s="6">
        <f t="shared" si="723"/>
        <v>823039.8879999998</v>
      </c>
      <c r="H202" s="6">
        <f t="shared" si="723"/>
        <v>793946.29600000079</v>
      </c>
      <c r="I202" s="6">
        <f t="shared" si="723"/>
        <v>586885.48699999996</v>
      </c>
      <c r="J202" s="6">
        <f t="shared" si="723"/>
        <v>411164.21999999986</v>
      </c>
      <c r="K202" s="6">
        <f t="shared" si="723"/>
        <v>152993.90499999953</v>
      </c>
      <c r="L202" s="6">
        <f>L18</f>
        <v>776116.88600000006</v>
      </c>
      <c r="M202" s="6">
        <f>M18</f>
        <v>303254.03700000059</v>
      </c>
      <c r="N202" s="6">
        <f>N18</f>
        <v>487551.58799999958</v>
      </c>
      <c r="O202" s="6">
        <f>O18</f>
        <v>920128.68799999985</v>
      </c>
      <c r="P202" s="6">
        <f>P18</f>
        <v>2451227.0959999999</v>
      </c>
      <c r="Q202" s="6"/>
      <c r="R202" s="6">
        <f>D18+R18-CC18</f>
        <v>792332.23099999968</v>
      </c>
      <c r="S202" s="6">
        <f>D18+BN18-CD18</f>
        <v>805378.32899999968</v>
      </c>
      <c r="T202" s="6">
        <f>D18-CE18+R18+S18+T18</f>
        <v>946468.18799999973</v>
      </c>
      <c r="U202" s="6">
        <f t="shared" ref="U202:AC202" si="724">R18+S18+T18+U18</f>
        <v>936752.27700000035</v>
      </c>
      <c r="V202" s="6">
        <f t="shared" si="724"/>
        <v>957486.11000000022</v>
      </c>
      <c r="W202" s="6">
        <f t="shared" si="724"/>
        <v>975287.81400000025</v>
      </c>
      <c r="X202" s="6">
        <f t="shared" si="724"/>
        <v>827878.39000000036</v>
      </c>
      <c r="Y202" s="6">
        <f>V18+W18+X18+Y18</f>
        <v>823039.88800000073</v>
      </c>
      <c r="Z202" s="6">
        <f t="shared" si="724"/>
        <v>830043.38200000068</v>
      </c>
      <c r="AA202" s="6">
        <f t="shared" si="724"/>
        <v>820530.23100000061</v>
      </c>
      <c r="AB202" s="6">
        <f t="shared" si="724"/>
        <v>824424.38400000101</v>
      </c>
      <c r="AC202" s="6">
        <f t="shared" si="724"/>
        <v>793946.2960000016</v>
      </c>
      <c r="AD202" s="6">
        <f>H18+AD18-BH18</f>
        <v>746962.38000000059</v>
      </c>
      <c r="AE202" s="6">
        <f t="shared" ref="AE202:AE210" si="725">+BQ202</f>
        <v>722859.89400000032</v>
      </c>
      <c r="AF202" s="6">
        <f>H18+AF18-BJ18+AE18-BI18+AD18-BH18</f>
        <v>693942.85300000058</v>
      </c>
      <c r="AG202" s="6">
        <f t="shared" ref="AG202:BF202" si="726">AD18+AE18+AF18+AG18</f>
        <v>411164.21999999991</v>
      </c>
      <c r="AH202" s="6">
        <f t="shared" si="726"/>
        <v>359462.723</v>
      </c>
      <c r="AI202" s="6">
        <f t="shared" si="726"/>
        <v>96464.463000000309</v>
      </c>
      <c r="AJ202" s="6">
        <f t="shared" si="726"/>
        <v>56664.978000001131</v>
      </c>
      <c r="AK202" s="6">
        <f t="shared" si="726"/>
        <v>152993.90500000012</v>
      </c>
      <c r="AL202" s="6">
        <f t="shared" si="726"/>
        <v>257656.65500000014</v>
      </c>
      <c r="AM202" s="6">
        <f t="shared" si="726"/>
        <v>569779.06200000015</v>
      </c>
      <c r="AN202" s="6">
        <f t="shared" si="726"/>
        <v>745117.14999999874</v>
      </c>
      <c r="AO202" s="6">
        <f t="shared" si="726"/>
        <v>776116.88599999971</v>
      </c>
      <c r="AP202" s="6">
        <f t="shared" si="726"/>
        <v>733158.27299999935</v>
      </c>
      <c r="AQ202" s="6">
        <f t="shared" si="726"/>
        <v>745589.2089999998</v>
      </c>
      <c r="AR202" s="6">
        <f t="shared" si="726"/>
        <v>584604.46299999987</v>
      </c>
      <c r="AS202" s="6">
        <f t="shared" si="726"/>
        <v>303254.03699999972</v>
      </c>
      <c r="AT202" s="6">
        <f t="shared" si="726"/>
        <v>215351.47500000009</v>
      </c>
      <c r="AU202" s="6">
        <f t="shared" si="726"/>
        <v>252936.29999999938</v>
      </c>
      <c r="AV202" s="6">
        <f t="shared" si="726"/>
        <v>236170.99800000037</v>
      </c>
      <c r="AW202" s="6">
        <f t="shared" si="726"/>
        <v>487551.58800000057</v>
      </c>
      <c r="AX202" s="6">
        <f t="shared" si="726"/>
        <v>610241.26700000057</v>
      </c>
      <c r="AY202" s="6">
        <f t="shared" si="726"/>
        <v>655807.53300000017</v>
      </c>
      <c r="AZ202" s="6">
        <f t="shared" si="726"/>
        <v>768910.78600000008</v>
      </c>
      <c r="BA202" s="6">
        <f t="shared" si="726"/>
        <v>920128.68800000031</v>
      </c>
      <c r="BB202" s="6">
        <f t="shared" si="726"/>
        <v>1031379.0209999999</v>
      </c>
      <c r="BC202" s="6">
        <f t="shared" si="726"/>
        <v>1441035.2870000014</v>
      </c>
      <c r="BD202" s="6">
        <f t="shared" si="726"/>
        <v>1512494.7890000006</v>
      </c>
      <c r="BE202" s="6">
        <f t="shared" si="726"/>
        <v>2451227.0959999999</v>
      </c>
      <c r="BF202" s="6">
        <f t="shared" si="726"/>
        <v>2469684.9319999996</v>
      </c>
      <c r="BG202" s="142"/>
      <c r="BH202" s="6"/>
      <c r="BI202" s="6"/>
      <c r="BJ202" s="6"/>
      <c r="BK202" s="6"/>
      <c r="BL202" s="6">
        <f>U18+BL18-BX18</f>
        <v>379199.70300000027</v>
      </c>
      <c r="BM202" s="6"/>
      <c r="BN202" s="6">
        <f t="shared" si="722"/>
        <v>805378.32899999968</v>
      </c>
      <c r="BO202" s="6">
        <f>BO18+E18-BN18</f>
        <v>975287.81400000001</v>
      </c>
      <c r="BP202" s="6">
        <f>BP18+F18-BO18</f>
        <v>820530.23100000061</v>
      </c>
      <c r="BQ202" s="6">
        <f>BQ18+H18-BY18</f>
        <v>722859.89400000032</v>
      </c>
      <c r="BR202" s="6">
        <f>BR18+J18-BZ18</f>
        <v>96464.463000000338</v>
      </c>
      <c r="BS202" s="6">
        <f>BS18+K18-BR18</f>
        <v>569779.06199999945</v>
      </c>
      <c r="BT202" s="6">
        <f>BT18+L18-BS18</f>
        <v>745589.20900000026</v>
      </c>
      <c r="BU202" s="6">
        <f>BU18+M18-BT18</f>
        <v>252936.30000000016</v>
      </c>
      <c r="BV202" s="6">
        <f>BV18+N18-BU18</f>
        <v>655807.53299999912</v>
      </c>
      <c r="BW202" s="6">
        <f>BW18+O18-BV18</f>
        <v>1441035.2870000007</v>
      </c>
      <c r="BX202" s="6"/>
      <c r="BY202" s="6"/>
      <c r="BZ202" s="6"/>
      <c r="CA202" s="6"/>
      <c r="CG202" s="6"/>
      <c r="CH202" s="6"/>
    </row>
    <row r="203" spans="1:86" ht="13.5" customHeight="1">
      <c r="B203" s="1" t="s">
        <v>331</v>
      </c>
      <c r="C203" s="6">
        <f>C105</f>
        <v>904212.95899999933</v>
      </c>
      <c r="D203" s="6">
        <f>D105</f>
        <v>1008564.7699999996</v>
      </c>
      <c r="E203" s="6">
        <f>E105</f>
        <v>1182131.2770000002</v>
      </c>
      <c r="F203" s="6">
        <f t="shared" ref="F203:K203" si="727">F105</f>
        <v>1090047.8910000008</v>
      </c>
      <c r="G203" s="6">
        <f t="shared" si="727"/>
        <v>1090047.8909999998</v>
      </c>
      <c r="H203" s="6">
        <f t="shared" si="727"/>
        <v>1098101.9970000009</v>
      </c>
      <c r="I203" s="6">
        <f t="shared" si="727"/>
        <v>891041.18799999997</v>
      </c>
      <c r="J203" s="6">
        <f t="shared" si="727"/>
        <v>812028.71899999981</v>
      </c>
      <c r="K203" s="6">
        <f t="shared" si="727"/>
        <v>577488.72799999954</v>
      </c>
      <c r="L203" s="6">
        <f>L105</f>
        <v>1204308.0789999999</v>
      </c>
      <c r="M203" s="6">
        <f>M105</f>
        <v>765738.04500000062</v>
      </c>
      <c r="N203" s="6">
        <f>N105</f>
        <v>945146.58799999952</v>
      </c>
      <c r="O203" s="6">
        <f>O105</f>
        <v>1386328.6879999998</v>
      </c>
      <c r="P203" s="6">
        <f>P105</f>
        <v>2909666.0959999999</v>
      </c>
      <c r="Q203" s="6"/>
      <c r="R203" s="6">
        <f>D105+R105-CC105</f>
        <v>1032083.8739999996</v>
      </c>
      <c r="S203" s="6">
        <f>D105+BN105-CD105</f>
        <v>1060737.9319999996</v>
      </c>
      <c r="T203" s="6">
        <f>D105-CE105+R105+S105+T105</f>
        <v>1216351.2099999997</v>
      </c>
      <c r="U203" s="6">
        <f t="shared" ref="U203:AC203" si="728">R105+S105+T105+U105</f>
        <v>1182131.2770000005</v>
      </c>
      <c r="V203" s="6">
        <f t="shared" si="728"/>
        <v>1208572.4500000002</v>
      </c>
      <c r="W203" s="6">
        <f t="shared" si="728"/>
        <v>1230893.4830000002</v>
      </c>
      <c r="X203" s="6">
        <f t="shared" si="728"/>
        <v>1088802.4000000004</v>
      </c>
      <c r="Y203" s="6">
        <f>V105+W105+X105+Y105</f>
        <v>1090047.8910000008</v>
      </c>
      <c r="Z203" s="6">
        <f t="shared" si="728"/>
        <v>1104114.6570000008</v>
      </c>
      <c r="AA203" s="6">
        <f t="shared" si="728"/>
        <v>1102224.8650000007</v>
      </c>
      <c r="AB203" s="6">
        <f t="shared" si="728"/>
        <v>1115622.1380000012</v>
      </c>
      <c r="AC203" s="6">
        <f t="shared" si="728"/>
        <v>1098101.9970000016</v>
      </c>
      <c r="AD203" s="6">
        <f>H105+AD105-BH105</f>
        <v>1079242.9400000009</v>
      </c>
      <c r="AE203" s="6">
        <f t="shared" si="725"/>
        <v>1081603.9540000004</v>
      </c>
      <c r="AF203" s="6">
        <f>H105+AF105-BJ105+AE105-BI105+AD105-BH105</f>
        <v>1076975.6050000009</v>
      </c>
      <c r="AG203" s="6">
        <f t="shared" ref="AG203:BF203" si="729">AD105+AE105+AF105+AG105</f>
        <v>812028.71899999981</v>
      </c>
      <c r="AH203" s="6">
        <f t="shared" si="729"/>
        <v>766720.10900000005</v>
      </c>
      <c r="AI203" s="6">
        <f t="shared" si="729"/>
        <v>510825.21200000029</v>
      </c>
      <c r="AJ203" s="6">
        <f t="shared" si="729"/>
        <v>475044.85000000114</v>
      </c>
      <c r="AK203" s="6">
        <f t="shared" si="729"/>
        <v>577488.728</v>
      </c>
      <c r="AL203" s="6">
        <f t="shared" si="729"/>
        <v>676701.91500000004</v>
      </c>
      <c r="AM203" s="6">
        <f t="shared" si="729"/>
        <v>985778.11499999999</v>
      </c>
      <c r="AN203" s="6">
        <f t="shared" si="729"/>
        <v>1164864.9829999986</v>
      </c>
      <c r="AO203" s="6">
        <f t="shared" si="729"/>
        <v>1204308.0789999997</v>
      </c>
      <c r="AP203" s="6">
        <f t="shared" si="729"/>
        <v>1170502.9789999994</v>
      </c>
      <c r="AQ203" s="6">
        <f t="shared" si="729"/>
        <v>1163989.8439999996</v>
      </c>
      <c r="AR203" s="6">
        <f t="shared" si="729"/>
        <v>1006186.8469999998</v>
      </c>
      <c r="AS203" s="6">
        <f t="shared" si="729"/>
        <v>765738.04499999969</v>
      </c>
      <c r="AT203" s="6">
        <f t="shared" si="729"/>
        <v>682777.15100000007</v>
      </c>
      <c r="AU203" s="6">
        <f t="shared" si="729"/>
        <v>723791.38299999933</v>
      </c>
      <c r="AV203" s="6">
        <f t="shared" si="729"/>
        <v>711323.08100000035</v>
      </c>
      <c r="AW203" s="6">
        <f t="shared" si="729"/>
        <v>945146.58800000057</v>
      </c>
      <c r="AX203" s="6">
        <f t="shared" si="729"/>
        <v>1069865.3860000006</v>
      </c>
      <c r="AY203" s="6">
        <f t="shared" si="729"/>
        <v>1122804.3920000002</v>
      </c>
      <c r="AZ203" s="6">
        <f t="shared" si="729"/>
        <v>1232973.645</v>
      </c>
      <c r="BA203" s="6">
        <f t="shared" si="729"/>
        <v>1386328.6880000003</v>
      </c>
      <c r="BB203" s="6">
        <f t="shared" si="729"/>
        <v>1491173.0210000002</v>
      </c>
      <c r="BC203" s="6">
        <f t="shared" si="729"/>
        <v>1899251.2170000016</v>
      </c>
      <c r="BD203" s="6">
        <f>BA105+BB105+BC105+BD105</f>
        <v>1971157.7190000007</v>
      </c>
      <c r="BE203" s="6">
        <f t="shared" si="729"/>
        <v>2909666.0959999999</v>
      </c>
      <c r="BF203" s="6">
        <f t="shared" si="729"/>
        <v>2703122.9319999996</v>
      </c>
      <c r="BG203" s="142"/>
      <c r="BH203" s="6"/>
      <c r="BI203" s="6"/>
      <c r="BJ203" s="6"/>
      <c r="BK203" s="6"/>
      <c r="BL203" s="6">
        <f>U105+BL105-BX105</f>
        <v>542991.01300000027</v>
      </c>
      <c r="BM203" s="6"/>
      <c r="BN203" s="6">
        <f t="shared" si="722"/>
        <v>1060737.9319999996</v>
      </c>
      <c r="BO203" s="6">
        <f>BO105+E105-BN105</f>
        <v>1230893.4830000002</v>
      </c>
      <c r="BP203" s="6">
        <f>BP105+F105-BO105</f>
        <v>1102224.8650000007</v>
      </c>
      <c r="BQ203" s="6">
        <f>BQ105+H105-BY105</f>
        <v>1081603.9540000004</v>
      </c>
      <c r="BR203" s="6">
        <f>BR105+J105-BZ105</f>
        <v>510825.21200000023</v>
      </c>
      <c r="BS203" s="6">
        <f>BS105+K105-BR105</f>
        <v>985778.11499999953</v>
      </c>
      <c r="BT203" s="6">
        <f>BT105+L105-BS105</f>
        <v>1163989.844</v>
      </c>
      <c r="BU203" s="6">
        <f>BU105+M105-BT105</f>
        <v>723791.38300000015</v>
      </c>
      <c r="BV203" s="6">
        <f>BV105+N105-BU105</f>
        <v>1122804.3919999993</v>
      </c>
      <c r="BW203" s="6">
        <f>BW105+O105-BV105</f>
        <v>1899251.2170000002</v>
      </c>
      <c r="BX203" s="6"/>
      <c r="BY203" s="6"/>
      <c r="BZ203" s="6"/>
      <c r="CA203" s="6"/>
      <c r="CG203" s="6"/>
      <c r="CH203" s="6"/>
    </row>
    <row r="204" spans="1:86" s="5" customFormat="1" ht="13.5" customHeight="1">
      <c r="B204" s="1" t="s">
        <v>423</v>
      </c>
      <c r="C204" s="6">
        <f>+C109</f>
        <v>895706</v>
      </c>
      <c r="D204" s="6">
        <f>+D109</f>
        <v>974815</v>
      </c>
      <c r="E204" s="6">
        <f>+E109</f>
        <v>1021405</v>
      </c>
      <c r="F204" s="6">
        <f t="shared" ref="F204:K204" si="730">+F109</f>
        <v>1084357.895</v>
      </c>
      <c r="G204" s="6">
        <f t="shared" si="730"/>
        <v>1086759.895</v>
      </c>
      <c r="H204" s="6">
        <f t="shared" si="730"/>
        <v>1074021.3770000001</v>
      </c>
      <c r="I204" s="6">
        <f t="shared" si="730"/>
        <v>866383.94500000007</v>
      </c>
      <c r="J204" s="6">
        <f t="shared" si="730"/>
        <v>791232.74500000011</v>
      </c>
      <c r="K204" s="6">
        <f t="shared" si="730"/>
        <v>622552.37899999996</v>
      </c>
      <c r="L204" s="6">
        <f>+L109</f>
        <v>1233363.9020000002</v>
      </c>
      <c r="M204" s="6">
        <f>+M109</f>
        <v>756358.39300000027</v>
      </c>
      <c r="N204" s="6">
        <f>+N109</f>
        <v>678211.42</v>
      </c>
      <c r="O204" s="6">
        <f>+O109</f>
        <v>1150669.0729999999</v>
      </c>
      <c r="P204" s="6">
        <f>+P109</f>
        <v>1502929.4209999999</v>
      </c>
      <c r="Q204" s="6"/>
      <c r="R204" s="6">
        <f>D109+R109-CC109</f>
        <v>989922.36899999995</v>
      </c>
      <c r="S204" s="6">
        <f>D109+BN109-CD109</f>
        <v>1007042.23</v>
      </c>
      <c r="T204" s="6">
        <f>D109-CE109+R109+S109+T109</f>
        <v>1021261.6799999999</v>
      </c>
      <c r="U204" s="6">
        <f t="shared" ref="U204:AC204" si="731">R109+S109+T109+U109</f>
        <v>1021405.0259999998</v>
      </c>
      <c r="V204" s="6">
        <f t="shared" si="731"/>
        <v>1054871.7509999999</v>
      </c>
      <c r="W204" s="6">
        <f t="shared" si="731"/>
        <v>1068063.2729999998</v>
      </c>
      <c r="X204" s="6">
        <f t="shared" si="731"/>
        <v>1064331.3839999998</v>
      </c>
      <c r="Y204" s="6">
        <f>V109+W109+X109+Y109</f>
        <v>1084357.895</v>
      </c>
      <c r="Z204" s="6">
        <f t="shared" si="731"/>
        <v>1093140.9040000001</v>
      </c>
      <c r="AA204" s="6">
        <f t="shared" si="731"/>
        <v>1100883.3220000002</v>
      </c>
      <c r="AB204" s="6">
        <f t="shared" si="731"/>
        <v>1111669.1440000001</v>
      </c>
      <c r="AC204" s="6">
        <f t="shared" si="731"/>
        <v>1074021.3769999999</v>
      </c>
      <c r="AD204" s="6">
        <f>H109+AD109-BH109</f>
        <v>1055429.3629999999</v>
      </c>
      <c r="AE204" s="6">
        <f t="shared" si="725"/>
        <v>1047361.4740000003</v>
      </c>
      <c r="AF204" s="6">
        <f>H109+AF109-BJ109+AE109-BI109+AD109-BH109</f>
        <v>1040741.9489999999</v>
      </c>
      <c r="AG204" s="6">
        <f t="shared" ref="AG204:BF204" si="732">AD109+AE109+AF109+AG109</f>
        <v>791232.74499999988</v>
      </c>
      <c r="AH204" s="6">
        <f t="shared" si="732"/>
        <v>745040.07599999988</v>
      </c>
      <c r="AI204" s="6">
        <f t="shared" si="732"/>
        <v>496789.46600000007</v>
      </c>
      <c r="AJ204" s="6">
        <f t="shared" si="732"/>
        <v>462598.05699999997</v>
      </c>
      <c r="AK204" s="6">
        <f t="shared" si="732"/>
        <v>622552.37899999996</v>
      </c>
      <c r="AL204" s="6">
        <f t="shared" si="732"/>
        <v>726367.31700000004</v>
      </c>
      <c r="AM204" s="6">
        <f t="shared" si="732"/>
        <v>1038365.642</v>
      </c>
      <c r="AN204" s="6">
        <f t="shared" si="732"/>
        <v>1215300.1140000001</v>
      </c>
      <c r="AO204" s="6">
        <f t="shared" si="732"/>
        <v>1233363.9019999998</v>
      </c>
      <c r="AP204" s="6">
        <f t="shared" si="732"/>
        <v>1193250.2919999999</v>
      </c>
      <c r="AQ204" s="6">
        <f t="shared" si="732"/>
        <v>1101861.2599999998</v>
      </c>
      <c r="AR204" s="6">
        <f t="shared" si="732"/>
        <v>923847.95200000005</v>
      </c>
      <c r="AS204" s="6">
        <f t="shared" si="732"/>
        <v>756358.39299999992</v>
      </c>
      <c r="AT204" s="6">
        <f t="shared" si="732"/>
        <v>670077.89299999992</v>
      </c>
      <c r="AU204" s="6">
        <f t="shared" si="732"/>
        <v>623951.23900000006</v>
      </c>
      <c r="AV204" s="6">
        <f t="shared" si="732"/>
        <v>620234.51699999988</v>
      </c>
      <c r="AW204" s="6">
        <f t="shared" si="732"/>
        <v>678211.42000000016</v>
      </c>
      <c r="AX204" s="6">
        <f t="shared" si="732"/>
        <v>789191.87600000016</v>
      </c>
      <c r="AY204" s="6">
        <f t="shared" si="732"/>
        <v>908098.20499999996</v>
      </c>
      <c r="AZ204" s="6">
        <f t="shared" si="732"/>
        <v>1018253.811</v>
      </c>
      <c r="BA204" s="6">
        <f t="shared" si="732"/>
        <v>1150669.0729999999</v>
      </c>
      <c r="BB204" s="6">
        <f t="shared" si="732"/>
        <v>1257891.196</v>
      </c>
      <c r="BC204" s="6">
        <f t="shared" si="732"/>
        <v>1347077.341</v>
      </c>
      <c r="BD204" s="6">
        <f t="shared" si="732"/>
        <v>1410716.0219999999</v>
      </c>
      <c r="BE204" s="6">
        <f t="shared" si="732"/>
        <v>1502929.4209999999</v>
      </c>
      <c r="BF204" s="6">
        <f t="shared" si="732"/>
        <v>1520152.9489999998</v>
      </c>
      <c r="BG204" s="142"/>
      <c r="BH204" s="6"/>
      <c r="BI204" s="6"/>
      <c r="BJ204" s="6"/>
      <c r="BK204" s="6"/>
      <c r="BL204" s="6">
        <f>U109+BL109-BX109</f>
        <v>520449.9819999999</v>
      </c>
      <c r="BM204" s="6"/>
      <c r="BN204" s="6">
        <f t="shared" si="722"/>
        <v>1007042.23</v>
      </c>
      <c r="BO204" s="6">
        <f>+BO109+E109-BN109</f>
        <v>1068064</v>
      </c>
      <c r="BP204" s="6">
        <f>+BP109+F109-BO109</f>
        <v>1100882.6270000001</v>
      </c>
      <c r="BQ204" s="6">
        <f>+BQ109+H109-BY109</f>
        <v>1047361.4740000003</v>
      </c>
      <c r="BR204" s="6">
        <f>+BR109+J109-BZ109</f>
        <v>496789.46600000013</v>
      </c>
      <c r="BS204" s="6">
        <f>+BS109+K109-BR109</f>
        <v>1038365.642</v>
      </c>
      <c r="BT204" s="6">
        <f>+BT109+L109-BS109</f>
        <v>1101861.2600000002</v>
      </c>
      <c r="BU204" s="6">
        <f>+BU109+M109-BT109</f>
        <v>623951.23900000029</v>
      </c>
      <c r="BV204" s="6">
        <f>+BV109+N109-BU109</f>
        <v>908098.20499999996</v>
      </c>
      <c r="BW204" s="6">
        <f>+BW109+O109-BV109</f>
        <v>1347077.3409999998</v>
      </c>
      <c r="BX204" s="6"/>
      <c r="BY204" s="6"/>
      <c r="BZ204" s="6"/>
      <c r="CA204" s="6"/>
      <c r="CG204" s="261"/>
      <c r="CH204" s="261"/>
    </row>
    <row r="205" spans="1:86" s="5" customFormat="1" ht="13.5" customHeight="1">
      <c r="B205" s="1" t="s">
        <v>424</v>
      </c>
      <c r="C205" s="6">
        <f>C113</f>
        <v>1019857.167</v>
      </c>
      <c r="D205" s="6">
        <f>D113</f>
        <v>1122238.5249999999</v>
      </c>
      <c r="E205" s="6">
        <f>E113</f>
        <v>1179039.737</v>
      </c>
      <c r="F205" s="6">
        <f t="shared" ref="F205:K205" si="733">F113</f>
        <v>1246909.375</v>
      </c>
      <c r="G205" s="6">
        <f t="shared" si="733"/>
        <v>1264707.129</v>
      </c>
      <c r="H205" s="6">
        <f t="shared" si="733"/>
        <v>1268735.5990000002</v>
      </c>
      <c r="I205" s="6">
        <f t="shared" si="733"/>
        <v>1058323.53</v>
      </c>
      <c r="J205" s="6">
        <f t="shared" si="733"/>
        <v>865872.62500000012</v>
      </c>
      <c r="K205" s="6">
        <f t="shared" si="733"/>
        <v>684094.75799999991</v>
      </c>
      <c r="L205" s="6">
        <f>L113</f>
        <v>1323465.9050000003</v>
      </c>
      <c r="M205" s="6">
        <f>M113</f>
        <v>872696.16900000023</v>
      </c>
      <c r="N205" s="6">
        <f>N113</f>
        <v>779056.87600000005</v>
      </c>
      <c r="O205" s="6">
        <f>O113</f>
        <v>1252389.5109999999</v>
      </c>
      <c r="P205" s="6">
        <f>P113</f>
        <v>1595918.9799999997</v>
      </c>
      <c r="Q205" s="6"/>
      <c r="R205" s="6">
        <f>D113+R113-CC113</f>
        <v>1141356.0569999998</v>
      </c>
      <c r="S205" s="6">
        <f>D113+BN113-CD113</f>
        <v>1162458.5449999999</v>
      </c>
      <c r="T205" s="6">
        <f>D113-CE113+R113+S113+T113</f>
        <v>1177271.3559999999</v>
      </c>
      <c r="U205" s="6">
        <f t="shared" ref="U205:AC205" si="734">R113+S113+T113+U113</f>
        <v>1179039.7629999998</v>
      </c>
      <c r="V205" s="6">
        <f t="shared" si="734"/>
        <v>1216283.5739999998</v>
      </c>
      <c r="W205" s="6">
        <f t="shared" si="734"/>
        <v>1230422.6259999999</v>
      </c>
      <c r="X205" s="6">
        <f t="shared" si="734"/>
        <v>1225725.2139999999</v>
      </c>
      <c r="Y205" s="6">
        <f>V113+W113+X113+Y113</f>
        <v>1246909.375</v>
      </c>
      <c r="Z205" s="6">
        <f t="shared" si="734"/>
        <v>1261829.1740000001</v>
      </c>
      <c r="AA205" s="6">
        <f t="shared" si="734"/>
        <v>1278480.78</v>
      </c>
      <c r="AB205" s="6">
        <f t="shared" si="734"/>
        <v>1296810.6880000001</v>
      </c>
      <c r="AC205" s="6">
        <f t="shared" si="734"/>
        <v>1268735.5989999999</v>
      </c>
      <c r="AD205" s="6">
        <f>H113+AD113-BH113</f>
        <v>1219099.8049999999</v>
      </c>
      <c r="AE205" s="6">
        <f t="shared" si="725"/>
        <v>1181819.7130000002</v>
      </c>
      <c r="AF205" s="6">
        <f>H113+AF113-BJ113+AE113-BI113+AD113-BH113</f>
        <v>1149807.8979999998</v>
      </c>
      <c r="AG205" s="6">
        <f t="shared" ref="AG205:BF205" si="735">AD113+AE113+AF113+AG113</f>
        <v>865872.625</v>
      </c>
      <c r="AH205" s="6">
        <f t="shared" si="735"/>
        <v>818237.96299999987</v>
      </c>
      <c r="AI205" s="6">
        <f t="shared" si="735"/>
        <v>556529.44800000009</v>
      </c>
      <c r="AJ205" s="6">
        <f t="shared" si="735"/>
        <v>517818.66799999995</v>
      </c>
      <c r="AK205" s="6">
        <f t="shared" si="735"/>
        <v>684094.75800000003</v>
      </c>
      <c r="AL205" s="6">
        <f t="shared" si="735"/>
        <v>789748.16399999999</v>
      </c>
      <c r="AM205" s="6">
        <f t="shared" si="735"/>
        <v>1110822.5919999999</v>
      </c>
      <c r="AN205" s="6">
        <f t="shared" si="735"/>
        <v>1292663.352</v>
      </c>
      <c r="AO205" s="6">
        <f t="shared" si="735"/>
        <v>1323465.905</v>
      </c>
      <c r="AP205" s="6">
        <f t="shared" si="735"/>
        <v>1299637.1839999999</v>
      </c>
      <c r="AQ205" s="6">
        <f t="shared" si="735"/>
        <v>1220516.483</v>
      </c>
      <c r="AR205" s="6">
        <f t="shared" si="735"/>
        <v>1051902.2230000002</v>
      </c>
      <c r="AS205" s="6">
        <f t="shared" si="735"/>
        <v>872696.16899999988</v>
      </c>
      <c r="AT205" s="6">
        <f t="shared" si="735"/>
        <v>778262.22999999986</v>
      </c>
      <c r="AU205" s="6">
        <f t="shared" si="735"/>
        <v>728214.54900000012</v>
      </c>
      <c r="AV205" s="6">
        <f t="shared" si="735"/>
        <v>716970.36699999997</v>
      </c>
      <c r="AW205" s="6">
        <f>AT113+AU113+AV113+AW113</f>
        <v>779056.87600000005</v>
      </c>
      <c r="AX205" s="6">
        <f t="shared" si="735"/>
        <v>892185.12000000011</v>
      </c>
      <c r="AY205" s="6">
        <f t="shared" si="735"/>
        <v>1013940.4890000001</v>
      </c>
      <c r="AZ205" s="6">
        <f t="shared" si="735"/>
        <v>1125446.844</v>
      </c>
      <c r="BA205" s="6">
        <f t="shared" si="735"/>
        <v>1252389.5109999999</v>
      </c>
      <c r="BB205" s="6">
        <f t="shared" si="735"/>
        <v>1356128.24</v>
      </c>
      <c r="BC205" s="6">
        <f t="shared" si="735"/>
        <v>1440788.6220000002</v>
      </c>
      <c r="BD205" s="6">
        <f t="shared" si="735"/>
        <v>1503672.8119999997</v>
      </c>
      <c r="BE205" s="6">
        <f t="shared" si="735"/>
        <v>1595918.98</v>
      </c>
      <c r="BF205" s="6">
        <f t="shared" si="735"/>
        <v>1613281.159</v>
      </c>
      <c r="BG205" s="142"/>
      <c r="BH205" s="6"/>
      <c r="BI205" s="6"/>
      <c r="BJ205" s="6"/>
      <c r="BK205" s="6"/>
      <c r="BL205" s="6">
        <f>U113+BL113-BX113</f>
        <v>577680.21899999981</v>
      </c>
      <c r="BM205" s="6"/>
      <c r="BN205" s="6">
        <f t="shared" si="722"/>
        <v>1162458.5449999999</v>
      </c>
      <c r="BO205" s="6">
        <f>BO113-BN113+E113</f>
        <v>1230423.3529999999</v>
      </c>
      <c r="BP205" s="6">
        <f>BP113-BO113+F113</f>
        <v>1278480.085</v>
      </c>
      <c r="BQ205" s="6">
        <f>BQ113-BY113+H113</f>
        <v>1181819.7130000002</v>
      </c>
      <c r="BR205" s="6">
        <f>BR113-BZ113+J113</f>
        <v>556529.44800000009</v>
      </c>
      <c r="BS205" s="6">
        <f>BS113-BR113+K113</f>
        <v>1110822.5919999997</v>
      </c>
      <c r="BT205" s="6">
        <f>BT113-BS113+L113</f>
        <v>1220516.4830000002</v>
      </c>
      <c r="BU205" s="6">
        <f>BU113-BT113+M113</f>
        <v>728214.54900000035</v>
      </c>
      <c r="BV205" s="6">
        <f>BV113-BU113+N113</f>
        <v>1013940.4890000001</v>
      </c>
      <c r="BW205" s="6">
        <f>BW113-BV113+O113</f>
        <v>1440788.622</v>
      </c>
      <c r="BX205" s="6"/>
      <c r="BY205" s="6"/>
      <c r="BZ205" s="6"/>
      <c r="CA205" s="6"/>
      <c r="CG205" s="261"/>
      <c r="CH205" s="261"/>
    </row>
    <row r="206" spans="1:86" s="5" customFormat="1" ht="13.5" customHeight="1">
      <c r="B206" s="1" t="s">
        <v>425</v>
      </c>
      <c r="C206" s="6">
        <f>C112</f>
        <v>124151.167</v>
      </c>
      <c r="D206" s="6">
        <f>D112</f>
        <v>147423.52499999999</v>
      </c>
      <c r="E206" s="6">
        <f>E112</f>
        <v>157634.73699999999</v>
      </c>
      <c r="F206" s="6">
        <f t="shared" ref="F206:K206" si="736">F112</f>
        <v>162551.48000000001</v>
      </c>
      <c r="G206" s="6">
        <f t="shared" si="736"/>
        <v>177947.234</v>
      </c>
      <c r="H206" s="6">
        <f t="shared" si="736"/>
        <v>194714.22200000001</v>
      </c>
      <c r="I206" s="6">
        <f t="shared" si="736"/>
        <v>191939.58499999999</v>
      </c>
      <c r="J206" s="6">
        <f t="shared" si="736"/>
        <v>74639.88</v>
      </c>
      <c r="K206" s="6">
        <f t="shared" si="736"/>
        <v>61542.379000000001</v>
      </c>
      <c r="L206" s="6">
        <f>L112</f>
        <v>90102.002999999997</v>
      </c>
      <c r="M206" s="6">
        <f>M112</f>
        <v>116337.776</v>
      </c>
      <c r="N206" s="6">
        <f>N112</f>
        <v>100845.45600000001</v>
      </c>
      <c r="O206" s="6">
        <f>O112</f>
        <v>101720.43799999999</v>
      </c>
      <c r="P206" s="6">
        <f>P112</f>
        <v>92989.558999999994</v>
      </c>
      <c r="Q206" s="6"/>
      <c r="R206" s="6">
        <f>D112+R112-CC112</f>
        <v>151433.68800000002</v>
      </c>
      <c r="S206" s="6">
        <f>D112+BN112-CD112</f>
        <v>155416.315</v>
      </c>
      <c r="T206" s="6">
        <f>D112-CE112+R112+S112+T112</f>
        <v>156009.67600000001</v>
      </c>
      <c r="U206" s="6">
        <f t="shared" ref="U206:AC206" si="737">R112+S112+T112+U112</f>
        <v>157634.73699999999</v>
      </c>
      <c r="V206" s="6">
        <f t="shared" si="737"/>
        <v>161411.82299999997</v>
      </c>
      <c r="W206" s="6">
        <f t="shared" si="737"/>
        <v>162359.353</v>
      </c>
      <c r="X206" s="6">
        <f t="shared" si="737"/>
        <v>161393.82999999999</v>
      </c>
      <c r="Y206" s="6">
        <f>V112+W112+X112+Y112</f>
        <v>162551.48000000001</v>
      </c>
      <c r="Z206" s="6">
        <f t="shared" si="737"/>
        <v>168688.27000000002</v>
      </c>
      <c r="AA206" s="6">
        <f t="shared" si="737"/>
        <v>177597.45800000001</v>
      </c>
      <c r="AB206" s="6">
        <f t="shared" si="737"/>
        <v>185141.54399999999</v>
      </c>
      <c r="AC206" s="6">
        <f t="shared" si="737"/>
        <v>194714.22200000001</v>
      </c>
      <c r="AD206" s="6">
        <f>H112+AD112-BH112</f>
        <v>163670.44200000001</v>
      </c>
      <c r="AE206" s="6">
        <f t="shared" si="725"/>
        <v>134458.239</v>
      </c>
      <c r="AF206" s="6">
        <f>H112+AF112-BJ112+AE112-BI112+AD112-BH112</f>
        <v>109065.94900000002</v>
      </c>
      <c r="AG206" s="6">
        <f t="shared" ref="AG206:BF206" si="738">AD112+AE112+AF112+AG112</f>
        <v>74639.88</v>
      </c>
      <c r="AH206" s="6">
        <f t="shared" si="738"/>
        <v>73197.887000000002</v>
      </c>
      <c r="AI206" s="6">
        <f t="shared" si="738"/>
        <v>59739.982000000011</v>
      </c>
      <c r="AJ206" s="6">
        <f t="shared" si="738"/>
        <v>55220.611000000004</v>
      </c>
      <c r="AK206" s="6">
        <f t="shared" si="738"/>
        <v>61542.379000000001</v>
      </c>
      <c r="AL206" s="6">
        <f t="shared" si="738"/>
        <v>63380.846999999994</v>
      </c>
      <c r="AM206" s="6">
        <f t="shared" si="738"/>
        <v>72456.95</v>
      </c>
      <c r="AN206" s="6">
        <f t="shared" si="738"/>
        <v>77363.237999999998</v>
      </c>
      <c r="AO206" s="6">
        <f t="shared" si="738"/>
        <v>90102.003000000012</v>
      </c>
      <c r="AP206" s="6">
        <f t="shared" si="738"/>
        <v>106386.89199999999</v>
      </c>
      <c r="AQ206" s="6">
        <f t="shared" si="738"/>
        <v>118655.223</v>
      </c>
      <c r="AR206" s="6">
        <f t="shared" si="738"/>
        <v>128054.27100000001</v>
      </c>
      <c r="AS206" s="6">
        <f t="shared" si="738"/>
        <v>116337.77599999998</v>
      </c>
      <c r="AT206" s="6">
        <f t="shared" si="738"/>
        <v>108184.337</v>
      </c>
      <c r="AU206" s="6">
        <f t="shared" si="738"/>
        <v>104263.31</v>
      </c>
      <c r="AV206" s="6">
        <f t="shared" si="738"/>
        <v>96735.849999999991</v>
      </c>
      <c r="AW206" s="6">
        <f t="shared" si="738"/>
        <v>100845.45600000001</v>
      </c>
      <c r="AX206" s="6">
        <f t="shared" si="738"/>
        <v>102993.24400000001</v>
      </c>
      <c r="AY206" s="6">
        <f t="shared" si="738"/>
        <v>105842.28400000001</v>
      </c>
      <c r="AZ206" s="6">
        <f t="shared" si="738"/>
        <v>107193.033</v>
      </c>
      <c r="BA206" s="6">
        <f t="shared" si="738"/>
        <v>101720.43800000001</v>
      </c>
      <c r="BB206" s="6">
        <f t="shared" si="738"/>
        <v>98237.043999999994</v>
      </c>
      <c r="BC206" s="6">
        <f t="shared" si="738"/>
        <v>93711.281000000003</v>
      </c>
      <c r="BD206" s="6">
        <f t="shared" si="738"/>
        <v>92956.79</v>
      </c>
      <c r="BE206" s="6">
        <f t="shared" si="738"/>
        <v>92989.558999999994</v>
      </c>
      <c r="BF206" s="6">
        <f t="shared" si="738"/>
        <v>93128.209999999992</v>
      </c>
      <c r="BG206" s="142"/>
      <c r="BH206" s="6"/>
      <c r="BI206" s="6"/>
      <c r="BJ206" s="6"/>
      <c r="BK206" s="6"/>
      <c r="BL206" s="6">
        <f>U112+BL112-BX112</f>
        <v>57230.236999999986</v>
      </c>
      <c r="BM206" s="6"/>
      <c r="BN206" s="6">
        <f t="shared" si="722"/>
        <v>155416.315</v>
      </c>
      <c r="BO206" s="6">
        <f>BO112-BN112+E112</f>
        <v>162359.353</v>
      </c>
      <c r="BP206" s="6">
        <f>BP112-BO112+F112</f>
        <v>177597.45800000001</v>
      </c>
      <c r="BQ206" s="6">
        <f>BQ112-BY112+H112</f>
        <v>134458.239</v>
      </c>
      <c r="BR206" s="6">
        <f>BR112-BZ112+J112</f>
        <v>59739.982000000004</v>
      </c>
      <c r="BS206" s="6">
        <f>BS112-BR112+K112</f>
        <v>72456.95</v>
      </c>
      <c r="BT206" s="6">
        <f>BT112-BS112+L112</f>
        <v>118655.223</v>
      </c>
      <c r="BU206" s="6">
        <f>BU112-BT112+M112</f>
        <v>104263.31</v>
      </c>
      <c r="BV206" s="6">
        <f>BV112-BU112+N112</f>
        <v>105842.28400000001</v>
      </c>
      <c r="BW206" s="6">
        <f>BW112-BV112+O112</f>
        <v>93711.280999999988</v>
      </c>
      <c r="BX206" s="6"/>
      <c r="BY206" s="6"/>
      <c r="BZ206" s="6"/>
      <c r="CA206" s="6"/>
      <c r="CG206" s="6"/>
      <c r="CH206" s="6"/>
    </row>
    <row r="207" spans="1:86" ht="13.5" customHeight="1">
      <c r="B207" s="1" t="s">
        <v>369</v>
      </c>
      <c r="C207" s="6">
        <f>-C137</f>
        <v>88246.884999999995</v>
      </c>
      <c r="D207" s="6">
        <f>-D137</f>
        <v>152688.95699999999</v>
      </c>
      <c r="E207" s="6">
        <f>-E137</f>
        <v>168467.36799999999</v>
      </c>
      <c r="F207" s="6">
        <f t="shared" ref="F207:K207" si="739">-F137</f>
        <v>166699.508</v>
      </c>
      <c r="G207" s="6">
        <f t="shared" si="739"/>
        <v>166699.508</v>
      </c>
      <c r="H207" s="6">
        <f t="shared" si="739"/>
        <v>168127.34099999999</v>
      </c>
      <c r="I207" s="6">
        <f t="shared" si="739"/>
        <v>165482.272</v>
      </c>
      <c r="J207" s="6">
        <f t="shared" si="739"/>
        <v>148775.18599999999</v>
      </c>
      <c r="K207" s="6">
        <f t="shared" si="739"/>
        <v>186551.639</v>
      </c>
      <c r="L207" s="6">
        <f>-L137</f>
        <v>152165.73300000001</v>
      </c>
      <c r="M207" s="6">
        <f>-M137</f>
        <v>194267.098</v>
      </c>
      <c r="N207" s="6">
        <f>-N137</f>
        <v>238051.59</v>
      </c>
      <c r="O207" s="6">
        <f>-O137</f>
        <v>242276.573</v>
      </c>
      <c r="P207" s="6">
        <f>-P137</f>
        <v>198387.57399999999</v>
      </c>
      <c r="Q207" s="6"/>
      <c r="R207" s="6">
        <f>-(D137+R137-CC137)</f>
        <v>174237.63499999998</v>
      </c>
      <c r="S207" s="6">
        <f>-(D137+BN137-CD137)</f>
        <v>179026.61199999999</v>
      </c>
      <c r="T207" s="6">
        <f>-(D137-CE137+R137+S137+T137)</f>
        <v>174185.43600000002</v>
      </c>
      <c r="U207" s="6">
        <f t="shared" ref="U207:AC207" si="740">-R137-S137-T137-U137</f>
        <v>168467.36799999999</v>
      </c>
      <c r="V207" s="6">
        <f t="shared" si="740"/>
        <v>168288.66199999995</v>
      </c>
      <c r="W207" s="6">
        <f t="shared" si="740"/>
        <v>151832.27199999997</v>
      </c>
      <c r="X207" s="6">
        <f t="shared" si="740"/>
        <v>160568.47399999999</v>
      </c>
      <c r="Y207" s="6">
        <f>-V137-W137-X137-Y137</f>
        <v>166699.508</v>
      </c>
      <c r="Z207" s="6">
        <f t="shared" si="740"/>
        <v>165407.80900000001</v>
      </c>
      <c r="AA207" s="6">
        <f t="shared" si="740"/>
        <v>208075.09000000003</v>
      </c>
      <c r="AB207" s="6">
        <f t="shared" si="740"/>
        <v>173600.99</v>
      </c>
      <c r="AC207" s="6">
        <f t="shared" si="740"/>
        <v>168127.34099999999</v>
      </c>
      <c r="AD207" s="6">
        <f>-(H137+AD137-BH137)</f>
        <v>167793.04799999998</v>
      </c>
      <c r="AE207" s="6">
        <f t="shared" si="725"/>
        <v>139815.85800000001</v>
      </c>
      <c r="AF207" s="6">
        <f>-(H137+AF137-BJ137+AE137+AD137-BH137-BI137)</f>
        <v>156264.38299999997</v>
      </c>
      <c r="AG207" s="6">
        <f t="shared" ref="AG207:BF207" si="741">-AD137-AE137-AF137-AG137</f>
        <v>148775.18599999999</v>
      </c>
      <c r="AH207" s="6">
        <f t="shared" si="741"/>
        <v>149056.31199999998</v>
      </c>
      <c r="AI207" s="6">
        <f t="shared" si="741"/>
        <v>171766.10399999999</v>
      </c>
      <c r="AJ207" s="6">
        <f t="shared" si="741"/>
        <v>180814.35999999996</v>
      </c>
      <c r="AK207" s="6">
        <f t="shared" si="741"/>
        <v>186551.639</v>
      </c>
      <c r="AL207" s="6">
        <f t="shared" si="741"/>
        <v>178920.845</v>
      </c>
      <c r="AM207" s="6">
        <f t="shared" si="741"/>
        <v>171990.57</v>
      </c>
      <c r="AN207" s="6">
        <f t="shared" si="741"/>
        <v>195242.65700000001</v>
      </c>
      <c r="AO207" s="6">
        <f t="shared" si="741"/>
        <v>152165.73300000001</v>
      </c>
      <c r="AP207" s="6">
        <f t="shared" si="741"/>
        <v>148683.83800000002</v>
      </c>
      <c r="AQ207" s="6">
        <f t="shared" si="741"/>
        <v>149172.239</v>
      </c>
      <c r="AR207" s="6">
        <f t="shared" si="741"/>
        <v>137732.21</v>
      </c>
      <c r="AS207" s="6">
        <f t="shared" si="741"/>
        <v>194267.098</v>
      </c>
      <c r="AT207" s="6">
        <f t="shared" si="741"/>
        <v>224022.79399999999</v>
      </c>
      <c r="AU207" s="6">
        <f t="shared" si="741"/>
        <v>235367.86199999999</v>
      </c>
      <c r="AV207" s="6">
        <f t="shared" si="741"/>
        <v>229383.08800000002</v>
      </c>
      <c r="AW207" s="6">
        <f t="shared" si="741"/>
        <v>238051.59</v>
      </c>
      <c r="AX207" s="6">
        <f t="shared" si="741"/>
        <v>242649.33000000002</v>
      </c>
      <c r="AY207" s="6">
        <f t="shared" si="741"/>
        <v>242823.72400000002</v>
      </c>
      <c r="AZ207" s="6">
        <f t="shared" si="741"/>
        <v>256351.364</v>
      </c>
      <c r="BA207" s="6">
        <f t="shared" si="741"/>
        <v>242276.573</v>
      </c>
      <c r="BB207" s="6">
        <f t="shared" si="741"/>
        <v>235765.28099999999</v>
      </c>
      <c r="BC207" s="6">
        <f t="shared" si="741"/>
        <v>229267.09700000004</v>
      </c>
      <c r="BD207" s="6">
        <f t="shared" si="741"/>
        <v>212854.69699999999</v>
      </c>
      <c r="BE207" s="6">
        <f t="shared" si="741"/>
        <v>198387.57399999999</v>
      </c>
      <c r="BF207" s="6">
        <f t="shared" si="741"/>
        <v>186052.73899999997</v>
      </c>
      <c r="BG207" s="142"/>
      <c r="BH207" s="6"/>
      <c r="BI207" s="6"/>
      <c r="BJ207" s="6"/>
      <c r="BK207" s="6"/>
      <c r="BL207" s="6">
        <f>-(U137+BL137-BX137)</f>
        <v>69527.170999999973</v>
      </c>
      <c r="BM207" s="6"/>
      <c r="BN207" s="6">
        <f t="shared" si="722"/>
        <v>179026.61199999999</v>
      </c>
      <c r="BO207" s="6">
        <f>-(BO137+E137-BN137)</f>
        <v>151832.27199999997</v>
      </c>
      <c r="BP207" s="6">
        <f>-(BP137+F137-BO137)</f>
        <v>208075.08999999997</v>
      </c>
      <c r="BQ207" s="6">
        <f>-(BQ137+H137-BY137)</f>
        <v>139815.85800000001</v>
      </c>
      <c r="BR207" s="6">
        <f>-(BR137+J137-BZ137)</f>
        <v>171766.10399999996</v>
      </c>
      <c r="BS207" s="6">
        <f>-(BS137+K137-BR137)</f>
        <v>171990.57</v>
      </c>
      <c r="BT207" s="6">
        <f>-(BT137+L137-BS137)</f>
        <v>149172.239</v>
      </c>
      <c r="BU207" s="6">
        <f>-(BU137+M137-BT137)</f>
        <v>235367.86199999996</v>
      </c>
      <c r="BV207" s="6">
        <f>-(BV137+N137-BU137)</f>
        <v>242823.72400000005</v>
      </c>
      <c r="BW207" s="6">
        <f>-(BW137+O137-BV137)</f>
        <v>229267.09700000001</v>
      </c>
      <c r="BX207" s="6"/>
      <c r="BY207" s="6"/>
      <c r="BZ207" s="6"/>
      <c r="CA207" s="6"/>
      <c r="CG207" s="6"/>
      <c r="CH207" s="6"/>
    </row>
    <row r="208" spans="1:86" ht="13.5" customHeight="1">
      <c r="B208" s="1" t="s">
        <v>426</v>
      </c>
      <c r="C208" s="6">
        <f>+C24</f>
        <v>438979.03599999927</v>
      </c>
      <c r="D208" s="6">
        <f>+D24</f>
        <v>479754.54999999958</v>
      </c>
      <c r="E208" s="6">
        <f>+E24</f>
        <v>594669.13800000004</v>
      </c>
      <c r="F208" s="6">
        <f t="shared" ref="F208:K208" si="742">+F24</f>
        <v>480410.09800000058</v>
      </c>
      <c r="G208" s="6">
        <f t="shared" si="742"/>
        <v>480410.09799999988</v>
      </c>
      <c r="H208" s="6">
        <f t="shared" si="742"/>
        <v>465871.9110000009</v>
      </c>
      <c r="I208" s="6">
        <f t="shared" si="742"/>
        <v>309817.21399999992</v>
      </c>
      <c r="J208" s="6">
        <f t="shared" si="742"/>
        <v>122883.97199999989</v>
      </c>
      <c r="K208" s="6">
        <f t="shared" si="742"/>
        <v>-93037.773000000438</v>
      </c>
      <c r="L208" s="6">
        <f>+L24</f>
        <v>454394.8930000001</v>
      </c>
      <c r="M208" s="6">
        <f>+M24</f>
        <v>-8611.0799999994342</v>
      </c>
      <c r="N208" s="6">
        <f>+N24</f>
        <v>147955.80699999959</v>
      </c>
      <c r="O208" s="6">
        <f>+O24</f>
        <v>430508.40899999987</v>
      </c>
      <c r="P208" s="6">
        <f>+P24</f>
        <v>1681706.7039999994</v>
      </c>
      <c r="Q208" s="6"/>
      <c r="R208" s="6">
        <f>D24+R24-CC24</f>
        <v>477088.75699999963</v>
      </c>
      <c r="S208" s="6">
        <f>D24+BN24-CD24</f>
        <v>483117.21299999976</v>
      </c>
      <c r="T208" s="6">
        <f>(D24-CE24+R24+S24+T24)</f>
        <v>622748.39799999981</v>
      </c>
      <c r="U208" s="6">
        <f t="shared" ref="U208:AC208" si="743">R24+S24+T24+U24</f>
        <v>594669.13800000038</v>
      </c>
      <c r="V208" s="6">
        <f t="shared" si="743"/>
        <v>611843.13800000027</v>
      </c>
      <c r="W208" s="6">
        <f t="shared" si="743"/>
        <v>622574.65500000026</v>
      </c>
      <c r="X208" s="6">
        <f t="shared" si="743"/>
        <v>475807.01000000036</v>
      </c>
      <c r="Y208" s="6">
        <f>V24+W24+X24+Y24</f>
        <v>480410.0980000007</v>
      </c>
      <c r="Z208" s="6">
        <f t="shared" si="743"/>
        <v>476926.41300000076</v>
      </c>
      <c r="AA208" s="6">
        <f t="shared" si="743"/>
        <v>483213.64600000065</v>
      </c>
      <c r="AB208" s="6">
        <f t="shared" si="743"/>
        <v>483124.53600000101</v>
      </c>
      <c r="AC208" s="6">
        <f t="shared" si="743"/>
        <v>465871.91100000159</v>
      </c>
      <c r="AD208" s="6">
        <f>H24+AD24-BH24</f>
        <v>427506.74100000074</v>
      </c>
      <c r="AE208" s="6">
        <f t="shared" si="725"/>
        <v>385809.59600000049</v>
      </c>
      <c r="AF208" s="6">
        <f>H24+AF24-BJ24+AE24+AD24-BH24-BI24</f>
        <v>352293.10100000072</v>
      </c>
      <c r="AG208" s="6">
        <f t="shared" ref="AG208:BF208" si="744">AD24+AE24+AF24+AG24</f>
        <v>122883.97199999992</v>
      </c>
      <c r="AH208" s="6">
        <f t="shared" si="744"/>
        <v>80958.619999999966</v>
      </c>
      <c r="AI208" s="6">
        <f t="shared" si="744"/>
        <v>-108192.90099999969</v>
      </c>
      <c r="AJ208" s="6">
        <f t="shared" si="744"/>
        <v>-138942.98399999883</v>
      </c>
      <c r="AK208" s="6">
        <f t="shared" si="744"/>
        <v>-93037.772999999826</v>
      </c>
      <c r="AL208" s="6">
        <f t="shared" si="744"/>
        <v>-6351.5779999998049</v>
      </c>
      <c r="AM208" s="6">
        <f t="shared" si="744"/>
        <v>221412.14000000013</v>
      </c>
      <c r="AN208" s="6">
        <f t="shared" si="744"/>
        <v>392237.36599999876</v>
      </c>
      <c r="AO208" s="6">
        <f t="shared" si="744"/>
        <v>454394.89299999963</v>
      </c>
      <c r="AP208" s="6">
        <f t="shared" si="744"/>
        <v>408879.52199999936</v>
      </c>
      <c r="AQ208" s="6">
        <f t="shared" si="744"/>
        <v>423015.66699999978</v>
      </c>
      <c r="AR208" s="6">
        <f t="shared" si="744"/>
        <v>240921.28499999986</v>
      </c>
      <c r="AS208" s="6">
        <f t="shared" si="744"/>
        <v>-8611.0800000002346</v>
      </c>
      <c r="AT208" s="6">
        <f t="shared" si="744"/>
        <v>-87050.7429999999</v>
      </c>
      <c r="AU208" s="6">
        <f t="shared" si="744"/>
        <v>-73813.292000000627</v>
      </c>
      <c r="AV208" s="6">
        <f t="shared" si="744"/>
        <v>-56916.432999999626</v>
      </c>
      <c r="AW208" s="6">
        <f t="shared" si="744"/>
        <v>147955.80700000058</v>
      </c>
      <c r="AX208" s="6">
        <f t="shared" si="744"/>
        <v>238501.15500000064</v>
      </c>
      <c r="AY208" s="6">
        <f t="shared" si="744"/>
        <v>231940.45900000018</v>
      </c>
      <c r="AZ208" s="6">
        <f t="shared" si="744"/>
        <v>302486.33000000007</v>
      </c>
      <c r="BA208" s="6">
        <f t="shared" si="744"/>
        <v>430508.40900000022</v>
      </c>
      <c r="BB208" s="6">
        <f t="shared" si="744"/>
        <v>524781.68999999994</v>
      </c>
      <c r="BC208" s="6">
        <f t="shared" si="744"/>
        <v>876842.33300000115</v>
      </c>
      <c r="BD208" s="6">
        <f t="shared" si="744"/>
        <v>952491.70600000024</v>
      </c>
      <c r="BE208" s="6">
        <f t="shared" si="744"/>
        <v>1681706.7039999994</v>
      </c>
      <c r="BF208" s="6">
        <f t="shared" si="744"/>
        <v>1701121.8089999994</v>
      </c>
      <c r="BG208" s="142"/>
      <c r="BH208" s="6"/>
      <c r="BI208" s="6"/>
      <c r="BJ208" s="6"/>
      <c r="BK208" s="6"/>
      <c r="BL208" s="6">
        <f>U24+BL24-BX24</f>
        <v>195783.43700000027</v>
      </c>
      <c r="BM208" s="6"/>
      <c r="BN208" s="6">
        <f t="shared" si="722"/>
        <v>483117.21299999976</v>
      </c>
      <c r="BO208" s="6">
        <f>+BO24+E24-BN24</f>
        <v>622574.65500000003</v>
      </c>
      <c r="BP208" s="6">
        <f>+BP24+F24-BO24</f>
        <v>483213.64600000047</v>
      </c>
      <c r="BQ208" s="6">
        <f>+BQ24+H24-BY24</f>
        <v>385809.59600000049</v>
      </c>
      <c r="BR208" s="6">
        <f>+BR24+J24-BZ24</f>
        <v>-108192.90099999968</v>
      </c>
      <c r="BS208" s="6">
        <f>+BS24+K24-BR24</f>
        <v>221412.13999999961</v>
      </c>
      <c r="BT208" s="6">
        <f>+BT24+L24-BS24</f>
        <v>423015.66700000013</v>
      </c>
      <c r="BU208" s="6">
        <f>+BU24+M24-BT24</f>
        <v>-73813.291999999754</v>
      </c>
      <c r="BV208" s="6">
        <f>+BV24+N24-BU24</f>
        <v>231940.45899999925</v>
      </c>
      <c r="BW208" s="6">
        <f>+BW24+O24-BV24</f>
        <v>876842.33300000068</v>
      </c>
      <c r="BX208" s="6"/>
      <c r="BY208" s="6"/>
      <c r="BZ208" s="6"/>
      <c r="CA208" s="6"/>
      <c r="CG208" s="6"/>
      <c r="CH208" s="6"/>
    </row>
    <row r="209" spans="1:90" ht="13.5" customHeight="1">
      <c r="B209" s="1" t="s">
        <v>427</v>
      </c>
      <c r="C209" s="6">
        <f>-C139</f>
        <v>543673.09700000007</v>
      </c>
      <c r="D209" s="6">
        <f>-D139</f>
        <v>478715.37199999997</v>
      </c>
      <c r="E209" s="6">
        <f>-E139</f>
        <v>455194.82900000003</v>
      </c>
      <c r="F209" s="6">
        <f t="shared" ref="F209:K209" si="745">-F139</f>
        <v>533079.59600000002</v>
      </c>
      <c r="G209" s="6">
        <f t="shared" si="745"/>
        <v>533079.59600000002</v>
      </c>
      <c r="H209" s="6">
        <f t="shared" si="745"/>
        <v>463220.30700000003</v>
      </c>
      <c r="I209" s="6">
        <f t="shared" si="745"/>
        <v>463220.30700000003</v>
      </c>
      <c r="J209" s="6">
        <f t="shared" si="745"/>
        <v>550749.51799999992</v>
      </c>
      <c r="K209" s="6">
        <f t="shared" si="745"/>
        <v>402772.66899999999</v>
      </c>
      <c r="L209" s="6">
        <f>-L139</f>
        <v>367353.29700000002</v>
      </c>
      <c r="M209" s="6">
        <f>-M139</f>
        <v>415020.50200000004</v>
      </c>
      <c r="N209" s="6">
        <f>-N139</f>
        <v>380266.50599999999</v>
      </c>
      <c r="O209" s="6">
        <f>-O139</f>
        <v>246596.68299999999</v>
      </c>
      <c r="P209" s="6">
        <f>-P139</f>
        <v>301291.88899999997</v>
      </c>
      <c r="Q209" s="6"/>
      <c r="R209" s="6">
        <f>-(D139+R139-CC139)</f>
        <v>486739.28399999999</v>
      </c>
      <c r="S209" s="6">
        <f>-(D139+BN139-CD139)</f>
        <v>531599.94699999993</v>
      </c>
      <c r="T209" s="6">
        <f>-(D139-CE139+R139+S139+T139)</f>
        <v>553450.67599999998</v>
      </c>
      <c r="U209" s="6">
        <f t="shared" ref="U209:AC209" si="746">-(R139+S139+T139+U139)</f>
        <v>455194.82900000003</v>
      </c>
      <c r="V209" s="6">
        <f t="shared" si="746"/>
        <v>482410.94</v>
      </c>
      <c r="W209" s="6">
        <f t="shared" si="746"/>
        <v>510987.69500000001</v>
      </c>
      <c r="X209" s="6">
        <f t="shared" si="746"/>
        <v>520354.46900000004</v>
      </c>
      <c r="Y209" s="6">
        <f>-(V139+W139+X139+Y139)</f>
        <v>533079.59600000002</v>
      </c>
      <c r="Z209" s="6">
        <f t="shared" si="746"/>
        <v>527838.37100000004</v>
      </c>
      <c r="AA209" s="6">
        <f t="shared" si="746"/>
        <v>515593.37100000004</v>
      </c>
      <c r="AB209" s="6">
        <f t="shared" si="746"/>
        <v>494289.14600000001</v>
      </c>
      <c r="AC209" s="6">
        <f t="shared" si="746"/>
        <v>463220.30700000003</v>
      </c>
      <c r="AD209" s="6">
        <f>-(H139+AD139-BH139)</f>
        <v>460498.29</v>
      </c>
      <c r="AE209" s="6">
        <f t="shared" si="725"/>
        <v>490069.353</v>
      </c>
      <c r="AF209" s="6">
        <f>-(H139+AF139-BJ139+AE139+AD139-BH139-BI139)</f>
        <v>508175.21000000008</v>
      </c>
      <c r="AG209" s="6">
        <f t="shared" ref="AG209:BF209" si="747">-(AD139+AE139+AF139+AG139)</f>
        <v>550749.51799999992</v>
      </c>
      <c r="AH209" s="6">
        <f t="shared" si="747"/>
        <v>582805.96699999995</v>
      </c>
      <c r="AI209" s="6">
        <f t="shared" si="747"/>
        <v>545205.29799999995</v>
      </c>
      <c r="AJ209" s="6">
        <f t="shared" si="747"/>
        <v>474118.09299999994</v>
      </c>
      <c r="AK209" s="6">
        <f t="shared" si="747"/>
        <v>402772.66899999999</v>
      </c>
      <c r="AL209" s="6">
        <f t="shared" si="747"/>
        <v>342131.70600000001</v>
      </c>
      <c r="AM209" s="6">
        <f t="shared" si="747"/>
        <v>298908.73899999994</v>
      </c>
      <c r="AN209" s="6">
        <f t="shared" si="747"/>
        <v>331762.03200000001</v>
      </c>
      <c r="AO209" s="6">
        <f t="shared" si="747"/>
        <v>367353.29700000002</v>
      </c>
      <c r="AP209" s="6">
        <f t="shared" si="747"/>
        <v>359811.2</v>
      </c>
      <c r="AQ209" s="6">
        <f t="shared" si="747"/>
        <v>392691.28500000003</v>
      </c>
      <c r="AR209" s="6">
        <f t="shared" si="747"/>
        <v>395605.495</v>
      </c>
      <c r="AS209" s="6">
        <f t="shared" si="747"/>
        <v>415020.50200000009</v>
      </c>
      <c r="AT209" s="6">
        <f t="shared" si="747"/>
        <v>421496.52300000004</v>
      </c>
      <c r="AU209" s="6">
        <f t="shared" si="747"/>
        <v>417460.18400000007</v>
      </c>
      <c r="AV209" s="6">
        <f t="shared" si="747"/>
        <v>403951.74500000011</v>
      </c>
      <c r="AW209" s="6">
        <f t="shared" si="747"/>
        <v>380266.50599999999</v>
      </c>
      <c r="AX209" s="6">
        <f t="shared" si="747"/>
        <v>370757.49399999995</v>
      </c>
      <c r="AY209" s="6">
        <f t="shared" si="747"/>
        <v>340818.31699999992</v>
      </c>
      <c r="AZ209" s="6">
        <f t="shared" si="747"/>
        <v>298091.74300000002</v>
      </c>
      <c r="BA209" s="6">
        <f t="shared" si="747"/>
        <v>246596.68300000002</v>
      </c>
      <c r="BB209" s="6">
        <f t="shared" si="747"/>
        <v>215193.503</v>
      </c>
      <c r="BC209" s="6">
        <f t="shared" si="747"/>
        <v>205475.17300000004</v>
      </c>
      <c r="BD209" s="6">
        <f t="shared" si="747"/>
        <v>225447.92</v>
      </c>
      <c r="BE209" s="6">
        <f t="shared" si="747"/>
        <v>301291.88899999997</v>
      </c>
      <c r="BF209" s="6">
        <f t="shared" si="747"/>
        <v>314019.92499999993</v>
      </c>
      <c r="BG209" s="142"/>
      <c r="BH209" s="6"/>
      <c r="BI209" s="6"/>
      <c r="BJ209" s="6"/>
      <c r="BK209" s="6"/>
      <c r="BL209" s="6">
        <f>-(U139+BL139-BX139)</f>
        <v>248122.34800000003</v>
      </c>
      <c r="BM209" s="6"/>
      <c r="BN209" s="6">
        <f t="shared" si="722"/>
        <v>531599.94699999993</v>
      </c>
      <c r="BO209" s="6">
        <f>-(BO139+E139-BN139)</f>
        <v>510987.69500000007</v>
      </c>
      <c r="BP209" s="6">
        <f>-(BP139+F139-BO139)</f>
        <v>515593.37099999998</v>
      </c>
      <c r="BQ209" s="6">
        <f>-(BQ139+H139-BY139)</f>
        <v>490069.353</v>
      </c>
      <c r="BR209" s="6">
        <f>-(BR139+J139-BZ139)</f>
        <v>545205.29799999995</v>
      </c>
      <c r="BS209" s="6">
        <f>-(BS139+K139-BR139)</f>
        <v>298908.739</v>
      </c>
      <c r="BT209" s="6">
        <f>-(BT139+L139-BS139)</f>
        <v>392691.28500000003</v>
      </c>
      <c r="BU209" s="6">
        <f>-(BU139+M139-BT139)</f>
        <v>417460.18400000001</v>
      </c>
      <c r="BV209" s="6">
        <f>-(BV139+N139-BU139)</f>
        <v>340818.31699999998</v>
      </c>
      <c r="BW209" s="6">
        <f>-(BW139+O139-BV139)</f>
        <v>205475.17300000001</v>
      </c>
      <c r="BX209" s="6"/>
      <c r="BY209" s="6"/>
      <c r="BZ209" s="6"/>
      <c r="CA209" s="6"/>
      <c r="CG209" s="6"/>
      <c r="CH209" s="6"/>
    </row>
    <row r="210" spans="1:90" ht="13.5" customHeight="1">
      <c r="B210" s="1" t="s">
        <v>376</v>
      </c>
      <c r="C210" s="6">
        <f>+C144</f>
        <v>-260160.95999999996</v>
      </c>
      <c r="D210" s="6">
        <f>+D144</f>
        <v>-114178.79899999994</v>
      </c>
      <c r="E210" s="6">
        <f>+E144</f>
        <v>143777.72899999999</v>
      </c>
      <c r="F210" s="6">
        <f t="shared" ref="F210:K210" si="748">+F144</f>
        <v>44427.116999999824</v>
      </c>
      <c r="G210" s="6">
        <f t="shared" si="748"/>
        <v>46239.488999999798</v>
      </c>
      <c r="H210" s="6">
        <f t="shared" si="748"/>
        <v>1606.6169999999438</v>
      </c>
      <c r="I210" s="6">
        <f t="shared" si="748"/>
        <v>1282569.7350000003</v>
      </c>
      <c r="J210" s="6">
        <f t="shared" si="748"/>
        <v>110228.01700000023</v>
      </c>
      <c r="K210" s="6">
        <f t="shared" si="748"/>
        <v>303481.48299999983</v>
      </c>
      <c r="L210" s="6">
        <f>+L144</f>
        <v>111460.0390000006</v>
      </c>
      <c r="M210" s="6">
        <f>+M144</f>
        <v>-387711.56500000012</v>
      </c>
      <c r="N210" s="6">
        <f>+N144</f>
        <v>606396.60300000024</v>
      </c>
      <c r="O210" s="6">
        <f>+O144</f>
        <v>439156.58399999986</v>
      </c>
      <c r="P210" s="6">
        <f>+P144</f>
        <v>940749.77499999979</v>
      </c>
      <c r="Q210" s="6"/>
      <c r="R210" s="6">
        <f>(D144+R144-CC144)</f>
        <v>-7287.1220000002468</v>
      </c>
      <c r="S210" s="6">
        <f>D144+BN144-CD144</f>
        <v>-33744.988999999376</v>
      </c>
      <c r="T210" s="6">
        <f>(D144-CE144+R144+S144+T144)</f>
        <v>-13922.595999999823</v>
      </c>
      <c r="U210" s="6">
        <f t="shared" ref="U210:AC210" si="749">R144+S144+T144+U144</f>
        <v>143777.75499999986</v>
      </c>
      <c r="V210" s="6">
        <f t="shared" si="749"/>
        <v>72080.861000000063</v>
      </c>
      <c r="W210" s="6">
        <f t="shared" si="749"/>
        <v>129040.83799999957</v>
      </c>
      <c r="X210" s="6">
        <f t="shared" si="749"/>
        <v>144197.39099999995</v>
      </c>
      <c r="Y210" s="6">
        <f>V144+W144+X144+Y144</f>
        <v>44427.811999999889</v>
      </c>
      <c r="Z210" s="6">
        <f t="shared" si="749"/>
        <v>86536.760999999722</v>
      </c>
      <c r="AA210" s="6">
        <f t="shared" si="749"/>
        <v>1901.1129999997502</v>
      </c>
      <c r="AB210" s="6" t="e">
        <f t="shared" si="749"/>
        <v>#REF!</v>
      </c>
      <c r="AC210" s="6" t="e">
        <f t="shared" si="749"/>
        <v>#REF!</v>
      </c>
      <c r="AD210" s="6">
        <f>H144+AD144-BH144</f>
        <v>1484102.9689999998</v>
      </c>
      <c r="AE210" s="6">
        <f t="shared" si="725"/>
        <v>1499073.2470000004</v>
      </c>
      <c r="AF210" s="6" t="e">
        <f>H144+AF144-BJ144+AE144+AD144-BH144-BI144</f>
        <v>#REF!</v>
      </c>
      <c r="AG210" s="6">
        <f t="shared" ref="AG210:BF210" si="750">AD144+AE144+AF144+AG144</f>
        <v>110228.01699999999</v>
      </c>
      <c r="AH210" s="6">
        <f t="shared" si="750"/>
        <v>-1605285.7060000002</v>
      </c>
      <c r="AI210" s="6">
        <f t="shared" si="750"/>
        <v>-1515488.165</v>
      </c>
      <c r="AJ210" s="6">
        <f t="shared" si="750"/>
        <v>-1352146.5330000003</v>
      </c>
      <c r="AK210" s="6">
        <f t="shared" si="750"/>
        <v>303481.48299999977</v>
      </c>
      <c r="AL210" s="6">
        <f t="shared" si="750"/>
        <v>478365.32299999992</v>
      </c>
      <c r="AM210" s="6">
        <f t="shared" si="750"/>
        <v>671364.49900000007</v>
      </c>
      <c r="AN210" s="6">
        <f t="shared" si="750"/>
        <v>341214.52500000002</v>
      </c>
      <c r="AO210" s="6">
        <f t="shared" si="750"/>
        <v>111460.03900000034</v>
      </c>
      <c r="AP210" s="6">
        <f t="shared" si="750"/>
        <v>-18316.082999999708</v>
      </c>
      <c r="AQ210" s="6">
        <f t="shared" si="750"/>
        <v>-469251.16900000023</v>
      </c>
      <c r="AR210" s="6">
        <f t="shared" si="750"/>
        <v>-463505.08599999937</v>
      </c>
      <c r="AS210" s="6">
        <f t="shared" si="750"/>
        <v>-387711.56500000053</v>
      </c>
      <c r="AT210" s="6">
        <f t="shared" si="750"/>
        <v>19325.121999999537</v>
      </c>
      <c r="AU210" s="6">
        <f t="shared" si="750"/>
        <v>174813.10899999971</v>
      </c>
      <c r="AV210" s="6">
        <f t="shared" si="750"/>
        <v>489475.86999999941</v>
      </c>
      <c r="AW210" s="6">
        <f t="shared" si="750"/>
        <v>606396.603</v>
      </c>
      <c r="AX210" s="6">
        <f t="shared" si="750"/>
        <v>293714.74699999997</v>
      </c>
      <c r="AY210" s="6">
        <f t="shared" si="750"/>
        <v>367537.10799999989</v>
      </c>
      <c r="AZ210" s="6">
        <f t="shared" si="750"/>
        <v>472805.26400000026</v>
      </c>
      <c r="BA210" s="6">
        <f t="shared" si="750"/>
        <v>439156.58399999992</v>
      </c>
      <c r="BB210" s="6">
        <f t="shared" si="750"/>
        <v>495326.68700000038</v>
      </c>
      <c r="BC210" s="6">
        <f t="shared" si="750"/>
        <v>818846.18200000038</v>
      </c>
      <c r="BD210" s="6">
        <f>BA144+BB144+BC144+BD144</f>
        <v>513316.49499999924</v>
      </c>
      <c r="BE210" s="6">
        <f t="shared" si="750"/>
        <v>940749.77499999991</v>
      </c>
      <c r="BF210" s="6">
        <f t="shared" si="750"/>
        <v>1294677.6899999995</v>
      </c>
      <c r="BG210" s="142"/>
      <c r="BH210" s="6"/>
      <c r="BI210" s="6"/>
      <c r="BJ210" s="6"/>
      <c r="BK210" s="6"/>
      <c r="BL210" s="6">
        <f>U144+BL144-BX144</f>
        <v>-596339.62700000044</v>
      </c>
      <c r="BM210" s="6"/>
      <c r="BN210" s="6">
        <f t="shared" si="722"/>
        <v>-33744.988999999376</v>
      </c>
      <c r="BO210" s="6">
        <f>+BO144+E144-BN144</f>
        <v>129040.86999999959</v>
      </c>
      <c r="BP210" s="6">
        <f>+BP144+F144-BO144</f>
        <v>1900.4179999996959</v>
      </c>
      <c r="BQ210" s="6">
        <f>+BQ144+H144-BY144</f>
        <v>1499073.2470000004</v>
      </c>
      <c r="BR210" s="6">
        <f>+BR144+J144-BZ144</f>
        <v>-1515488.1650000003</v>
      </c>
      <c r="BS210" s="6">
        <f>+BS144+K144-BR144</f>
        <v>671364.49900000007</v>
      </c>
      <c r="BT210" s="6">
        <f>+BT144+L144-BS144</f>
        <v>-469251.16899999988</v>
      </c>
      <c r="BU210" s="6">
        <f>+BU144+M144-BT144</f>
        <v>174813.10900000005</v>
      </c>
      <c r="BV210" s="6">
        <f>+BV144+N144-BU144</f>
        <v>367537.10800000012</v>
      </c>
      <c r="BW210" s="6">
        <f>+BW144+O144-BV144</f>
        <v>818846.18200000015</v>
      </c>
      <c r="BX210" s="6"/>
      <c r="BY210" s="6"/>
      <c r="BZ210" s="6"/>
      <c r="CA210" s="6"/>
      <c r="CG210" s="261"/>
      <c r="CH210" s="6"/>
    </row>
    <row r="211" spans="1:90" ht="13.5" customHeight="1"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V211" s="6"/>
      <c r="W211" s="6"/>
      <c r="AA211" s="6"/>
      <c r="AE211" s="6"/>
      <c r="AI211" s="6"/>
      <c r="AM211" s="6"/>
      <c r="AQ211" s="6"/>
      <c r="AU211" s="6"/>
      <c r="AY211" s="6"/>
      <c r="BC211" s="6"/>
      <c r="BG211" s="142"/>
    </row>
    <row r="212" spans="1:90" ht="13.5" customHeight="1">
      <c r="A212" s="28"/>
      <c r="B212" s="17" t="s">
        <v>428</v>
      </c>
      <c r="C212" s="46">
        <v>41975</v>
      </c>
      <c r="D212" s="46">
        <v>42341</v>
      </c>
      <c r="E212" s="253">
        <f t="shared" ref="E212:J212" si="751">E3</f>
        <v>42708</v>
      </c>
      <c r="F212" s="253">
        <f t="shared" si="751"/>
        <v>43073</v>
      </c>
      <c r="G212" s="253">
        <f t="shared" si="751"/>
        <v>43073</v>
      </c>
      <c r="H212" s="253">
        <f t="shared" si="751"/>
        <v>43438</v>
      </c>
      <c r="I212" s="253">
        <f t="shared" si="751"/>
        <v>43438</v>
      </c>
      <c r="J212" s="253">
        <f t="shared" si="751"/>
        <v>43803</v>
      </c>
      <c r="K212" s="253">
        <f t="shared" ref="K212:P212" si="752">K3</f>
        <v>44169</v>
      </c>
      <c r="L212" s="253">
        <f t="shared" si="752"/>
        <v>44534</v>
      </c>
      <c r="M212" s="253">
        <f t="shared" si="752"/>
        <v>44899</v>
      </c>
      <c r="N212" s="253">
        <f t="shared" si="752"/>
        <v>45264</v>
      </c>
      <c r="O212" s="253">
        <f t="shared" si="752"/>
        <v>45630</v>
      </c>
      <c r="P212" s="253">
        <f t="shared" si="752"/>
        <v>45995</v>
      </c>
      <c r="Q212" s="329"/>
      <c r="R212" s="46">
        <v>42437</v>
      </c>
      <c r="S212" s="46">
        <v>42527</v>
      </c>
      <c r="T212" s="46">
        <v>42622</v>
      </c>
      <c r="U212" s="46">
        <v>42714</v>
      </c>
      <c r="V212" s="46">
        <v>42801</v>
      </c>
      <c r="W212" s="46">
        <v>42892</v>
      </c>
      <c r="X212" s="46">
        <v>42987</v>
      </c>
      <c r="Y212" s="46">
        <v>43079</v>
      </c>
      <c r="Z212" s="46">
        <f t="shared" ref="Z212:AE212" si="753">Z3</f>
        <v>43166</v>
      </c>
      <c r="AA212" s="46">
        <f t="shared" si="753"/>
        <v>43257</v>
      </c>
      <c r="AB212" s="46">
        <f t="shared" si="753"/>
        <v>43352</v>
      </c>
      <c r="AC212" s="46">
        <f t="shared" si="753"/>
        <v>43444</v>
      </c>
      <c r="AD212" s="253">
        <f t="shared" si="753"/>
        <v>43531</v>
      </c>
      <c r="AE212" s="253">
        <f t="shared" si="753"/>
        <v>43622</v>
      </c>
      <c r="AF212" s="253">
        <f t="shared" ref="AF212:AK212" si="754">AF3</f>
        <v>43738</v>
      </c>
      <c r="AG212" s="120">
        <f t="shared" si="754"/>
        <v>43809</v>
      </c>
      <c r="AH212" s="253">
        <f t="shared" si="754"/>
        <v>43897</v>
      </c>
      <c r="AI212" s="253">
        <f t="shared" si="754"/>
        <v>43988</v>
      </c>
      <c r="AJ212" s="253">
        <f t="shared" si="754"/>
        <v>44104</v>
      </c>
      <c r="AK212" s="120">
        <f t="shared" si="754"/>
        <v>44175</v>
      </c>
      <c r="AL212" s="253">
        <f t="shared" ref="AL212:AQ212" si="755">AL3</f>
        <v>44262</v>
      </c>
      <c r="AM212" s="253">
        <f t="shared" si="755"/>
        <v>44348</v>
      </c>
      <c r="AN212" s="253">
        <f t="shared" si="755"/>
        <v>44469</v>
      </c>
      <c r="AO212" s="120">
        <f t="shared" si="755"/>
        <v>44540</v>
      </c>
      <c r="AP212" s="253">
        <f t="shared" si="755"/>
        <v>44651</v>
      </c>
      <c r="AQ212" s="253">
        <f t="shared" si="755"/>
        <v>44713</v>
      </c>
      <c r="AR212" s="253">
        <f t="shared" ref="AR212:AW212" si="756">AR3</f>
        <v>44834</v>
      </c>
      <c r="AS212" s="120">
        <f t="shared" si="756"/>
        <v>44905</v>
      </c>
      <c r="AT212" s="253">
        <f t="shared" si="756"/>
        <v>45016</v>
      </c>
      <c r="AU212" s="253">
        <f t="shared" si="756"/>
        <v>45078</v>
      </c>
      <c r="AV212" s="253">
        <f t="shared" si="756"/>
        <v>45199</v>
      </c>
      <c r="AW212" s="120">
        <f t="shared" si="756"/>
        <v>45270</v>
      </c>
      <c r="AX212" s="253">
        <f t="shared" ref="AX212:BC212" si="757">AX3</f>
        <v>45382</v>
      </c>
      <c r="AY212" s="253">
        <f t="shared" si="757"/>
        <v>45444</v>
      </c>
      <c r="AZ212" s="253">
        <f t="shared" si="757"/>
        <v>45565</v>
      </c>
      <c r="BA212" s="120">
        <f t="shared" si="757"/>
        <v>45636</v>
      </c>
      <c r="BB212" s="253">
        <f t="shared" si="757"/>
        <v>45747</v>
      </c>
      <c r="BC212" s="253">
        <f t="shared" si="757"/>
        <v>45809</v>
      </c>
      <c r="BD212" s="253">
        <f>BD3</f>
        <v>45930</v>
      </c>
      <c r="BE212" s="120">
        <f>BE3</f>
        <v>46001</v>
      </c>
      <c r="BF212" s="253">
        <f>BF3</f>
        <v>46112</v>
      </c>
      <c r="BG212" s="142"/>
      <c r="BH212" s="46"/>
      <c r="BI212" s="46"/>
      <c r="BJ212" s="46"/>
      <c r="BK212" s="46"/>
      <c r="BL212" s="253">
        <f>BL3</f>
        <v>43531</v>
      </c>
      <c r="BM212" s="329"/>
      <c r="BN212" s="46">
        <v>42530</v>
      </c>
      <c r="BO212" s="46">
        <v>42896</v>
      </c>
      <c r="BP212" s="46">
        <f t="shared" ref="BP212:BU212" si="758">BP3</f>
        <v>43261</v>
      </c>
      <c r="BQ212" s="253">
        <f t="shared" si="758"/>
        <v>43646</v>
      </c>
      <c r="BR212" s="253">
        <f t="shared" si="758"/>
        <v>44012</v>
      </c>
      <c r="BS212" s="253">
        <f t="shared" si="758"/>
        <v>44377</v>
      </c>
      <c r="BT212" s="253">
        <f t="shared" si="758"/>
        <v>44742</v>
      </c>
      <c r="BU212" s="253">
        <f t="shared" si="758"/>
        <v>45107</v>
      </c>
      <c r="BV212" s="253">
        <f>BV3</f>
        <v>45473</v>
      </c>
      <c r="BW212" s="253">
        <f>BW3</f>
        <v>45838</v>
      </c>
      <c r="BX212" s="62"/>
      <c r="BY212" s="62"/>
      <c r="BZ212" s="62"/>
      <c r="CA212" s="62"/>
    </row>
    <row r="213" spans="1:90" ht="13.5" customHeight="1">
      <c r="B213" s="1" t="s">
        <v>282</v>
      </c>
      <c r="C213" s="6">
        <f t="shared" ref="C213:H213" si="759">C542</f>
        <v>553308.33600000001</v>
      </c>
      <c r="D213" s="6">
        <f t="shared" si="759"/>
        <v>623382.96</v>
      </c>
      <c r="E213" s="6">
        <f t="shared" si="759"/>
        <v>690078.73400000005</v>
      </c>
      <c r="F213" s="6">
        <f t="shared" si="759"/>
        <v>724093.43299999996</v>
      </c>
      <c r="G213" s="6">
        <f t="shared" si="759"/>
        <v>726566.603</v>
      </c>
      <c r="H213" s="6">
        <f t="shared" si="759"/>
        <v>752682.12100000004</v>
      </c>
      <c r="I213" s="6">
        <f t="shared" ref="I213:N213" si="760">I542</f>
        <v>1260444.1459999999</v>
      </c>
      <c r="J213" s="6">
        <f t="shared" si="760"/>
        <v>1357191.7899999998</v>
      </c>
      <c r="K213" s="6">
        <f t="shared" si="760"/>
        <v>1187750.486</v>
      </c>
      <c r="L213" s="6">
        <f t="shared" si="760"/>
        <v>1136499.0239999997</v>
      </c>
      <c r="M213" s="6">
        <f>M542</f>
        <v>1821300.3609999998</v>
      </c>
      <c r="N213" s="6">
        <f t="shared" si="760"/>
        <v>1890244.8739999998</v>
      </c>
      <c r="O213" s="6">
        <f>O542</f>
        <v>1831515.5059999998</v>
      </c>
      <c r="P213" s="6">
        <f>P542</f>
        <v>1973329.0200000003</v>
      </c>
      <c r="Q213" s="6"/>
      <c r="R213" s="6">
        <f>(D542+R542-CC542)</f>
        <v>647917.46399999992</v>
      </c>
      <c r="S213" s="6">
        <f>D542+BN542-CD542</f>
        <v>668164.46500000008</v>
      </c>
      <c r="T213" s="6">
        <f>(D542-CE542+R542+S542+T542)</f>
        <v>679441.45900000003</v>
      </c>
      <c r="U213" s="6">
        <f t="shared" ref="U213:AC213" si="761">R542+S542+T542+U542</f>
        <v>690078.73400000005</v>
      </c>
      <c r="V213" s="6">
        <f t="shared" si="761"/>
        <v>705699.55</v>
      </c>
      <c r="W213" s="6">
        <f t="shared" si="761"/>
        <v>721276.66500000004</v>
      </c>
      <c r="X213" s="6">
        <f t="shared" si="761"/>
        <v>724552.93</v>
      </c>
      <c r="Y213" s="6">
        <f>V542+W542+X542+Y542</f>
        <v>724093.43299999996</v>
      </c>
      <c r="Z213" s="6">
        <f>W542+X542+Y542+Z542</f>
        <v>722502.58699999982</v>
      </c>
      <c r="AA213" s="6">
        <f t="shared" si="761"/>
        <v>719819.39199999999</v>
      </c>
      <c r="AB213" s="6">
        <f t="shared" si="761"/>
        <v>734918.9929999999</v>
      </c>
      <c r="AC213" s="6">
        <f t="shared" si="761"/>
        <v>752682.12100000004</v>
      </c>
      <c r="AD213" s="6">
        <f>H542+AD542-BH542</f>
        <v>776318.68200000003</v>
      </c>
      <c r="AE213" s="6">
        <f>+BQ213</f>
        <v>805794.81400000013</v>
      </c>
      <c r="AF213" s="6">
        <f>H542+AF542-BJ542+AE542+AD542-BH542-BI542</f>
        <v>828664.93600000022</v>
      </c>
      <c r="AG213" s="6">
        <f t="shared" ref="AG213:BF213" si="762">AD542+AE542+AF542+AG542</f>
        <v>1357191.79</v>
      </c>
      <c r="AH213" s="6">
        <f t="shared" si="762"/>
        <v>1382876.0720000002</v>
      </c>
      <c r="AI213" s="6">
        <f t="shared" si="762"/>
        <v>1342261.1579999998</v>
      </c>
      <c r="AJ213" s="6">
        <f t="shared" si="762"/>
        <v>1268370.0079999999</v>
      </c>
      <c r="AK213" s="6">
        <f t="shared" si="762"/>
        <v>1187750.4859999998</v>
      </c>
      <c r="AL213" s="6">
        <f t="shared" si="762"/>
        <v>1097871.1839999999</v>
      </c>
      <c r="AM213" s="6">
        <f t="shared" si="762"/>
        <v>1056377.2999999998</v>
      </c>
      <c r="AN213" s="6">
        <f t="shared" si="762"/>
        <v>1067236.7930000001</v>
      </c>
      <c r="AO213" s="6">
        <f t="shared" si="762"/>
        <v>1136499.024</v>
      </c>
      <c r="AP213" s="6">
        <f t="shared" si="762"/>
        <v>1262764.902</v>
      </c>
      <c r="AQ213" s="6">
        <f t="shared" si="762"/>
        <v>1459173.53</v>
      </c>
      <c r="AR213" s="6">
        <f t="shared" si="762"/>
        <v>1661595.1839999999</v>
      </c>
      <c r="AS213" s="6">
        <f t="shared" si="762"/>
        <v>1821300.361</v>
      </c>
      <c r="AT213" s="6">
        <f t="shared" si="762"/>
        <v>1906715.6780000001</v>
      </c>
      <c r="AU213" s="6">
        <f t="shared" si="762"/>
        <v>1920881.1809999999</v>
      </c>
      <c r="AV213" s="6">
        <f t="shared" si="762"/>
        <v>1920426.3760000002</v>
      </c>
      <c r="AW213" s="6">
        <f t="shared" si="762"/>
        <v>1890244.8739999998</v>
      </c>
      <c r="AX213" s="6">
        <f t="shared" si="762"/>
        <v>1888007.4579999999</v>
      </c>
      <c r="AY213" s="6">
        <f t="shared" si="762"/>
        <v>1877135.6229999999</v>
      </c>
      <c r="AZ213" s="6">
        <f t="shared" si="762"/>
        <v>1837830.7219999996</v>
      </c>
      <c r="BA213" s="6">
        <f t="shared" si="762"/>
        <v>1831515.5059999998</v>
      </c>
      <c r="BB213" s="6">
        <f t="shared" si="762"/>
        <v>1831549.202</v>
      </c>
      <c r="BC213" s="6">
        <f t="shared" si="762"/>
        <v>1861186.852</v>
      </c>
      <c r="BD213" s="6">
        <f t="shared" si="762"/>
        <v>1914277.3590000002</v>
      </c>
      <c r="BE213" s="6">
        <f t="shared" si="762"/>
        <v>1973329.02</v>
      </c>
      <c r="BF213" s="6">
        <f t="shared" si="762"/>
        <v>2076801.7080000003</v>
      </c>
      <c r="BG213" s="142"/>
      <c r="BH213" s="6"/>
      <c r="BI213" s="6"/>
      <c r="BJ213" s="6"/>
      <c r="BK213" s="6"/>
      <c r="BL213" s="6">
        <f>U542+BL542-BX542</f>
        <v>505389.75900000008</v>
      </c>
      <c r="BM213" s="6"/>
      <c r="BN213" s="6">
        <f>S213</f>
        <v>668164.46500000008</v>
      </c>
      <c r="BO213" s="6">
        <f>+BO542+E542-BN542</f>
        <v>721276.66500000004</v>
      </c>
      <c r="BP213" s="6">
        <f>+BP542+F542-BO542</f>
        <v>719819.39199999988</v>
      </c>
      <c r="BQ213" s="6">
        <f>+BQ542+H542-BY542</f>
        <v>805794.81400000013</v>
      </c>
      <c r="BR213" s="6">
        <f>+BR542+J542-BZ542</f>
        <v>1342261.1579999998</v>
      </c>
      <c r="BS213" s="6">
        <f>+BS542+K542-BR542</f>
        <v>1056377.3</v>
      </c>
      <c r="BT213" s="6">
        <f>+BT542+L542-BS542</f>
        <v>1459173.5299999998</v>
      </c>
      <c r="BU213" s="6">
        <f>+BU542+M542-BT542</f>
        <v>1920881.1809999999</v>
      </c>
      <c r="BV213" s="6">
        <f>+BV542+N542-BU542</f>
        <v>1877135.6229999997</v>
      </c>
      <c r="BW213" s="6">
        <f>+BW542+O542-BV542</f>
        <v>1861186.8519999997</v>
      </c>
      <c r="BX213" s="6"/>
      <c r="BY213" s="6"/>
      <c r="BZ213" s="6"/>
      <c r="CA213" s="6"/>
      <c r="CG213" s="6"/>
      <c r="CH213" s="6"/>
    </row>
    <row r="214" spans="1:90" ht="13.5" customHeight="1">
      <c r="B214" s="1" t="s">
        <v>352</v>
      </c>
      <c r="C214" s="6">
        <f t="shared" ref="C214:H214" si="763">C560</f>
        <v>103611.19200000004</v>
      </c>
      <c r="D214" s="6">
        <f t="shared" si="763"/>
        <v>123430.08999999994</v>
      </c>
      <c r="E214" s="6">
        <f t="shared" si="763"/>
        <v>113265.19000000003</v>
      </c>
      <c r="F214" s="6">
        <f t="shared" si="763"/>
        <v>109839.10800000001</v>
      </c>
      <c r="G214" s="6">
        <f t="shared" si="763"/>
        <v>109839.10800000001</v>
      </c>
      <c r="H214" s="6">
        <f t="shared" si="763"/>
        <v>109148.32399999996</v>
      </c>
      <c r="I214" s="6">
        <f t="shared" ref="I214:N214" si="764">I560</f>
        <v>316689.75599999988</v>
      </c>
      <c r="J214" s="6">
        <f t="shared" si="764"/>
        <v>315106.75399999996</v>
      </c>
      <c r="K214" s="6">
        <f t="shared" si="764"/>
        <v>168396.44400000002</v>
      </c>
      <c r="L214" s="6">
        <f t="shared" si="764"/>
        <v>311580.29099999985</v>
      </c>
      <c r="M214" s="6">
        <f>M560</f>
        <v>141436.61499999976</v>
      </c>
      <c r="N214" s="6">
        <f t="shared" si="764"/>
        <v>22208.073999999906</v>
      </c>
      <c r="O214" s="6">
        <f>O560</f>
        <v>260948.51000000013</v>
      </c>
      <c r="P214" s="6">
        <f>P560</f>
        <v>403049.66100000008</v>
      </c>
      <c r="Q214" s="6"/>
      <c r="R214" s="6">
        <f>(D560+R560-CC560)</f>
        <v>123574.99599999994</v>
      </c>
      <c r="S214" s="6">
        <f>D560+BN560-CD560</f>
        <v>118911.58999999994</v>
      </c>
      <c r="T214" s="6">
        <f>(D560-CE560+R560+S560+T560)</f>
        <v>117809.42499999993</v>
      </c>
      <c r="U214" s="6">
        <f t="shared" ref="U214:AC214" si="765">R560+S560+T560+U560</f>
        <v>113265.19000000009</v>
      </c>
      <c r="V214" s="6">
        <f t="shared" si="765"/>
        <v>109840.57300000011</v>
      </c>
      <c r="W214" s="6">
        <f t="shared" si="765"/>
        <v>110474.82100000005</v>
      </c>
      <c r="X214" s="6">
        <f t="shared" si="765"/>
        <v>109316.99100000004</v>
      </c>
      <c r="Y214" s="6">
        <f>V560+W560+X560+Y560</f>
        <v>109839.10799999998</v>
      </c>
      <c r="Z214" s="6">
        <f>W560+X560+Y560+Z560</f>
        <v>111456.27099999994</v>
      </c>
      <c r="AA214" s="6">
        <f t="shared" si="765"/>
        <v>116111.99599999991</v>
      </c>
      <c r="AB214" s="6">
        <f t="shared" si="765"/>
        <v>106381.28499999996</v>
      </c>
      <c r="AC214" s="6">
        <f t="shared" si="765"/>
        <v>109148.32399999996</v>
      </c>
      <c r="AD214" s="6">
        <f>H560+AD560-BH560</f>
        <v>107526.19699999997</v>
      </c>
      <c r="AE214" s="6">
        <f>+BQ214</f>
        <v>122598.58599999992</v>
      </c>
      <c r="AF214" s="6">
        <f>H560+AF560-BJ560+AE560+AD560-BI560-BH560</f>
        <v>134421.80300000001</v>
      </c>
      <c r="AG214" s="6">
        <f t="shared" ref="AG214:BF214" si="766">AD560+AE560+AF560+AG560</f>
        <v>315106.75400000007</v>
      </c>
      <c r="AH214" s="6">
        <f t="shared" si="766"/>
        <v>292437.31000000006</v>
      </c>
      <c r="AI214" s="6">
        <f t="shared" si="766"/>
        <v>196394.283</v>
      </c>
      <c r="AJ214" s="6">
        <f t="shared" si="766"/>
        <v>151224.81500000003</v>
      </c>
      <c r="AK214" s="6">
        <f t="shared" si="766"/>
        <v>168396.44400000002</v>
      </c>
      <c r="AL214" s="6">
        <f t="shared" si="766"/>
        <v>205895.943</v>
      </c>
      <c r="AM214" s="6">
        <f t="shared" si="766"/>
        <v>279000.41100000002</v>
      </c>
      <c r="AN214" s="6">
        <f t="shared" si="766"/>
        <v>312603.71899999998</v>
      </c>
      <c r="AO214" s="6">
        <f t="shared" si="766"/>
        <v>311580.29099999997</v>
      </c>
      <c r="AP214" s="6">
        <f t="shared" si="766"/>
        <v>290361.41399999999</v>
      </c>
      <c r="AQ214" s="6">
        <f t="shared" si="766"/>
        <v>265754.37500000006</v>
      </c>
      <c r="AR214" s="6">
        <f t="shared" si="766"/>
        <v>230946.52299999987</v>
      </c>
      <c r="AS214" s="6">
        <f t="shared" si="766"/>
        <v>141436.61500000011</v>
      </c>
      <c r="AT214" s="6">
        <f t="shared" si="766"/>
        <v>63604.783000000141</v>
      </c>
      <c r="AU214" s="6">
        <f t="shared" si="766"/>
        <v>6996.8439999999537</v>
      </c>
      <c r="AV214" s="6">
        <f t="shared" si="766"/>
        <v>13449.596000000107</v>
      </c>
      <c r="AW214" s="6">
        <f t="shared" si="766"/>
        <v>22208.073999999935</v>
      </c>
      <c r="AX214" s="6">
        <f t="shared" si="766"/>
        <v>80661.220999999903</v>
      </c>
      <c r="AY214" s="6">
        <f t="shared" si="766"/>
        <v>146247.14800000002</v>
      </c>
      <c r="AZ214" s="6">
        <f t="shared" si="766"/>
        <v>186776.96699999992</v>
      </c>
      <c r="BA214" s="6">
        <f t="shared" si="766"/>
        <v>260948.50999999995</v>
      </c>
      <c r="BB214" s="6">
        <f t="shared" si="766"/>
        <v>329327.89699999988</v>
      </c>
      <c r="BC214" s="6">
        <f t="shared" si="766"/>
        <v>388427.17199999985</v>
      </c>
      <c r="BD214" s="6">
        <f t="shared" si="766"/>
        <v>408042.60800000018</v>
      </c>
      <c r="BE214" s="6">
        <f t="shared" si="766"/>
        <v>403049.6610000002</v>
      </c>
      <c r="BF214" s="6">
        <f t="shared" si="766"/>
        <v>454117.36400000018</v>
      </c>
      <c r="BG214" s="142"/>
      <c r="BH214" s="6"/>
      <c r="BI214" s="6"/>
      <c r="BJ214" s="6"/>
      <c r="BK214" s="6"/>
      <c r="BL214" s="6">
        <f>U560+BL560-BX560</f>
        <v>110621.34300000005</v>
      </c>
      <c r="BM214" s="6"/>
      <c r="BN214" s="6">
        <f>S214</f>
        <v>118911.58999999994</v>
      </c>
      <c r="BO214" s="6">
        <f>BO560+E560-BN560</f>
        <v>110474.821</v>
      </c>
      <c r="BP214" s="6">
        <f>BP560+F560-BO560</f>
        <v>116111.99599999998</v>
      </c>
      <c r="BQ214" s="6">
        <f>BQ560+H560-BY560</f>
        <v>122598.58599999992</v>
      </c>
      <c r="BR214" s="6">
        <f>BR560+J560-BZ560</f>
        <v>196394.28299999994</v>
      </c>
      <c r="BS214" s="6">
        <f>BS560+K560-BR560</f>
        <v>279000.41100000002</v>
      </c>
      <c r="BT214" s="6">
        <f>BT560+L560-BS560</f>
        <v>265754.37499999988</v>
      </c>
      <c r="BU214" s="6">
        <f>BU560+M560-BT560</f>
        <v>6996.8439999996917</v>
      </c>
      <c r="BV214" s="6">
        <f>BV560+N560-BU560</f>
        <v>146247.14799999987</v>
      </c>
      <c r="BW214" s="6">
        <f>BW560+O560-BV560</f>
        <v>388427.17200000025</v>
      </c>
      <c r="BX214" s="6"/>
      <c r="BY214" s="6"/>
      <c r="BZ214" s="6"/>
      <c r="CA214" s="6"/>
      <c r="CG214" s="6"/>
      <c r="CH214" s="6"/>
    </row>
    <row r="215" spans="1:90" ht="13.5" customHeight="1">
      <c r="B215" s="1" t="s">
        <v>331</v>
      </c>
      <c r="C215" s="6">
        <f t="shared" ref="C215:H215" si="767">C121</f>
        <v>119100.87900000004</v>
      </c>
      <c r="D215" s="6">
        <f t="shared" si="767"/>
        <v>139068.44299999994</v>
      </c>
      <c r="E215" s="6">
        <f t="shared" si="767"/>
        <v>130075.97400000003</v>
      </c>
      <c r="F215" s="6">
        <f t="shared" si="767"/>
        <v>129602.10500000001</v>
      </c>
      <c r="G215" s="6">
        <f t="shared" si="767"/>
        <v>129602.10500000001</v>
      </c>
      <c r="H215" s="6">
        <f t="shared" si="767"/>
        <v>130323.62299999996</v>
      </c>
      <c r="I215" s="6">
        <f t="shared" ref="I215:N215" si="768">I121</f>
        <v>337865.05499999988</v>
      </c>
      <c r="J215" s="6">
        <f t="shared" si="768"/>
        <v>350103.25499999995</v>
      </c>
      <c r="K215" s="6">
        <f t="shared" si="768"/>
        <v>205902.62100000001</v>
      </c>
      <c r="L215" s="6">
        <f t="shared" si="768"/>
        <v>350872.09799999988</v>
      </c>
      <c r="M215" s="6">
        <f>M121</f>
        <v>184059.60699999976</v>
      </c>
      <c r="N215" s="6">
        <f t="shared" si="768"/>
        <v>62572.579999999907</v>
      </c>
      <c r="O215" s="6">
        <f>O121</f>
        <v>300890.92700000014</v>
      </c>
      <c r="P215" s="6">
        <f>P121</f>
        <v>442023.57900000009</v>
      </c>
      <c r="Q215" s="6"/>
      <c r="R215" s="6">
        <f>(D121+R121-CC121)</f>
        <v>139439.07399999994</v>
      </c>
      <c r="S215" s="6">
        <f>D121+BN121-CD121</f>
        <v>135109.15499999997</v>
      </c>
      <c r="T215" s="6">
        <f>(D121-CE121+R121+S121+T121)</f>
        <v>134537.76299999995</v>
      </c>
      <c r="U215" s="6">
        <f t="shared" ref="U215:AC215" si="769">R121+S121+T121+U121</f>
        <v>130075.97400000007</v>
      </c>
      <c r="V215" s="6">
        <f t="shared" si="769"/>
        <v>127170.2490000001</v>
      </c>
      <c r="W215" s="6">
        <f t="shared" si="769"/>
        <v>128782.72700000006</v>
      </c>
      <c r="X215" s="6">
        <f t="shared" si="769"/>
        <v>128347.61600000004</v>
      </c>
      <c r="Y215" s="6">
        <f>V121+W121+X121+Y121</f>
        <v>129602.10499999998</v>
      </c>
      <c r="Z215" s="6">
        <f>W121+X121+Y121+Z121</f>
        <v>132095.09599999993</v>
      </c>
      <c r="AA215" s="6">
        <f t="shared" si="769"/>
        <v>135549.6779999999</v>
      </c>
      <c r="AB215" s="6">
        <f t="shared" si="769"/>
        <v>126912.85599999996</v>
      </c>
      <c r="AC215" s="6">
        <f t="shared" si="769"/>
        <v>130323.62299999996</v>
      </c>
      <c r="AD215" s="6">
        <f>H121+AD121-BH121</f>
        <v>132123.63699999999</v>
      </c>
      <c r="AE215" s="6">
        <f>+BQ215</f>
        <v>150430.52599999993</v>
      </c>
      <c r="AF215" s="6">
        <f>H121+AF121-BJ121+AE121+AD121-BI121-BH121</f>
        <v>165228.05100000006</v>
      </c>
      <c r="AG215" s="6">
        <f t="shared" ref="AG215:BF215" si="770">AD121+AE121+AF121+AG121</f>
        <v>350103.255</v>
      </c>
      <c r="AH215" s="6">
        <f t="shared" si="770"/>
        <v>328554.92400000006</v>
      </c>
      <c r="AI215" s="6">
        <f t="shared" si="770"/>
        <v>235314.53399999996</v>
      </c>
      <c r="AJ215" s="6">
        <f t="shared" si="770"/>
        <v>190500.94300000003</v>
      </c>
      <c r="AK215" s="6">
        <f t="shared" si="770"/>
        <v>205902.62099999998</v>
      </c>
      <c r="AL215" s="6">
        <f t="shared" si="770"/>
        <v>242832.68300000002</v>
      </c>
      <c r="AM215" s="6">
        <f t="shared" si="770"/>
        <v>315421.35800000001</v>
      </c>
      <c r="AN215" s="6">
        <f t="shared" si="770"/>
        <v>349148.88599999994</v>
      </c>
      <c r="AO215" s="6">
        <f t="shared" si="770"/>
        <v>350872.098</v>
      </c>
      <c r="AP215" s="6">
        <f t="shared" si="770"/>
        <v>330895.70799999993</v>
      </c>
      <c r="AQ215" s="6">
        <f t="shared" si="770"/>
        <v>307877.74000000005</v>
      </c>
      <c r="AR215" s="6">
        <f t="shared" si="770"/>
        <v>274761.04799999989</v>
      </c>
      <c r="AS215" s="6">
        <f t="shared" si="770"/>
        <v>184059.60700000011</v>
      </c>
      <c r="AT215" s="6">
        <f t="shared" si="770"/>
        <v>105164.10700000015</v>
      </c>
      <c r="AU215" s="6">
        <f t="shared" si="770"/>
        <v>47419.760999999948</v>
      </c>
      <c r="AV215" s="6">
        <f t="shared" si="770"/>
        <v>53352.483000000109</v>
      </c>
      <c r="AW215" s="6">
        <f t="shared" si="770"/>
        <v>62572.579999999944</v>
      </c>
      <c r="AX215" s="6">
        <f t="shared" si="770"/>
        <v>121566.12399999991</v>
      </c>
      <c r="AY215" s="6">
        <f t="shared" si="770"/>
        <v>186800.79500000004</v>
      </c>
      <c r="AZ215" s="6">
        <f t="shared" si="770"/>
        <v>225644.18899999993</v>
      </c>
      <c r="BA215" s="6">
        <f t="shared" si="770"/>
        <v>300890.92699999997</v>
      </c>
      <c r="BB215" s="6">
        <f t="shared" si="770"/>
        <v>367829.80399999989</v>
      </c>
      <c r="BC215" s="6">
        <f t="shared" si="770"/>
        <v>426535.65899999981</v>
      </c>
      <c r="BD215" s="6">
        <f t="shared" si="770"/>
        <v>446751.97800000012</v>
      </c>
      <c r="BE215" s="6">
        <f t="shared" si="770"/>
        <v>442023.57900000014</v>
      </c>
      <c r="BF215" s="6">
        <f t="shared" si="770"/>
        <v>494944.05100000021</v>
      </c>
      <c r="BG215" s="142"/>
      <c r="BH215" s="6"/>
      <c r="BI215" s="6"/>
      <c r="BJ215" s="6"/>
      <c r="BK215" s="6"/>
      <c r="BL215" s="6">
        <f>U121+BL121-BX121</f>
        <v>123848.01800000005</v>
      </c>
      <c r="BM215" s="6"/>
      <c r="BN215" s="6">
        <f>S215</f>
        <v>135109.15499999997</v>
      </c>
      <c r="BO215" s="6">
        <f>BO121+E121-BN121</f>
        <v>128782.72699999998</v>
      </c>
      <c r="BP215" s="6">
        <f>BP121+F121-BO121</f>
        <v>135549.67799999999</v>
      </c>
      <c r="BQ215" s="6">
        <f>BQ121+H121-BY121</f>
        <v>150430.52599999993</v>
      </c>
      <c r="BR215" s="6">
        <f>BR121+J121-BZ121</f>
        <v>235314.53399999993</v>
      </c>
      <c r="BS215" s="6">
        <f>BS121+K121-BR121</f>
        <v>315421.35800000001</v>
      </c>
      <c r="BT215" s="6">
        <f>BT121+L121-BS121</f>
        <v>307877.73999999987</v>
      </c>
      <c r="BU215" s="6">
        <f>BU121+M121-BT121</f>
        <v>47419.760999999708</v>
      </c>
      <c r="BV215" s="6">
        <f>BV121+N121-BU121</f>
        <v>186800.79499999987</v>
      </c>
      <c r="BW215" s="6">
        <f>BW121+O121-BV121</f>
        <v>426535.65900000022</v>
      </c>
      <c r="BX215" s="6"/>
      <c r="BY215" s="6"/>
      <c r="BZ215" s="6"/>
      <c r="CA215" s="6"/>
      <c r="CG215" s="6"/>
      <c r="CH215" s="6"/>
    </row>
    <row r="216" spans="1:90" s="5" customFormat="1" ht="13.5" customHeight="1">
      <c r="B216" s="1" t="s">
        <v>423</v>
      </c>
      <c r="C216" s="6">
        <f t="shared" ref="C216:H216" si="771">C125</f>
        <v>119101</v>
      </c>
      <c r="D216" s="6">
        <f t="shared" si="771"/>
        <v>139069</v>
      </c>
      <c r="E216" s="6">
        <f t="shared" si="771"/>
        <v>130076</v>
      </c>
      <c r="F216" s="6">
        <f t="shared" si="771"/>
        <v>129602.10500000001</v>
      </c>
      <c r="G216" s="6">
        <f t="shared" si="771"/>
        <v>129602.10500000001</v>
      </c>
      <c r="H216" s="6">
        <f t="shared" si="771"/>
        <v>130323.62299999996</v>
      </c>
      <c r="I216" s="6">
        <f t="shared" ref="I216:N216" si="772">I125</f>
        <v>337865.05499999988</v>
      </c>
      <c r="J216" s="6">
        <f t="shared" si="772"/>
        <v>350103.25499999995</v>
      </c>
      <c r="K216" s="6">
        <f t="shared" si="772"/>
        <v>205902.62100000001</v>
      </c>
      <c r="L216" s="6">
        <f t="shared" si="772"/>
        <v>350872.09799999988</v>
      </c>
      <c r="M216" s="6">
        <f>M125</f>
        <v>184059.60699999976</v>
      </c>
      <c r="N216" s="6">
        <f t="shared" si="772"/>
        <v>62572.579999999907</v>
      </c>
      <c r="O216" s="6">
        <f>O125</f>
        <v>300890.92700000014</v>
      </c>
      <c r="P216" s="6">
        <f>P125</f>
        <v>442023.57900000009</v>
      </c>
      <c r="Q216" s="6"/>
      <c r="R216" s="6">
        <f>(D125+R125-CC125)</f>
        <v>139439.63099999999</v>
      </c>
      <c r="S216" s="6">
        <f>D125+BN125-CD125</f>
        <v>135109.77000000002</v>
      </c>
      <c r="T216" s="6">
        <f>(D125-CE125+R125+S125+T125)</f>
        <v>134538.32</v>
      </c>
      <c r="U216" s="6">
        <f t="shared" ref="U216:AC216" si="773">R125+S125+T125+U125</f>
        <v>130075.97400000007</v>
      </c>
      <c r="V216" s="6">
        <f t="shared" si="773"/>
        <v>127170.2490000001</v>
      </c>
      <c r="W216" s="6">
        <f t="shared" si="773"/>
        <v>128782.72700000006</v>
      </c>
      <c r="X216" s="6">
        <f t="shared" si="773"/>
        <v>128347.61600000004</v>
      </c>
      <c r="Y216" s="6">
        <f>V125+W125+X125+Y125</f>
        <v>129602.10499999998</v>
      </c>
      <c r="Z216" s="6">
        <f>W125+X125+Y125+Z125</f>
        <v>132095.09599999993</v>
      </c>
      <c r="AA216" s="6">
        <f t="shared" si="773"/>
        <v>135549.6779999999</v>
      </c>
      <c r="AB216" s="6">
        <f t="shared" si="773"/>
        <v>126912.85599999996</v>
      </c>
      <c r="AC216" s="6">
        <f t="shared" si="773"/>
        <v>130323.62299999996</v>
      </c>
      <c r="AD216" s="6">
        <f>H125+AD125-BH125</f>
        <v>132123.63699999999</v>
      </c>
      <c r="AE216" s="6">
        <f>+BQ216</f>
        <v>150430.52599999993</v>
      </c>
      <c r="AF216" s="6">
        <f>H125+AF125-BJ125+AE125+AD125-BH125-BI125</f>
        <v>165228.05100000006</v>
      </c>
      <c r="AG216" s="6">
        <f t="shared" ref="AG216:BF216" si="774">AD125+AE125+AF125+AG125</f>
        <v>350103.255</v>
      </c>
      <c r="AH216" s="6">
        <f t="shared" si="774"/>
        <v>328554.92400000006</v>
      </c>
      <c r="AI216" s="6">
        <f t="shared" si="774"/>
        <v>235314.53399999996</v>
      </c>
      <c r="AJ216" s="6">
        <f t="shared" si="774"/>
        <v>190500.94300000003</v>
      </c>
      <c r="AK216" s="6">
        <f t="shared" si="774"/>
        <v>205902.62099999998</v>
      </c>
      <c r="AL216" s="6">
        <f t="shared" si="774"/>
        <v>242832.68300000002</v>
      </c>
      <c r="AM216" s="6">
        <f t="shared" si="774"/>
        <v>315421.35800000001</v>
      </c>
      <c r="AN216" s="6">
        <f t="shared" si="774"/>
        <v>349148.88599999994</v>
      </c>
      <c r="AO216" s="6">
        <f t="shared" si="774"/>
        <v>350872.098</v>
      </c>
      <c r="AP216" s="6">
        <f t="shared" si="774"/>
        <v>330895.70799999993</v>
      </c>
      <c r="AQ216" s="6">
        <f t="shared" si="774"/>
        <v>307877.74000000005</v>
      </c>
      <c r="AR216" s="6">
        <f t="shared" si="774"/>
        <v>274761.04799999989</v>
      </c>
      <c r="AS216" s="6">
        <f t="shared" si="774"/>
        <v>184059.60700000011</v>
      </c>
      <c r="AT216" s="6">
        <f t="shared" si="774"/>
        <v>105164.10700000015</v>
      </c>
      <c r="AU216" s="6">
        <f t="shared" si="774"/>
        <v>47419.760999999948</v>
      </c>
      <c r="AV216" s="6">
        <f t="shared" si="774"/>
        <v>53352.483000000109</v>
      </c>
      <c r="AW216" s="6">
        <f t="shared" si="774"/>
        <v>62572.579999999944</v>
      </c>
      <c r="AX216" s="6">
        <f t="shared" si="774"/>
        <v>121566.12399999991</v>
      </c>
      <c r="AY216" s="6">
        <f t="shared" si="774"/>
        <v>186800.79500000004</v>
      </c>
      <c r="AZ216" s="6">
        <f t="shared" si="774"/>
        <v>225644.18899999993</v>
      </c>
      <c r="BA216" s="6">
        <f t="shared" si="774"/>
        <v>300890.92699999997</v>
      </c>
      <c r="BB216" s="6">
        <f t="shared" si="774"/>
        <v>367829.80399999989</v>
      </c>
      <c r="BC216" s="6">
        <f t="shared" si="774"/>
        <v>426535.65899999981</v>
      </c>
      <c r="BD216" s="6">
        <f t="shared" si="774"/>
        <v>446751.97800000012</v>
      </c>
      <c r="BE216" s="6">
        <f t="shared" si="774"/>
        <v>442023.57900000014</v>
      </c>
      <c r="BF216" s="6">
        <f t="shared" si="774"/>
        <v>494944.05100000021</v>
      </c>
      <c r="BG216" s="142"/>
      <c r="BH216" s="6"/>
      <c r="BI216" s="6"/>
      <c r="BJ216" s="6"/>
      <c r="BK216" s="6"/>
      <c r="BL216" s="6">
        <f>U125+BL125-BX125</f>
        <v>123848.01800000005</v>
      </c>
      <c r="BM216" s="6"/>
      <c r="BN216" s="6">
        <f>S216</f>
        <v>135109.77000000002</v>
      </c>
      <c r="BO216" s="6">
        <f>+BO125+E125-BN125</f>
        <v>128782</v>
      </c>
      <c r="BP216" s="6">
        <f>+BP125+F125-BO125</f>
        <v>135550.37299999993</v>
      </c>
      <c r="BQ216" s="6">
        <f>+BQ125+H125-BY125</f>
        <v>150430.52599999993</v>
      </c>
      <c r="BR216" s="6">
        <f>+BR125+J125-BZ125</f>
        <v>235314.53399999993</v>
      </c>
      <c r="BS216" s="6">
        <f>+BS125+K125-BR125</f>
        <v>315421.35800000001</v>
      </c>
      <c r="BT216" s="6">
        <f>+BT125+L125-BS125</f>
        <v>307877.73999999987</v>
      </c>
      <c r="BU216" s="6">
        <f>+BU125+M125-BT125</f>
        <v>47419.760999999708</v>
      </c>
      <c r="BV216" s="6">
        <f>+BV125+N125-BU125</f>
        <v>186800.79499999987</v>
      </c>
      <c r="BW216" s="6">
        <f>+BW125+O125-BV125</f>
        <v>426535.65900000022</v>
      </c>
      <c r="BX216" s="6"/>
      <c r="BY216" s="6"/>
      <c r="BZ216" s="6"/>
      <c r="CA216" s="6"/>
      <c r="CG216" s="6"/>
      <c r="CH216" s="6"/>
    </row>
    <row r="217" spans="1:90" s="5" customFormat="1" ht="13.5" customHeight="1">
      <c r="B217" s="1" t="s">
        <v>429</v>
      </c>
      <c r="C217" s="6">
        <f t="shared" ref="C217:H217" si="775">C49</f>
        <v>78126.524000000034</v>
      </c>
      <c r="D217" s="6">
        <f t="shared" si="775"/>
        <v>90781.941999999952</v>
      </c>
      <c r="E217" s="6">
        <f t="shared" si="775"/>
        <v>83362.852000000043</v>
      </c>
      <c r="F217" s="6">
        <f t="shared" si="775"/>
        <v>78494.096000000005</v>
      </c>
      <c r="G217" s="6">
        <f t="shared" si="775"/>
        <v>78494.096000000005</v>
      </c>
      <c r="H217" s="6">
        <f t="shared" si="775"/>
        <v>77855.466999999975</v>
      </c>
      <c r="I217" s="6">
        <f t="shared" ref="I217:N217" si="776">I49</f>
        <v>233910.16399999987</v>
      </c>
      <c r="J217" s="6">
        <f t="shared" si="776"/>
        <v>233292.50199999998</v>
      </c>
      <c r="K217" s="6">
        <f t="shared" si="776"/>
        <v>129702.21500000003</v>
      </c>
      <c r="L217" s="6">
        <f t="shared" si="776"/>
        <v>240626.83999999985</v>
      </c>
      <c r="M217" s="6">
        <f>M49</f>
        <v>141042.21799999973</v>
      </c>
      <c r="N217" s="6">
        <f t="shared" si="776"/>
        <v>40628.703999999911</v>
      </c>
      <c r="O217" s="6">
        <f>O49</f>
        <v>204895.9800000001</v>
      </c>
      <c r="P217" s="6">
        <f>P49</f>
        <v>302608.31300000008</v>
      </c>
      <c r="Q217" s="6"/>
      <c r="R217" s="6">
        <f>(D49+R49-CC49)</f>
        <v>92102.597999999954</v>
      </c>
      <c r="S217" s="6">
        <f>D49+BN49-CD49</f>
        <v>87923.237999999954</v>
      </c>
      <c r="T217" s="6">
        <f>(D49-CE49+R49+S49+T49)</f>
        <v>86891.414999999964</v>
      </c>
      <c r="U217" s="6">
        <f t="shared" ref="U217:AC217" si="777">R49+S49+T49+U49</f>
        <v>83362.852000000072</v>
      </c>
      <c r="V217" s="6">
        <f t="shared" si="777"/>
        <v>80160.760000000111</v>
      </c>
      <c r="W217" s="6">
        <f t="shared" si="777"/>
        <v>80408.51300000005</v>
      </c>
      <c r="X217" s="6">
        <f t="shared" si="777"/>
        <v>78779.697000000044</v>
      </c>
      <c r="Y217" s="6">
        <f>V49+W49+X49+Y49</f>
        <v>78494.095999999976</v>
      </c>
      <c r="Z217" s="6">
        <f>W49+X49+Y49+Z49</f>
        <v>79891.452999999936</v>
      </c>
      <c r="AA217" s="6">
        <f t="shared" si="777"/>
        <v>82589.076999999903</v>
      </c>
      <c r="AB217" s="6">
        <f t="shared" si="777"/>
        <v>75818.276999999958</v>
      </c>
      <c r="AC217" s="6">
        <f t="shared" si="777"/>
        <v>77855.466999999961</v>
      </c>
      <c r="AD217" s="6">
        <f>H49+AD49-BH49</f>
        <v>74607.212</v>
      </c>
      <c r="AE217" s="6">
        <f>+BQ217</f>
        <v>85246.196999999927</v>
      </c>
      <c r="AF217" s="6">
        <f>H49+AF49-BJ49+AE49+AD49-BH49-BI49</f>
        <v>92924.334000000032</v>
      </c>
      <c r="AG217" s="6">
        <f t="shared" ref="AG217:BF217" si="778">AD49+AE49+AF49+AG49</f>
        <v>233292.50200000004</v>
      </c>
      <c r="AH217" s="6">
        <f t="shared" si="778"/>
        <v>219123.75300000008</v>
      </c>
      <c r="AI217" s="6">
        <f t="shared" si="778"/>
        <v>151243.92299999995</v>
      </c>
      <c r="AJ217" s="6">
        <f t="shared" si="778"/>
        <v>119238.84300000002</v>
      </c>
      <c r="AK217" s="6">
        <f t="shared" si="778"/>
        <v>129702.215</v>
      </c>
      <c r="AL217" s="6">
        <f t="shared" si="778"/>
        <v>159234.75800000003</v>
      </c>
      <c r="AM217" s="6">
        <f t="shared" si="778"/>
        <v>210944.37700000001</v>
      </c>
      <c r="AN217" s="6">
        <f t="shared" si="778"/>
        <v>238366.82099999997</v>
      </c>
      <c r="AO217" s="6">
        <f t="shared" si="778"/>
        <v>240626.84000000003</v>
      </c>
      <c r="AP217" s="6">
        <f t="shared" si="778"/>
        <v>229016.45099999997</v>
      </c>
      <c r="AQ217" s="6">
        <f t="shared" si="778"/>
        <v>222734.56700000004</v>
      </c>
      <c r="AR217" s="6">
        <f t="shared" si="778"/>
        <v>202994.72199999986</v>
      </c>
      <c r="AS217" s="6">
        <f t="shared" si="778"/>
        <v>141042.21800000011</v>
      </c>
      <c r="AT217" s="6">
        <f t="shared" si="778"/>
        <v>82751.906000000148</v>
      </c>
      <c r="AU217" s="6">
        <f t="shared" si="778"/>
        <v>36793.333999999952</v>
      </c>
      <c r="AV217" s="6">
        <f t="shared" si="778"/>
        <v>35135.878000000106</v>
      </c>
      <c r="AW217" s="6">
        <f t="shared" si="778"/>
        <v>40628.70399999994</v>
      </c>
      <c r="AX217" s="6">
        <f t="shared" si="778"/>
        <v>79530.737999999896</v>
      </c>
      <c r="AY217" s="6">
        <f t="shared" si="778"/>
        <v>125075.72200000002</v>
      </c>
      <c r="AZ217" s="6">
        <f t="shared" si="778"/>
        <v>154857.36699999991</v>
      </c>
      <c r="BA217" s="6">
        <f t="shared" si="778"/>
        <v>204895.97999999995</v>
      </c>
      <c r="BB217" s="6">
        <f t="shared" si="778"/>
        <v>257586.23299999989</v>
      </c>
      <c r="BC217" s="6">
        <f t="shared" si="778"/>
        <v>296054.69499999989</v>
      </c>
      <c r="BD217" s="6">
        <f t="shared" si="778"/>
        <v>308157.94500000018</v>
      </c>
      <c r="BE217" s="6">
        <f t="shared" si="778"/>
        <v>302608.31300000014</v>
      </c>
      <c r="BF217" s="6">
        <f t="shared" si="778"/>
        <v>332550.91000000021</v>
      </c>
      <c r="BG217" s="142"/>
      <c r="BH217" s="6"/>
      <c r="BI217" s="6"/>
      <c r="BJ217" s="6"/>
      <c r="BK217" s="6"/>
      <c r="BL217" s="6">
        <f>U49+BL49-BX49</f>
        <v>79740.750000000058</v>
      </c>
      <c r="BM217" s="6"/>
      <c r="BN217" s="6">
        <f>S217</f>
        <v>87923.237999999954</v>
      </c>
      <c r="BO217" s="6">
        <f>BO49-BN49+E49</f>
        <v>80408.513000000006</v>
      </c>
      <c r="BP217" s="6">
        <f>BP49-BO49+F49</f>
        <v>82589.07699999999</v>
      </c>
      <c r="BQ217" s="6">
        <f>BQ49-BY49+H49</f>
        <v>85246.196999999927</v>
      </c>
      <c r="BR217" s="6">
        <f>BR49-BZ49+J49</f>
        <v>151243.92299999995</v>
      </c>
      <c r="BS217" s="6">
        <f>BS49-BR49+K49</f>
        <v>210944.37700000007</v>
      </c>
      <c r="BT217" s="6">
        <f>BT49-BS49+L49</f>
        <v>222734.56699999986</v>
      </c>
      <c r="BU217" s="6">
        <f>BU49-BT49+M49</f>
        <v>36793.333999999668</v>
      </c>
      <c r="BV217" s="6">
        <f>BV49-BU49+N49</f>
        <v>125075.72199999988</v>
      </c>
      <c r="BW217" s="6">
        <f>BW49-BV49+O49</f>
        <v>296054.69500000024</v>
      </c>
      <c r="BX217" s="6"/>
      <c r="BY217" s="6"/>
      <c r="BZ217" s="6"/>
      <c r="CA217" s="6"/>
      <c r="CG217" s="6"/>
      <c r="CH217" s="6"/>
    </row>
    <row r="218" spans="1:90" ht="13.5" customHeight="1"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37"/>
      <c r="S218" s="37"/>
      <c r="T218" s="37"/>
      <c r="U218" s="6"/>
      <c r="V218" s="6"/>
      <c r="W218" s="6"/>
      <c r="X218" s="37"/>
      <c r="Y218" s="6"/>
      <c r="Z218" s="37"/>
      <c r="AA218" s="6"/>
      <c r="AB218" s="37"/>
      <c r="AC218" s="6"/>
      <c r="AD218" s="37"/>
      <c r="AE218" s="6"/>
      <c r="AF218" s="37"/>
      <c r="AG218" s="6"/>
      <c r="AH218" s="37"/>
      <c r="AI218" s="6"/>
      <c r="AJ218" s="37"/>
      <c r="AK218" s="6"/>
      <c r="AL218" s="37"/>
      <c r="AM218" s="6"/>
      <c r="AN218" s="37"/>
      <c r="AO218" s="6"/>
      <c r="AP218" s="37"/>
      <c r="AQ218" s="6"/>
      <c r="AR218" s="37"/>
      <c r="AS218" s="6"/>
      <c r="AT218" s="37"/>
      <c r="AU218" s="6"/>
      <c r="AV218" s="37"/>
      <c r="AW218" s="6"/>
      <c r="AX218" s="37"/>
      <c r="AY218" s="6"/>
      <c r="AZ218" s="37"/>
      <c r="BA218" s="6"/>
      <c r="BB218" s="37"/>
      <c r="BC218" s="6"/>
      <c r="BD218" s="37"/>
      <c r="BE218" s="6"/>
      <c r="BF218" s="37"/>
      <c r="BG218" s="142"/>
      <c r="BH218" s="37"/>
      <c r="BI218" s="37"/>
      <c r="BJ218" s="37"/>
      <c r="BK218" s="6"/>
      <c r="BL218" s="37"/>
      <c r="BM218" s="37"/>
      <c r="BN218" s="37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G218" s="6"/>
      <c r="CH218" s="6"/>
    </row>
    <row r="219" spans="1:90" ht="13.5" customHeight="1">
      <c r="A219" s="28"/>
      <c r="B219" s="17" t="s">
        <v>430</v>
      </c>
      <c r="C219" s="46">
        <v>41975</v>
      </c>
      <c r="D219" s="46">
        <v>42341</v>
      </c>
      <c r="E219" s="253">
        <f t="shared" ref="E219:J219" si="779">E3</f>
        <v>42708</v>
      </c>
      <c r="F219" s="253">
        <f t="shared" si="779"/>
        <v>43073</v>
      </c>
      <c r="G219" s="253">
        <f t="shared" si="779"/>
        <v>43073</v>
      </c>
      <c r="H219" s="253">
        <f t="shared" si="779"/>
        <v>43438</v>
      </c>
      <c r="I219" s="253">
        <f t="shared" si="779"/>
        <v>43438</v>
      </c>
      <c r="J219" s="253">
        <f t="shared" si="779"/>
        <v>43803</v>
      </c>
      <c r="K219" s="253">
        <f t="shared" ref="K219:P219" si="780">K3</f>
        <v>44169</v>
      </c>
      <c r="L219" s="253">
        <f t="shared" si="780"/>
        <v>44534</v>
      </c>
      <c r="M219" s="253">
        <f t="shared" si="780"/>
        <v>44899</v>
      </c>
      <c r="N219" s="253">
        <f t="shared" si="780"/>
        <v>45264</v>
      </c>
      <c r="O219" s="253">
        <f t="shared" si="780"/>
        <v>45630</v>
      </c>
      <c r="P219" s="253">
        <f t="shared" si="780"/>
        <v>45995</v>
      </c>
      <c r="Q219" s="329"/>
      <c r="R219" s="46">
        <v>42437</v>
      </c>
      <c r="S219" s="46">
        <v>42527</v>
      </c>
      <c r="T219" s="46">
        <v>42622</v>
      </c>
      <c r="U219" s="46">
        <v>42714</v>
      </c>
      <c r="V219" s="46">
        <v>42801</v>
      </c>
      <c r="W219" s="46">
        <v>42892</v>
      </c>
      <c r="X219" s="46">
        <v>42987</v>
      </c>
      <c r="Y219" s="46">
        <v>43079</v>
      </c>
      <c r="Z219" s="46">
        <f t="shared" ref="Z219:AE219" si="781">Z3</f>
        <v>43166</v>
      </c>
      <c r="AA219" s="46">
        <f t="shared" si="781"/>
        <v>43257</v>
      </c>
      <c r="AB219" s="46">
        <f t="shared" si="781"/>
        <v>43352</v>
      </c>
      <c r="AC219" s="46">
        <f t="shared" si="781"/>
        <v>43444</v>
      </c>
      <c r="AD219" s="253">
        <f t="shared" si="781"/>
        <v>43531</v>
      </c>
      <c r="AE219" s="253">
        <f t="shared" si="781"/>
        <v>43622</v>
      </c>
      <c r="AF219" s="253">
        <f t="shared" ref="AF219:AK219" si="782">AF3</f>
        <v>43738</v>
      </c>
      <c r="AG219" s="120">
        <f t="shared" si="782"/>
        <v>43809</v>
      </c>
      <c r="AH219" s="253">
        <f t="shared" si="782"/>
        <v>43897</v>
      </c>
      <c r="AI219" s="253">
        <f t="shared" si="782"/>
        <v>43988</v>
      </c>
      <c r="AJ219" s="253">
        <f t="shared" si="782"/>
        <v>44104</v>
      </c>
      <c r="AK219" s="120">
        <f t="shared" si="782"/>
        <v>44175</v>
      </c>
      <c r="AL219" s="253">
        <f t="shared" ref="AL219:AQ219" si="783">AL3</f>
        <v>44262</v>
      </c>
      <c r="AM219" s="253">
        <f t="shared" si="783"/>
        <v>44348</v>
      </c>
      <c r="AN219" s="253">
        <f t="shared" si="783"/>
        <v>44469</v>
      </c>
      <c r="AO219" s="120">
        <f t="shared" si="783"/>
        <v>44540</v>
      </c>
      <c r="AP219" s="253">
        <f t="shared" si="783"/>
        <v>44651</v>
      </c>
      <c r="AQ219" s="253">
        <f t="shared" si="783"/>
        <v>44713</v>
      </c>
      <c r="AR219" s="253">
        <f t="shared" ref="AR219:AW219" si="784">AR3</f>
        <v>44834</v>
      </c>
      <c r="AS219" s="120">
        <f t="shared" si="784"/>
        <v>44905</v>
      </c>
      <c r="AT219" s="253">
        <f t="shared" si="784"/>
        <v>45016</v>
      </c>
      <c r="AU219" s="253">
        <f t="shared" si="784"/>
        <v>45078</v>
      </c>
      <c r="AV219" s="253">
        <f t="shared" si="784"/>
        <v>45199</v>
      </c>
      <c r="AW219" s="120">
        <f t="shared" si="784"/>
        <v>45270</v>
      </c>
      <c r="AX219" s="253">
        <f t="shared" ref="AX219:BC219" si="785">AX3</f>
        <v>45382</v>
      </c>
      <c r="AY219" s="253">
        <f t="shared" si="785"/>
        <v>45444</v>
      </c>
      <c r="AZ219" s="253">
        <f t="shared" si="785"/>
        <v>45565</v>
      </c>
      <c r="BA219" s="120">
        <f t="shared" si="785"/>
        <v>45636</v>
      </c>
      <c r="BB219" s="253">
        <f t="shared" si="785"/>
        <v>45747</v>
      </c>
      <c r="BC219" s="253">
        <f t="shared" si="785"/>
        <v>45809</v>
      </c>
      <c r="BD219" s="253">
        <f>BD3</f>
        <v>45930</v>
      </c>
      <c r="BE219" s="120">
        <f>BE3</f>
        <v>46001</v>
      </c>
      <c r="BF219" s="253">
        <f>BF3</f>
        <v>46112</v>
      </c>
      <c r="BG219" s="142"/>
      <c r="BH219" s="46"/>
      <c r="BI219" s="46"/>
      <c r="BJ219" s="46"/>
      <c r="BK219" s="46"/>
      <c r="BL219" s="253">
        <f>BL3</f>
        <v>43531</v>
      </c>
      <c r="BM219" s="329"/>
      <c r="BN219" s="46">
        <v>42530</v>
      </c>
      <c r="BO219" s="46">
        <v>42896</v>
      </c>
      <c r="BP219" s="46">
        <f t="shared" ref="BP219:BU219" si="786">BP3</f>
        <v>43261</v>
      </c>
      <c r="BQ219" s="253">
        <f t="shared" si="786"/>
        <v>43646</v>
      </c>
      <c r="BR219" s="253">
        <f t="shared" si="786"/>
        <v>44012</v>
      </c>
      <c r="BS219" s="253">
        <f t="shared" si="786"/>
        <v>44377</v>
      </c>
      <c r="BT219" s="253">
        <f t="shared" si="786"/>
        <v>44742</v>
      </c>
      <c r="BU219" s="253">
        <f t="shared" si="786"/>
        <v>45107</v>
      </c>
      <c r="BV219" s="253">
        <f>BV3</f>
        <v>45473</v>
      </c>
      <c r="BW219" s="253">
        <f>BW3</f>
        <v>45838</v>
      </c>
      <c r="BX219" s="62"/>
      <c r="BY219" s="62"/>
      <c r="BZ219" s="62"/>
      <c r="CA219" s="62"/>
      <c r="CG219" s="6"/>
      <c r="CH219" s="6"/>
    </row>
    <row r="220" spans="1:90" ht="13.5" customHeight="1">
      <c r="B220" s="1" t="s">
        <v>282</v>
      </c>
      <c r="C220" s="6">
        <f t="shared" ref="C220:E223" si="787">C201+C213</f>
        <v>7591688.1239999998</v>
      </c>
      <c r="D220" s="6">
        <f t="shared" si="787"/>
        <v>8376592.5319999997</v>
      </c>
      <c r="E220" s="6">
        <f t="shared" si="787"/>
        <v>8588380.5179999992</v>
      </c>
      <c r="F220" s="6">
        <f t="shared" ref="F220:H223" si="788">F201+F213</f>
        <v>8966738.6960000005</v>
      </c>
      <c r="G220" s="6">
        <f t="shared" si="788"/>
        <v>8936418.1129999999</v>
      </c>
      <c r="H220" s="6">
        <f t="shared" si="788"/>
        <v>9236259.4539999999</v>
      </c>
      <c r="I220" s="6">
        <f t="shared" ref="I220:J223" si="789">I201+I213</f>
        <v>9237342.5510000009</v>
      </c>
      <c r="J220" s="6">
        <f t="shared" si="789"/>
        <v>9410774.625</v>
      </c>
      <c r="K220" s="6">
        <f>K201+K213</f>
        <v>9468800.4350000005</v>
      </c>
      <c r="L220" s="6">
        <f t="shared" ref="L220:M223" si="790">L201+L213</f>
        <v>11471882.764</v>
      </c>
      <c r="M220" s="6">
        <f t="shared" si="790"/>
        <v>12281966.759</v>
      </c>
      <c r="N220" s="6">
        <f t="shared" ref="N220:O223" si="791">N201+N213</f>
        <v>11245359.530999999</v>
      </c>
      <c r="O220" s="6">
        <f t="shared" si="791"/>
        <v>12153619.983999999</v>
      </c>
      <c r="P220" s="6">
        <f>P201+P213</f>
        <v>13315714.915999999</v>
      </c>
      <c r="Q220" s="6"/>
      <c r="R220" s="6">
        <f t="shared" ref="R220:T223" si="792">R201+R213</f>
        <v>8473138.631000001</v>
      </c>
      <c r="S220" s="6">
        <f t="shared" si="792"/>
        <v>8586489.0640000012</v>
      </c>
      <c r="T220" s="6">
        <f t="shared" si="792"/>
        <v>8625521.9340000004</v>
      </c>
      <c r="U220" s="6">
        <f t="shared" ref="U220:W223" si="793">U201+U213</f>
        <v>8588380.5179999992</v>
      </c>
      <c r="V220" s="6">
        <f t="shared" si="793"/>
        <v>8666438.222000001</v>
      </c>
      <c r="W220" s="6">
        <f t="shared" si="793"/>
        <v>8748390.9800000004</v>
      </c>
      <c r="X220" s="6">
        <f t="shared" ref="X220:AA223" si="794">X201+X213</f>
        <v>8824103.1180000007</v>
      </c>
      <c r="Y220" s="6">
        <f t="shared" si="794"/>
        <v>8966738.6960000005</v>
      </c>
      <c r="Z220" s="6">
        <f t="shared" si="794"/>
        <v>9023372.4220000003</v>
      </c>
      <c r="AA220" s="6">
        <f t="shared" si="794"/>
        <v>9112063.1090000011</v>
      </c>
      <c r="AB220" s="6">
        <f t="shared" ref="AB220:AE223" si="795">AB201+AB213</f>
        <v>9189779.882000003</v>
      </c>
      <c r="AC220" s="6">
        <f t="shared" si="795"/>
        <v>9236259.4539999999</v>
      </c>
      <c r="AD220" s="6">
        <f t="shared" si="795"/>
        <v>9299653.8850000016</v>
      </c>
      <c r="AE220" s="6">
        <f t="shared" si="795"/>
        <v>9342595.5579999983</v>
      </c>
      <c r="AF220" s="6">
        <f t="shared" ref="AF220:AI223" si="796">AF201+AF213</f>
        <v>9368896.4750000015</v>
      </c>
      <c r="AG220" s="6">
        <f t="shared" si="796"/>
        <v>9410774.625</v>
      </c>
      <c r="AH220" s="6">
        <f t="shared" si="796"/>
        <v>9397257.0069999993</v>
      </c>
      <c r="AI220" s="6">
        <f t="shared" si="796"/>
        <v>8820925.1840000004</v>
      </c>
      <c r="AJ220" s="6">
        <f t="shared" ref="AJ220:AM223" si="797">AJ201+AJ213</f>
        <v>9082983.4370000008</v>
      </c>
      <c r="AK220" s="6">
        <f t="shared" si="797"/>
        <v>9468800.4350000005</v>
      </c>
      <c r="AL220" s="6">
        <f t="shared" si="797"/>
        <v>9709300.9759999998</v>
      </c>
      <c r="AM220" s="6">
        <f t="shared" si="797"/>
        <v>10600031.741</v>
      </c>
      <c r="AN220" s="6">
        <f t="shared" ref="AN220:AQ223" si="798">AN201+AN213</f>
        <v>11014378.023</v>
      </c>
      <c r="AO220" s="6">
        <f t="shared" si="798"/>
        <v>11471882.764</v>
      </c>
      <c r="AP220" s="6">
        <f t="shared" si="798"/>
        <v>11926216.774</v>
      </c>
      <c r="AQ220" s="6">
        <f t="shared" si="798"/>
        <v>12351224.560000001</v>
      </c>
      <c r="AR220" s="6">
        <f t="shared" ref="AR220:AU223" si="799">AR201+AR213</f>
        <v>12424912.514000002</v>
      </c>
      <c r="AS220" s="6">
        <f t="shared" si="799"/>
        <v>12281966.759</v>
      </c>
      <c r="AT220" s="6">
        <f t="shared" si="799"/>
        <v>12095961.753999999</v>
      </c>
      <c r="AU220" s="6">
        <f t="shared" si="799"/>
        <v>11710856.736999998</v>
      </c>
      <c r="AV220" s="6">
        <f t="shared" ref="AV220:AY223" si="800">AV201+AV213</f>
        <v>11424679.806</v>
      </c>
      <c r="AW220" s="6">
        <f t="shared" si="800"/>
        <v>11245359.530999999</v>
      </c>
      <c r="AX220" s="6">
        <f t="shared" si="800"/>
        <v>11360921.499000002</v>
      </c>
      <c r="AY220" s="6">
        <f t="shared" si="800"/>
        <v>11575420.443</v>
      </c>
      <c r="AZ220" s="6">
        <f t="shared" ref="AZ220:BC223" si="801">AZ201+AZ213</f>
        <v>11732632.796999998</v>
      </c>
      <c r="BA220" s="6">
        <f t="shared" si="801"/>
        <v>12153619.983999999</v>
      </c>
      <c r="BB220" s="6">
        <f t="shared" si="801"/>
        <v>12414307.277999999</v>
      </c>
      <c r="BC220" s="6">
        <f t="shared" si="801"/>
        <v>12692125.380000001</v>
      </c>
      <c r="BD220" s="6">
        <f t="shared" ref="BD220:BF223" si="802">BD201+BD213</f>
        <v>12972562.074000001</v>
      </c>
      <c r="BE220" s="6">
        <f t="shared" si="802"/>
        <v>13315714.915999999</v>
      </c>
      <c r="BF220" s="6">
        <f t="shared" si="802"/>
        <v>13532034.303000001</v>
      </c>
      <c r="BG220" s="142"/>
      <c r="BH220" s="6"/>
      <c r="BI220" s="6"/>
      <c r="BJ220" s="6"/>
      <c r="BK220" s="6"/>
      <c r="BL220" s="6">
        <f>BL201+BL213</f>
        <v>4622650.8440000005</v>
      </c>
      <c r="BM220" s="6"/>
      <c r="BN220" s="239">
        <f t="shared" ref="BN220:BO223" si="803">BN201+BN213</f>
        <v>8586489.0640000012</v>
      </c>
      <c r="BO220" s="6">
        <f t="shared" si="803"/>
        <v>8748390.9800000004</v>
      </c>
      <c r="BP220" s="6">
        <f t="shared" ref="BP220:BQ223" si="804">BP201+BP213</f>
        <v>9112063.1089999992</v>
      </c>
      <c r="BQ220" s="6">
        <f t="shared" si="804"/>
        <v>9342595.5579999983</v>
      </c>
      <c r="BR220" s="6">
        <f t="shared" ref="BR220:BS223" si="805">BR201+BR213</f>
        <v>8820925.1840000004</v>
      </c>
      <c r="BS220" s="6">
        <f t="shared" si="805"/>
        <v>10600031.741</v>
      </c>
      <c r="BT220" s="6">
        <f t="shared" ref="BT220:BU223" si="806">BT201+BT213</f>
        <v>12351224.560000001</v>
      </c>
      <c r="BU220" s="6">
        <f t="shared" si="806"/>
        <v>11710856.737</v>
      </c>
      <c r="BV220" s="6">
        <f t="shared" ref="BV220:BW223" si="807">BV201+BV213</f>
        <v>11575420.443</v>
      </c>
      <c r="BW220" s="6">
        <f t="shared" si="807"/>
        <v>12692125.380000001</v>
      </c>
      <c r="BX220" s="6"/>
      <c r="BY220" s="6"/>
      <c r="BZ220" s="6"/>
      <c r="CA220" s="6"/>
      <c r="CG220" s="6"/>
      <c r="CH220" s="6"/>
      <c r="CJ220" s="6"/>
      <c r="CK220" s="6"/>
      <c r="CL220" s="6"/>
    </row>
    <row r="221" spans="1:90" ht="13.5" customHeight="1">
      <c r="B221" s="1" t="s">
        <v>352</v>
      </c>
      <c r="C221" s="6">
        <f t="shared" si="787"/>
        <v>818871.15099999937</v>
      </c>
      <c r="D221" s="6">
        <f t="shared" si="787"/>
        <v>903835.85999999952</v>
      </c>
      <c r="E221" s="6">
        <f t="shared" si="787"/>
        <v>1050017.4670000002</v>
      </c>
      <c r="F221" s="6">
        <f t="shared" si="788"/>
        <v>932878.99600000062</v>
      </c>
      <c r="G221" s="6">
        <f t="shared" si="788"/>
        <v>932878.99599999981</v>
      </c>
      <c r="H221" s="6">
        <f t="shared" si="788"/>
        <v>903094.62000000081</v>
      </c>
      <c r="I221" s="6">
        <f t="shared" si="789"/>
        <v>903575.24299999978</v>
      </c>
      <c r="J221" s="6">
        <f t="shared" si="789"/>
        <v>726270.97399999981</v>
      </c>
      <c r="K221" s="6">
        <f>K202+K214</f>
        <v>321390.34899999958</v>
      </c>
      <c r="L221" s="6">
        <f t="shared" si="790"/>
        <v>1087697.1769999999</v>
      </c>
      <c r="M221" s="6">
        <f t="shared" si="790"/>
        <v>444690.65200000035</v>
      </c>
      <c r="N221" s="6">
        <f t="shared" si="791"/>
        <v>509759.66199999949</v>
      </c>
      <c r="O221" s="6">
        <f t="shared" si="791"/>
        <v>1181077.1979999999</v>
      </c>
      <c r="P221" s="6">
        <f>P202+P214</f>
        <v>2854276.7570000002</v>
      </c>
      <c r="Q221" s="6"/>
      <c r="R221" s="6">
        <f t="shared" si="792"/>
        <v>915907.22699999961</v>
      </c>
      <c r="S221" s="6">
        <f t="shared" si="792"/>
        <v>924289.91899999965</v>
      </c>
      <c r="T221" s="6">
        <f t="shared" si="792"/>
        <v>1064277.6129999997</v>
      </c>
      <c r="U221" s="6">
        <f t="shared" si="793"/>
        <v>1050017.4670000004</v>
      </c>
      <c r="V221" s="6">
        <f t="shared" si="793"/>
        <v>1067326.6830000004</v>
      </c>
      <c r="W221" s="6">
        <f t="shared" si="793"/>
        <v>1085762.6350000002</v>
      </c>
      <c r="X221" s="6">
        <f t="shared" si="794"/>
        <v>937195.3810000004</v>
      </c>
      <c r="Y221" s="6">
        <f t="shared" si="794"/>
        <v>932878.99600000074</v>
      </c>
      <c r="Z221" s="6">
        <f t="shared" si="794"/>
        <v>941499.65300000063</v>
      </c>
      <c r="AA221" s="6">
        <f t="shared" si="794"/>
        <v>936642.22700000054</v>
      </c>
      <c r="AB221" s="6">
        <f t="shared" si="795"/>
        <v>930805.66900000093</v>
      </c>
      <c r="AC221" s="6">
        <f t="shared" si="795"/>
        <v>903094.62000000151</v>
      </c>
      <c r="AD221" s="6">
        <f t="shared" si="795"/>
        <v>854488.57700000051</v>
      </c>
      <c r="AE221" s="6">
        <f t="shared" si="795"/>
        <v>845458.48000000021</v>
      </c>
      <c r="AF221" s="6">
        <f t="shared" si="796"/>
        <v>828364.65600000066</v>
      </c>
      <c r="AG221" s="6">
        <f t="shared" si="796"/>
        <v>726270.97399999993</v>
      </c>
      <c r="AH221" s="6">
        <f t="shared" si="796"/>
        <v>651900.03300000005</v>
      </c>
      <c r="AI221" s="6">
        <f t="shared" si="796"/>
        <v>292858.74600000028</v>
      </c>
      <c r="AJ221" s="6">
        <f t="shared" si="797"/>
        <v>207889.79300000117</v>
      </c>
      <c r="AK221" s="6">
        <f t="shared" si="797"/>
        <v>321390.34900000016</v>
      </c>
      <c r="AL221" s="6">
        <f t="shared" si="797"/>
        <v>463552.59800000011</v>
      </c>
      <c r="AM221" s="6">
        <f t="shared" si="797"/>
        <v>848779.47300000023</v>
      </c>
      <c r="AN221" s="6">
        <f t="shared" si="798"/>
        <v>1057720.8689999988</v>
      </c>
      <c r="AO221" s="6">
        <f t="shared" si="798"/>
        <v>1087697.1769999997</v>
      </c>
      <c r="AP221" s="6">
        <f t="shared" si="798"/>
        <v>1023519.6869999993</v>
      </c>
      <c r="AQ221" s="6">
        <f t="shared" si="798"/>
        <v>1011343.5839999998</v>
      </c>
      <c r="AR221" s="6">
        <f t="shared" si="799"/>
        <v>815550.9859999998</v>
      </c>
      <c r="AS221" s="6">
        <f t="shared" si="799"/>
        <v>444690.65199999983</v>
      </c>
      <c r="AT221" s="6">
        <f t="shared" si="799"/>
        <v>278956.25800000026</v>
      </c>
      <c r="AU221" s="6">
        <f t="shared" si="799"/>
        <v>259933.14399999933</v>
      </c>
      <c r="AV221" s="6">
        <f t="shared" si="800"/>
        <v>249620.59400000048</v>
      </c>
      <c r="AW221" s="6">
        <f t="shared" si="800"/>
        <v>509759.66200000048</v>
      </c>
      <c r="AX221" s="6">
        <f t="shared" si="800"/>
        <v>690902.48800000048</v>
      </c>
      <c r="AY221" s="6">
        <f t="shared" si="800"/>
        <v>802054.68100000022</v>
      </c>
      <c r="AZ221" s="6">
        <f t="shared" si="801"/>
        <v>955687.75300000003</v>
      </c>
      <c r="BA221" s="6">
        <f t="shared" si="801"/>
        <v>1181077.1980000003</v>
      </c>
      <c r="BB221" s="6">
        <f t="shared" si="801"/>
        <v>1360706.9179999998</v>
      </c>
      <c r="BC221" s="6">
        <f t="shared" si="801"/>
        <v>1829462.4590000012</v>
      </c>
      <c r="BD221" s="6">
        <f t="shared" si="802"/>
        <v>1920537.3970000008</v>
      </c>
      <c r="BE221" s="6">
        <f t="shared" si="802"/>
        <v>2854276.7570000002</v>
      </c>
      <c r="BF221" s="6">
        <f t="shared" si="802"/>
        <v>2923802.2959999996</v>
      </c>
      <c r="BG221" s="142"/>
      <c r="BH221" s="6"/>
      <c r="BI221" s="6"/>
      <c r="BJ221" s="6"/>
      <c r="BK221" s="6"/>
      <c r="BL221" s="6">
        <f>BL202+BL214</f>
        <v>489821.04600000032</v>
      </c>
      <c r="BM221" s="6"/>
      <c r="BN221" s="6">
        <f t="shared" si="803"/>
        <v>924289.91899999965</v>
      </c>
      <c r="BO221" s="6">
        <f t="shared" si="803"/>
        <v>1085762.635</v>
      </c>
      <c r="BP221" s="6">
        <f t="shared" si="804"/>
        <v>936642.22700000065</v>
      </c>
      <c r="BQ221" s="6">
        <f t="shared" si="804"/>
        <v>845458.48000000021</v>
      </c>
      <c r="BR221" s="6">
        <f t="shared" si="805"/>
        <v>292858.74600000028</v>
      </c>
      <c r="BS221" s="6">
        <f t="shared" si="805"/>
        <v>848779.47299999953</v>
      </c>
      <c r="BT221" s="6">
        <f t="shared" si="806"/>
        <v>1011343.5840000001</v>
      </c>
      <c r="BU221" s="6">
        <f t="shared" si="806"/>
        <v>259933.14399999985</v>
      </c>
      <c r="BV221" s="6">
        <f t="shared" si="807"/>
        <v>802054.68099999893</v>
      </c>
      <c r="BW221" s="6">
        <f t="shared" si="807"/>
        <v>1829462.459000001</v>
      </c>
      <c r="BX221" s="6"/>
      <c r="BY221" s="6"/>
      <c r="BZ221" s="6"/>
      <c r="CA221" s="6"/>
      <c r="CG221" s="6"/>
      <c r="CH221" s="6"/>
      <c r="CJ221" s="6"/>
      <c r="CK221" s="6"/>
      <c r="CL221" s="6"/>
    </row>
    <row r="222" spans="1:90" ht="13.5" customHeight="1">
      <c r="B222" s="1" t="s">
        <v>331</v>
      </c>
      <c r="C222" s="6">
        <f t="shared" si="787"/>
        <v>1023313.8379999994</v>
      </c>
      <c r="D222" s="6">
        <f t="shared" si="787"/>
        <v>1147633.2129999995</v>
      </c>
      <c r="E222" s="6">
        <f t="shared" si="787"/>
        <v>1312207.2510000002</v>
      </c>
      <c r="F222" s="6">
        <f t="shared" si="788"/>
        <v>1219649.9960000007</v>
      </c>
      <c r="G222" s="6">
        <f t="shared" si="788"/>
        <v>1219649.9959999998</v>
      </c>
      <c r="H222" s="6">
        <f t="shared" si="788"/>
        <v>1228425.6200000008</v>
      </c>
      <c r="I222" s="6">
        <f t="shared" si="789"/>
        <v>1228906.2429999998</v>
      </c>
      <c r="J222" s="6">
        <f t="shared" si="789"/>
        <v>1162131.9739999997</v>
      </c>
      <c r="K222" s="6">
        <f>K203+K215</f>
        <v>783391.34899999958</v>
      </c>
      <c r="L222" s="6">
        <f t="shared" si="790"/>
        <v>1555180.1769999997</v>
      </c>
      <c r="M222" s="6">
        <f t="shared" si="790"/>
        <v>949797.65200000035</v>
      </c>
      <c r="N222" s="6">
        <f t="shared" si="791"/>
        <v>1007719.1679999995</v>
      </c>
      <c r="O222" s="6">
        <f t="shared" si="791"/>
        <v>1687219.615</v>
      </c>
      <c r="P222" s="6">
        <f>P203+P215</f>
        <v>3351689.6749999998</v>
      </c>
      <c r="Q222" s="6"/>
      <c r="R222" s="6">
        <f t="shared" si="792"/>
        <v>1171522.9479999996</v>
      </c>
      <c r="S222" s="6">
        <f t="shared" si="792"/>
        <v>1195847.0869999996</v>
      </c>
      <c r="T222" s="6">
        <f t="shared" si="792"/>
        <v>1350888.9729999998</v>
      </c>
      <c r="U222" s="6">
        <f t="shared" si="793"/>
        <v>1312207.2510000006</v>
      </c>
      <c r="V222" s="6">
        <f t="shared" si="793"/>
        <v>1335742.6990000003</v>
      </c>
      <c r="W222" s="6">
        <f t="shared" si="793"/>
        <v>1359676.2100000002</v>
      </c>
      <c r="X222" s="6">
        <f t="shared" si="794"/>
        <v>1217150.0160000003</v>
      </c>
      <c r="Y222" s="6">
        <f t="shared" si="794"/>
        <v>1219649.9960000007</v>
      </c>
      <c r="Z222" s="6">
        <f t="shared" si="794"/>
        <v>1236209.7530000007</v>
      </c>
      <c r="AA222" s="6">
        <f t="shared" si="794"/>
        <v>1237774.5430000005</v>
      </c>
      <c r="AB222" s="6">
        <f t="shared" si="795"/>
        <v>1242534.9940000011</v>
      </c>
      <c r="AC222" s="6">
        <f t="shared" si="795"/>
        <v>1228425.6200000015</v>
      </c>
      <c r="AD222" s="6">
        <f t="shared" si="795"/>
        <v>1211366.577000001</v>
      </c>
      <c r="AE222" s="6">
        <f t="shared" si="795"/>
        <v>1232034.4800000002</v>
      </c>
      <c r="AF222" s="6">
        <f t="shared" si="796"/>
        <v>1242203.6560000009</v>
      </c>
      <c r="AG222" s="6">
        <f t="shared" si="796"/>
        <v>1162131.9739999999</v>
      </c>
      <c r="AH222" s="6">
        <f t="shared" si="796"/>
        <v>1095275.0330000001</v>
      </c>
      <c r="AI222" s="6">
        <f t="shared" si="796"/>
        <v>746139.74600000028</v>
      </c>
      <c r="AJ222" s="6">
        <f t="shared" si="797"/>
        <v>665545.79300000123</v>
      </c>
      <c r="AK222" s="6">
        <f t="shared" si="797"/>
        <v>783391.34899999993</v>
      </c>
      <c r="AL222" s="6">
        <f t="shared" si="797"/>
        <v>919534.598</v>
      </c>
      <c r="AM222" s="6">
        <f t="shared" si="797"/>
        <v>1301199.473</v>
      </c>
      <c r="AN222" s="6">
        <f t="shared" si="798"/>
        <v>1514013.8689999986</v>
      </c>
      <c r="AO222" s="6">
        <f t="shared" si="798"/>
        <v>1555180.1769999997</v>
      </c>
      <c r="AP222" s="6">
        <f t="shared" si="798"/>
        <v>1501398.6869999992</v>
      </c>
      <c r="AQ222" s="6">
        <f t="shared" si="798"/>
        <v>1471867.5839999996</v>
      </c>
      <c r="AR222" s="6">
        <f t="shared" si="799"/>
        <v>1280947.8949999998</v>
      </c>
      <c r="AS222" s="6">
        <f t="shared" si="799"/>
        <v>949797.65199999977</v>
      </c>
      <c r="AT222" s="6">
        <f t="shared" si="799"/>
        <v>787941.25800000026</v>
      </c>
      <c r="AU222" s="6">
        <f t="shared" si="799"/>
        <v>771211.14399999927</v>
      </c>
      <c r="AV222" s="6">
        <f t="shared" si="800"/>
        <v>764675.56400000048</v>
      </c>
      <c r="AW222" s="6">
        <f t="shared" si="800"/>
        <v>1007719.1680000005</v>
      </c>
      <c r="AX222" s="6">
        <f t="shared" si="800"/>
        <v>1191431.5100000005</v>
      </c>
      <c r="AY222" s="6">
        <f t="shared" si="800"/>
        <v>1309605.1870000004</v>
      </c>
      <c r="AZ222" s="6">
        <f t="shared" si="801"/>
        <v>1458617.834</v>
      </c>
      <c r="BA222" s="6">
        <f t="shared" si="801"/>
        <v>1687219.6150000002</v>
      </c>
      <c r="BB222" s="6">
        <f t="shared" si="801"/>
        <v>1859002.8250000002</v>
      </c>
      <c r="BC222" s="6">
        <f t="shared" si="801"/>
        <v>2325786.8760000016</v>
      </c>
      <c r="BD222" s="6">
        <f t="shared" si="802"/>
        <v>2417909.6970000006</v>
      </c>
      <c r="BE222" s="6">
        <f t="shared" si="802"/>
        <v>3351689.6749999998</v>
      </c>
      <c r="BF222" s="6">
        <f t="shared" si="802"/>
        <v>3198066.983</v>
      </c>
      <c r="BG222" s="142"/>
      <c r="BH222" s="6"/>
      <c r="BI222" s="6"/>
      <c r="BJ222" s="6"/>
      <c r="BK222" s="6"/>
      <c r="BL222" s="6">
        <f>BL203+BL215</f>
        <v>666839.03100000031</v>
      </c>
      <c r="BM222" s="6"/>
      <c r="BN222" s="6">
        <f t="shared" si="803"/>
        <v>1195847.0869999996</v>
      </c>
      <c r="BO222" s="6">
        <f t="shared" si="803"/>
        <v>1359676.2100000002</v>
      </c>
      <c r="BP222" s="6">
        <f t="shared" si="804"/>
        <v>1237774.5430000008</v>
      </c>
      <c r="BQ222" s="6">
        <f t="shared" si="804"/>
        <v>1232034.4800000002</v>
      </c>
      <c r="BR222" s="6">
        <f t="shared" si="805"/>
        <v>746139.74600000016</v>
      </c>
      <c r="BS222" s="6">
        <f t="shared" si="805"/>
        <v>1301199.4729999995</v>
      </c>
      <c r="BT222" s="6">
        <f t="shared" si="806"/>
        <v>1471867.5839999998</v>
      </c>
      <c r="BU222" s="6">
        <f t="shared" si="806"/>
        <v>771211.14399999985</v>
      </c>
      <c r="BV222" s="6">
        <f t="shared" si="807"/>
        <v>1309605.1869999992</v>
      </c>
      <c r="BW222" s="6">
        <f t="shared" si="807"/>
        <v>2325786.8760000002</v>
      </c>
      <c r="BX222" s="6"/>
      <c r="BY222" s="6"/>
      <c r="BZ222" s="6"/>
      <c r="CA222" s="6"/>
      <c r="CG222" s="6"/>
      <c r="CH222" s="6"/>
      <c r="CJ222" s="6"/>
      <c r="CK222" s="6"/>
      <c r="CL222" s="6"/>
    </row>
    <row r="223" spans="1:90" s="5" customFormat="1" ht="13.5" customHeight="1">
      <c r="B223" s="1" t="s">
        <v>423</v>
      </c>
      <c r="C223" s="6">
        <f t="shared" si="787"/>
        <v>1014807</v>
      </c>
      <c r="D223" s="6">
        <f t="shared" si="787"/>
        <v>1113884</v>
      </c>
      <c r="E223" s="6">
        <f t="shared" si="787"/>
        <v>1151481</v>
      </c>
      <c r="F223" s="6">
        <f t="shared" si="788"/>
        <v>1213960</v>
      </c>
      <c r="G223" s="6">
        <f t="shared" si="788"/>
        <v>1216362</v>
      </c>
      <c r="H223" s="6">
        <f t="shared" si="788"/>
        <v>1204345</v>
      </c>
      <c r="I223" s="6">
        <f t="shared" si="789"/>
        <v>1204249</v>
      </c>
      <c r="J223" s="6">
        <f t="shared" si="789"/>
        <v>1141336</v>
      </c>
      <c r="K223" s="6">
        <f>K204+K216</f>
        <v>828455</v>
      </c>
      <c r="L223" s="6">
        <f t="shared" si="790"/>
        <v>1584236</v>
      </c>
      <c r="M223" s="6">
        <f t="shared" si="790"/>
        <v>940418</v>
      </c>
      <c r="N223" s="6">
        <f t="shared" si="791"/>
        <v>740784</v>
      </c>
      <c r="O223" s="6">
        <f t="shared" si="791"/>
        <v>1451560</v>
      </c>
      <c r="P223" s="6">
        <f>P204+P216</f>
        <v>1944953</v>
      </c>
      <c r="Q223" s="6"/>
      <c r="R223" s="6">
        <f t="shared" si="792"/>
        <v>1129362</v>
      </c>
      <c r="S223" s="6">
        <f t="shared" si="792"/>
        <v>1142152</v>
      </c>
      <c r="T223" s="6">
        <f t="shared" si="792"/>
        <v>1155800</v>
      </c>
      <c r="U223" s="6">
        <f t="shared" si="793"/>
        <v>1151481</v>
      </c>
      <c r="V223" s="6">
        <f t="shared" si="793"/>
        <v>1182042</v>
      </c>
      <c r="W223" s="6">
        <f t="shared" si="793"/>
        <v>1196845.9999999998</v>
      </c>
      <c r="X223" s="6">
        <f t="shared" si="794"/>
        <v>1192679</v>
      </c>
      <c r="Y223" s="6">
        <f t="shared" si="794"/>
        <v>1213960</v>
      </c>
      <c r="Z223" s="6">
        <f t="shared" si="794"/>
        <v>1225236</v>
      </c>
      <c r="AA223" s="6">
        <f t="shared" si="794"/>
        <v>1236433</v>
      </c>
      <c r="AB223" s="6">
        <f t="shared" si="795"/>
        <v>1238582</v>
      </c>
      <c r="AC223" s="6">
        <f t="shared" si="795"/>
        <v>1204344.9999999998</v>
      </c>
      <c r="AD223" s="6">
        <f t="shared" si="795"/>
        <v>1187553</v>
      </c>
      <c r="AE223" s="6">
        <f t="shared" si="795"/>
        <v>1197792.0000000002</v>
      </c>
      <c r="AF223" s="6">
        <f t="shared" si="796"/>
        <v>1205970</v>
      </c>
      <c r="AG223" s="6">
        <f t="shared" si="796"/>
        <v>1141336</v>
      </c>
      <c r="AH223" s="6">
        <f t="shared" si="796"/>
        <v>1073595</v>
      </c>
      <c r="AI223" s="6">
        <f t="shared" si="796"/>
        <v>732104</v>
      </c>
      <c r="AJ223" s="6">
        <f t="shared" si="797"/>
        <v>653099</v>
      </c>
      <c r="AK223" s="6">
        <f t="shared" si="797"/>
        <v>828455</v>
      </c>
      <c r="AL223" s="6">
        <f t="shared" si="797"/>
        <v>969200</v>
      </c>
      <c r="AM223" s="6">
        <f t="shared" si="797"/>
        <v>1353787</v>
      </c>
      <c r="AN223" s="6">
        <f t="shared" si="798"/>
        <v>1564449</v>
      </c>
      <c r="AO223" s="6">
        <f t="shared" si="798"/>
        <v>1584235.9999999998</v>
      </c>
      <c r="AP223" s="6">
        <f t="shared" si="798"/>
        <v>1524145.9999999998</v>
      </c>
      <c r="AQ223" s="6">
        <f t="shared" si="798"/>
        <v>1409738.9999999998</v>
      </c>
      <c r="AR223" s="6">
        <f t="shared" si="799"/>
        <v>1198609</v>
      </c>
      <c r="AS223" s="6">
        <f t="shared" si="799"/>
        <v>940418</v>
      </c>
      <c r="AT223" s="6">
        <f t="shared" si="799"/>
        <v>775242.00000000012</v>
      </c>
      <c r="AU223" s="6">
        <f t="shared" si="799"/>
        <v>671371</v>
      </c>
      <c r="AV223" s="6">
        <f t="shared" si="800"/>
        <v>673587</v>
      </c>
      <c r="AW223" s="6">
        <f t="shared" si="800"/>
        <v>740784.00000000012</v>
      </c>
      <c r="AX223" s="6">
        <f t="shared" si="800"/>
        <v>910758.00000000012</v>
      </c>
      <c r="AY223" s="6">
        <f t="shared" si="800"/>
        <v>1094899</v>
      </c>
      <c r="AZ223" s="6">
        <f t="shared" si="801"/>
        <v>1243898</v>
      </c>
      <c r="BA223" s="6">
        <f t="shared" si="801"/>
        <v>1451559.9999999998</v>
      </c>
      <c r="BB223" s="6">
        <f t="shared" si="801"/>
        <v>1625721</v>
      </c>
      <c r="BC223" s="6">
        <f t="shared" si="801"/>
        <v>1773612.9999999998</v>
      </c>
      <c r="BD223" s="6">
        <f t="shared" si="802"/>
        <v>1857468</v>
      </c>
      <c r="BE223" s="6">
        <f t="shared" si="802"/>
        <v>1944953</v>
      </c>
      <c r="BF223" s="6">
        <f t="shared" si="802"/>
        <v>2015097</v>
      </c>
      <c r="BG223" s="142"/>
      <c r="BH223" s="6"/>
      <c r="BI223" s="6"/>
      <c r="BJ223" s="6"/>
      <c r="BK223" s="6"/>
      <c r="BL223" s="6">
        <f>BL204+BL216</f>
        <v>644298</v>
      </c>
      <c r="BM223" s="6"/>
      <c r="BN223" s="6">
        <f t="shared" si="803"/>
        <v>1142152</v>
      </c>
      <c r="BO223" s="6">
        <f t="shared" si="803"/>
        <v>1196846</v>
      </c>
      <c r="BP223" s="6">
        <f t="shared" si="804"/>
        <v>1236433</v>
      </c>
      <c r="BQ223" s="6">
        <f t="shared" si="804"/>
        <v>1197792.0000000002</v>
      </c>
      <c r="BR223" s="6">
        <f t="shared" si="805"/>
        <v>732104</v>
      </c>
      <c r="BS223" s="6">
        <f t="shared" si="805"/>
        <v>1353787</v>
      </c>
      <c r="BT223" s="6">
        <f t="shared" si="806"/>
        <v>1409739</v>
      </c>
      <c r="BU223" s="6">
        <f t="shared" si="806"/>
        <v>671371</v>
      </c>
      <c r="BV223" s="6">
        <f t="shared" si="807"/>
        <v>1094898.9999999998</v>
      </c>
      <c r="BW223" s="6">
        <f t="shared" si="807"/>
        <v>1773613</v>
      </c>
      <c r="BX223" s="6"/>
      <c r="BY223" s="6"/>
      <c r="BZ223" s="6"/>
      <c r="CA223" s="6"/>
      <c r="CG223" s="6"/>
      <c r="CH223" s="6"/>
      <c r="CJ223" s="6"/>
      <c r="CK223" s="6"/>
      <c r="CL223" s="6"/>
    </row>
    <row r="224" spans="1:90" s="5" customFormat="1" ht="13.5" customHeight="1">
      <c r="B224" s="1" t="s">
        <v>429</v>
      </c>
      <c r="C224" s="6">
        <f t="shared" ref="C224:K224" si="808">C208+C217</f>
        <v>517105.5599999993</v>
      </c>
      <c r="D224" s="6">
        <f t="shared" si="808"/>
        <v>570536.4919999995</v>
      </c>
      <c r="E224" s="6">
        <f t="shared" si="808"/>
        <v>678031.99000000011</v>
      </c>
      <c r="F224" s="6">
        <f t="shared" si="808"/>
        <v>558904.1940000006</v>
      </c>
      <c r="G224" s="6">
        <f t="shared" si="808"/>
        <v>558904.1939999999</v>
      </c>
      <c r="H224" s="6">
        <f t="shared" si="808"/>
        <v>543727.37800000084</v>
      </c>
      <c r="I224" s="6">
        <f t="shared" si="808"/>
        <v>543727.37799999979</v>
      </c>
      <c r="J224" s="6">
        <f t="shared" si="808"/>
        <v>356176.47399999987</v>
      </c>
      <c r="K224" s="6">
        <f t="shared" si="808"/>
        <v>36664.441999999588</v>
      </c>
      <c r="L224" s="6">
        <f>L208+L217</f>
        <v>695021.73300000001</v>
      </c>
      <c r="M224" s="6">
        <f>M208+M217</f>
        <v>132431.1380000003</v>
      </c>
      <c r="N224" s="6">
        <f>N208+N217</f>
        <v>188584.5109999995</v>
      </c>
      <c r="O224" s="6">
        <f>O208+O217</f>
        <v>635404.38899999997</v>
      </c>
      <c r="P224" s="6">
        <f>P208+P217</f>
        <v>1984315.0169999995</v>
      </c>
      <c r="Q224" s="6"/>
      <c r="R224" s="6">
        <f t="shared" ref="R224:W224" si="809">R208+R217</f>
        <v>569191.35499999963</v>
      </c>
      <c r="S224" s="6">
        <f t="shared" si="809"/>
        <v>571040.45099999965</v>
      </c>
      <c r="T224" s="6">
        <f t="shared" si="809"/>
        <v>709639.81299999973</v>
      </c>
      <c r="U224" s="6">
        <f t="shared" si="809"/>
        <v>678031.99000000046</v>
      </c>
      <c r="V224" s="6">
        <f t="shared" si="809"/>
        <v>692003.89800000039</v>
      </c>
      <c r="W224" s="6">
        <f t="shared" si="809"/>
        <v>702983.1680000003</v>
      </c>
      <c r="X224" s="6">
        <f t="shared" ref="X224:AC224" si="810">X208+X217</f>
        <v>554586.7070000004</v>
      </c>
      <c r="Y224" s="6">
        <f t="shared" si="810"/>
        <v>558904.19400000072</v>
      </c>
      <c r="Z224" s="6">
        <f t="shared" si="810"/>
        <v>556817.86600000074</v>
      </c>
      <c r="AA224" s="6">
        <f t="shared" si="810"/>
        <v>565802.72300000058</v>
      </c>
      <c r="AB224" s="6">
        <f t="shared" si="810"/>
        <v>558942.81300000101</v>
      </c>
      <c r="AC224" s="6">
        <f t="shared" si="810"/>
        <v>543727.37800000154</v>
      </c>
      <c r="AD224" s="6">
        <f t="shared" ref="AD224:AJ224" si="811">AD208+AD217</f>
        <v>502113.95300000074</v>
      </c>
      <c r="AE224" s="6">
        <f t="shared" si="811"/>
        <v>471055.79300000041</v>
      </c>
      <c r="AF224" s="6">
        <f t="shared" si="811"/>
        <v>445217.43500000075</v>
      </c>
      <c r="AG224" s="6">
        <f t="shared" si="811"/>
        <v>356176.47399999993</v>
      </c>
      <c r="AH224" s="6">
        <f t="shared" si="811"/>
        <v>300082.37300000002</v>
      </c>
      <c r="AI224" s="6">
        <f t="shared" si="811"/>
        <v>43051.022000000259</v>
      </c>
      <c r="AJ224" s="6">
        <f t="shared" si="811"/>
        <v>-19704.14099999881</v>
      </c>
      <c r="AK224" s="6">
        <f t="shared" ref="AK224:AP224" si="812">AK208+AK217</f>
        <v>36664.44200000017</v>
      </c>
      <c r="AL224" s="6">
        <f t="shared" si="812"/>
        <v>152883.18000000023</v>
      </c>
      <c r="AM224" s="6">
        <f t="shared" si="812"/>
        <v>432356.51700000011</v>
      </c>
      <c r="AN224" s="6">
        <f t="shared" si="812"/>
        <v>630604.18699999875</v>
      </c>
      <c r="AO224" s="6">
        <f t="shared" si="812"/>
        <v>695021.73299999966</v>
      </c>
      <c r="AP224" s="6">
        <f t="shared" si="812"/>
        <v>637895.9729999993</v>
      </c>
      <c r="AQ224" s="6">
        <f t="shared" ref="AQ224:AV224" si="813">AQ208+AQ217</f>
        <v>645750.23399999982</v>
      </c>
      <c r="AR224" s="6">
        <f t="shared" si="813"/>
        <v>443916.00699999975</v>
      </c>
      <c r="AS224" s="6">
        <f t="shared" si="813"/>
        <v>132431.13799999986</v>
      </c>
      <c r="AT224" s="6">
        <f t="shared" si="813"/>
        <v>-4298.8369999997522</v>
      </c>
      <c r="AU224" s="6">
        <f t="shared" si="813"/>
        <v>-37019.958000000675</v>
      </c>
      <c r="AV224" s="6">
        <f t="shared" si="813"/>
        <v>-21780.55499999952</v>
      </c>
      <c r="AW224" s="6">
        <f t="shared" ref="AW224:BB224" si="814">AW208+AW217</f>
        <v>188584.51100000052</v>
      </c>
      <c r="AX224" s="6">
        <f t="shared" si="814"/>
        <v>318031.89300000051</v>
      </c>
      <c r="AY224" s="6">
        <f t="shared" si="814"/>
        <v>357016.18100000022</v>
      </c>
      <c r="AZ224" s="6">
        <f t="shared" si="814"/>
        <v>457343.69699999999</v>
      </c>
      <c r="BA224" s="6">
        <f t="shared" si="814"/>
        <v>635404.3890000002</v>
      </c>
      <c r="BB224" s="6">
        <f t="shared" si="814"/>
        <v>782367.92299999984</v>
      </c>
      <c r="BC224" s="6">
        <f>BC208+BC217</f>
        <v>1172897.0280000011</v>
      </c>
      <c r="BD224" s="6">
        <f>BD208+BD217</f>
        <v>1260649.6510000005</v>
      </c>
      <c r="BE224" s="6">
        <f>BE208+BE217</f>
        <v>1984315.0169999995</v>
      </c>
      <c r="BF224" s="6">
        <f>BF208+BF217</f>
        <v>2033672.7189999996</v>
      </c>
      <c r="BG224" s="142"/>
      <c r="BH224" s="6"/>
      <c r="BI224" s="6"/>
      <c r="BJ224" s="6"/>
      <c r="BK224" s="6"/>
      <c r="BL224" s="6">
        <f>BL208+BL217</f>
        <v>275524.18700000033</v>
      </c>
      <c r="BM224" s="6"/>
      <c r="BN224" s="6">
        <f t="shared" ref="BN224:BS224" si="815">BN208+BN217</f>
        <v>571040.45099999965</v>
      </c>
      <c r="BO224" s="6">
        <f t="shared" si="815"/>
        <v>702983.16800000006</v>
      </c>
      <c r="BP224" s="6">
        <f t="shared" si="815"/>
        <v>565802.72300000046</v>
      </c>
      <c r="BQ224" s="6">
        <f t="shared" si="815"/>
        <v>471055.79300000041</v>
      </c>
      <c r="BR224" s="6">
        <f t="shared" si="815"/>
        <v>43051.022000000274</v>
      </c>
      <c r="BS224" s="6">
        <f t="shared" si="815"/>
        <v>432356.51699999964</v>
      </c>
      <c r="BT224" s="6">
        <f>BT208+BT217</f>
        <v>645750.23399999994</v>
      </c>
      <c r="BU224" s="6">
        <f>BU208+BU217</f>
        <v>-37019.958000000086</v>
      </c>
      <c r="BV224" s="6">
        <f>BV208+BV217</f>
        <v>357016.18099999911</v>
      </c>
      <c r="BW224" s="6">
        <f>BW208+BW217</f>
        <v>1172897.0280000009</v>
      </c>
      <c r="BX224" s="6"/>
      <c r="BY224" s="6"/>
      <c r="BZ224" s="6"/>
      <c r="CA224" s="6"/>
      <c r="CG224" s="6"/>
      <c r="CH224" s="6"/>
      <c r="CJ224" s="6"/>
      <c r="CK224" s="6"/>
      <c r="CL224" s="6"/>
    </row>
    <row r="225" spans="1:90" s="5" customFormat="1" ht="13.5" customHeight="1">
      <c r="B225" s="1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142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J225" s="6"/>
      <c r="CK225" s="6"/>
      <c r="CL225" s="6"/>
    </row>
    <row r="226" spans="1:90" ht="13.5" customHeight="1">
      <c r="A226" s="28"/>
      <c r="B226" s="17" t="s">
        <v>431</v>
      </c>
      <c r="C226" s="46">
        <v>41975</v>
      </c>
      <c r="D226" s="253">
        <f t="shared" ref="D226:J226" si="816">D3</f>
        <v>42341</v>
      </c>
      <c r="E226" s="253">
        <f t="shared" si="816"/>
        <v>42708</v>
      </c>
      <c r="F226" s="253">
        <f t="shared" si="816"/>
        <v>43073</v>
      </c>
      <c r="G226" s="253">
        <f t="shared" si="816"/>
        <v>43073</v>
      </c>
      <c r="H226" s="253">
        <f t="shared" si="816"/>
        <v>43438</v>
      </c>
      <c r="I226" s="253">
        <f t="shared" si="816"/>
        <v>43438</v>
      </c>
      <c r="J226" s="253">
        <f t="shared" si="816"/>
        <v>43803</v>
      </c>
      <c r="K226" s="253">
        <f t="shared" ref="K226:P226" si="817">K3</f>
        <v>44169</v>
      </c>
      <c r="L226" s="253">
        <f t="shared" si="817"/>
        <v>44534</v>
      </c>
      <c r="M226" s="253">
        <f t="shared" si="817"/>
        <v>44899</v>
      </c>
      <c r="N226" s="253">
        <f t="shared" si="817"/>
        <v>45264</v>
      </c>
      <c r="O226" s="253">
        <f t="shared" si="817"/>
        <v>45630</v>
      </c>
      <c r="P226" s="253">
        <f t="shared" si="817"/>
        <v>45995</v>
      </c>
      <c r="Q226" s="329"/>
      <c r="R226" s="46">
        <v>42437</v>
      </c>
      <c r="S226" s="46">
        <v>42527</v>
      </c>
      <c r="T226" s="46">
        <v>42622</v>
      </c>
      <c r="U226" s="46">
        <v>42714</v>
      </c>
      <c r="V226" s="46">
        <v>42801</v>
      </c>
      <c r="W226" s="46">
        <v>42892</v>
      </c>
      <c r="X226" s="46">
        <v>42987</v>
      </c>
      <c r="Y226" s="46">
        <v>43079</v>
      </c>
      <c r="Z226" s="46">
        <f t="shared" ref="Z226:AE226" si="818">Z3</f>
        <v>43166</v>
      </c>
      <c r="AA226" s="46">
        <f t="shared" si="818"/>
        <v>43257</v>
      </c>
      <c r="AB226" s="46">
        <f t="shared" si="818"/>
        <v>43352</v>
      </c>
      <c r="AC226" s="253">
        <f t="shared" si="818"/>
        <v>43444</v>
      </c>
      <c r="AD226" s="253">
        <f t="shared" si="818"/>
        <v>43531</v>
      </c>
      <c r="AE226" s="253">
        <f t="shared" si="818"/>
        <v>43622</v>
      </c>
      <c r="AF226" s="253">
        <f t="shared" ref="AF226:AK226" si="819">AF3</f>
        <v>43738</v>
      </c>
      <c r="AG226" s="253">
        <f t="shared" si="819"/>
        <v>43809</v>
      </c>
      <c r="AH226" s="253">
        <f t="shared" si="819"/>
        <v>43897</v>
      </c>
      <c r="AI226" s="253">
        <f t="shared" si="819"/>
        <v>43988</v>
      </c>
      <c r="AJ226" s="253">
        <f t="shared" si="819"/>
        <v>44104</v>
      </c>
      <c r="AK226" s="253">
        <f t="shared" si="819"/>
        <v>44175</v>
      </c>
      <c r="AL226" s="253">
        <f t="shared" ref="AL226:AQ226" si="820">AL3</f>
        <v>44262</v>
      </c>
      <c r="AM226" s="253">
        <f t="shared" si="820"/>
        <v>44348</v>
      </c>
      <c r="AN226" s="253">
        <f t="shared" si="820"/>
        <v>44469</v>
      </c>
      <c r="AO226" s="253">
        <f t="shared" si="820"/>
        <v>44540</v>
      </c>
      <c r="AP226" s="253">
        <f t="shared" si="820"/>
        <v>44651</v>
      </c>
      <c r="AQ226" s="253">
        <f t="shared" si="820"/>
        <v>44713</v>
      </c>
      <c r="AR226" s="253">
        <f t="shared" ref="AR226:AW226" si="821">AR3</f>
        <v>44834</v>
      </c>
      <c r="AS226" s="253">
        <f t="shared" si="821"/>
        <v>44905</v>
      </c>
      <c r="AT226" s="253">
        <f t="shared" si="821"/>
        <v>45016</v>
      </c>
      <c r="AU226" s="253">
        <f t="shared" si="821"/>
        <v>45078</v>
      </c>
      <c r="AV226" s="253">
        <f t="shared" si="821"/>
        <v>45199</v>
      </c>
      <c r="AW226" s="253">
        <f t="shared" si="821"/>
        <v>45270</v>
      </c>
      <c r="AX226" s="253">
        <f t="shared" ref="AX226:BC226" si="822">AX3</f>
        <v>45382</v>
      </c>
      <c r="AY226" s="253">
        <f t="shared" si="822"/>
        <v>45444</v>
      </c>
      <c r="AZ226" s="253">
        <f t="shared" si="822"/>
        <v>45565</v>
      </c>
      <c r="BA226" s="253">
        <f t="shared" si="822"/>
        <v>45636</v>
      </c>
      <c r="BB226" s="253">
        <f t="shared" si="822"/>
        <v>45747</v>
      </c>
      <c r="BC226" s="253">
        <f t="shared" si="822"/>
        <v>45809</v>
      </c>
      <c r="BD226" s="253">
        <f>BD3</f>
        <v>45930</v>
      </c>
      <c r="BE226" s="253">
        <f>BE3</f>
        <v>46001</v>
      </c>
      <c r="BF226" s="253">
        <f>BF3</f>
        <v>46112</v>
      </c>
      <c r="BG226" s="142"/>
      <c r="BH226" s="46"/>
      <c r="BI226" s="46"/>
      <c r="BJ226" s="46"/>
      <c r="BK226" s="253"/>
      <c r="BL226" s="253">
        <f>BL3</f>
        <v>43531</v>
      </c>
      <c r="BM226" s="329"/>
      <c r="BN226" s="46">
        <v>42530</v>
      </c>
      <c r="BO226" s="46">
        <v>42896</v>
      </c>
      <c r="BP226" s="46">
        <f t="shared" ref="BP226:BU226" si="823">BP3</f>
        <v>43261</v>
      </c>
      <c r="BQ226" s="253">
        <f t="shared" si="823"/>
        <v>43646</v>
      </c>
      <c r="BR226" s="253">
        <f t="shared" si="823"/>
        <v>44012</v>
      </c>
      <c r="BS226" s="253">
        <f t="shared" si="823"/>
        <v>44377</v>
      </c>
      <c r="BT226" s="253">
        <f t="shared" si="823"/>
        <v>44742</v>
      </c>
      <c r="BU226" s="253">
        <f t="shared" si="823"/>
        <v>45107</v>
      </c>
      <c r="BV226" s="253">
        <f>BV3</f>
        <v>45473</v>
      </c>
      <c r="BW226" s="253">
        <f>BW3</f>
        <v>45838</v>
      </c>
      <c r="BX226" s="62"/>
      <c r="BY226" s="62"/>
      <c r="BZ226" s="62"/>
      <c r="CA226" s="62"/>
      <c r="CJ226" s="6"/>
      <c r="CK226" s="6"/>
      <c r="CL226" s="6"/>
    </row>
    <row r="227" spans="1:90" ht="13.5" customHeight="1"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BG227" s="142"/>
      <c r="CJ227" s="6"/>
      <c r="CK227" s="6"/>
      <c r="CL227" s="6"/>
    </row>
    <row r="228" spans="1:90" s="5" customFormat="1" ht="13.5" customHeight="1">
      <c r="B228" s="1" t="s">
        <v>432</v>
      </c>
      <c r="C228" s="27">
        <v>2118686</v>
      </c>
      <c r="D228" s="27">
        <v>2377971</v>
      </c>
      <c r="E228" s="27">
        <v>2500305</v>
      </c>
      <c r="F228" s="27">
        <v>2544923.7000000002</v>
      </c>
      <c r="G228" s="27">
        <v>2544923.7000000002</v>
      </c>
      <c r="H228" s="27">
        <v>2725671.4840000002</v>
      </c>
      <c r="I228" s="27">
        <v>2725338.0669999998</v>
      </c>
      <c r="J228" s="27">
        <v>3698385.781</v>
      </c>
      <c r="K228" s="27">
        <v>3388090.202</v>
      </c>
      <c r="L228" s="27">
        <v>3562938.875</v>
      </c>
      <c r="M228" s="27">
        <v>3728570.7080000001</v>
      </c>
      <c r="N228" s="27">
        <v>3855247.1469999999</v>
      </c>
      <c r="O228" s="27">
        <v>3909695.1519999998</v>
      </c>
      <c r="P228" s="27">
        <v>3940815.65</v>
      </c>
      <c r="Q228" s="27"/>
      <c r="R228" s="27">
        <v>2214281.8169999998</v>
      </c>
      <c r="S228" s="25">
        <f>BN228</f>
        <v>2388439.915</v>
      </c>
      <c r="T228" s="27">
        <v>2276648.4679999999</v>
      </c>
      <c r="U228" s="25">
        <f>E228</f>
        <v>2500305</v>
      </c>
      <c r="V228" s="40">
        <v>2559963.446</v>
      </c>
      <c r="W228" s="6">
        <f>BO228</f>
        <v>2574679</v>
      </c>
      <c r="X228" s="40">
        <v>2580274.1490000002</v>
      </c>
      <c r="Y228" s="6">
        <f t="shared" ref="Y228:Y233" si="824">F228</f>
        <v>2544923.7000000002</v>
      </c>
      <c r="Z228" s="40">
        <v>2550364.1469999999</v>
      </c>
      <c r="AA228" s="6">
        <f>BP228</f>
        <v>2622879.0550000002</v>
      </c>
      <c r="AB228" s="40">
        <v>2654202.3840000001</v>
      </c>
      <c r="AC228" s="6">
        <f>H228</f>
        <v>2725671.4840000002</v>
      </c>
      <c r="AD228" s="40">
        <v>3524626.8</v>
      </c>
      <c r="AE228" s="6">
        <f>BQ228</f>
        <v>3581417.52</v>
      </c>
      <c r="AF228" s="40">
        <v>3632152.36</v>
      </c>
      <c r="AG228" s="6">
        <f>J228</f>
        <v>3698385.781</v>
      </c>
      <c r="AH228" s="40">
        <v>3778405.091</v>
      </c>
      <c r="AI228" s="6">
        <f>BR228</f>
        <v>3708677.5920000002</v>
      </c>
      <c r="AJ228" s="40">
        <v>3588567.963</v>
      </c>
      <c r="AK228" s="6">
        <f>K228</f>
        <v>3388090.202</v>
      </c>
      <c r="AL228" s="40">
        <v>3325321.3</v>
      </c>
      <c r="AM228" s="6">
        <f>BS228</f>
        <v>3312870.6</v>
      </c>
      <c r="AN228" s="40">
        <v>3386561.1660000002</v>
      </c>
      <c r="AO228" s="6">
        <f>L228</f>
        <v>3562938.875</v>
      </c>
      <c r="AP228" s="40">
        <v>3607995.6129999999</v>
      </c>
      <c r="AQ228" s="6">
        <f>BT228</f>
        <v>3828218.7760000001</v>
      </c>
      <c r="AR228" s="40">
        <v>3805221.2349999999</v>
      </c>
      <c r="AS228" s="6">
        <f t="shared" ref="AS228:AS233" si="825">M228</f>
        <v>3728570.7080000001</v>
      </c>
      <c r="AT228" s="40">
        <v>3650017.5619999999</v>
      </c>
      <c r="AU228" s="6">
        <f>BU228</f>
        <v>3717644.5120000001</v>
      </c>
      <c r="AV228" s="40">
        <v>3843660.9550000001</v>
      </c>
      <c r="AW228" s="6">
        <f t="shared" ref="AW228:AW233" si="826">N228</f>
        <v>3855247.1469999999</v>
      </c>
      <c r="AX228" s="40">
        <v>4006795.1430000002</v>
      </c>
      <c r="AY228" s="6">
        <f>BV228</f>
        <v>3901060.7310000001</v>
      </c>
      <c r="AZ228" s="40">
        <v>3738157.6069999998</v>
      </c>
      <c r="BA228" s="6">
        <f t="shared" ref="BA228:BA233" si="827">O228</f>
        <v>3909695.1519999998</v>
      </c>
      <c r="BB228" s="27">
        <v>3827879.122</v>
      </c>
      <c r="BC228" s="6">
        <f>BW228</f>
        <v>3873798.21</v>
      </c>
      <c r="BD228" s="40">
        <v>3899477.449</v>
      </c>
      <c r="BE228" s="6">
        <f t="shared" ref="BE228:BE233" si="828">P228</f>
        <v>3940815.65</v>
      </c>
      <c r="BF228" s="40">
        <v>3888762.8730000001</v>
      </c>
      <c r="BG228" s="142"/>
      <c r="BH228" s="27"/>
      <c r="BI228" s="27"/>
      <c r="BJ228" s="27"/>
      <c r="BK228" s="6"/>
      <c r="BL228" s="40">
        <v>3524626.8</v>
      </c>
      <c r="BM228" s="40"/>
      <c r="BN228" s="40">
        <v>2388439.915</v>
      </c>
      <c r="BO228" s="40">
        <v>2574679</v>
      </c>
      <c r="BP228" s="40">
        <v>2622879.0550000002</v>
      </c>
      <c r="BQ228" s="40">
        <v>3581417.52</v>
      </c>
      <c r="BR228" s="40">
        <v>3708677.5920000002</v>
      </c>
      <c r="BS228" s="40">
        <v>3312870.6</v>
      </c>
      <c r="BT228" s="40">
        <v>3828218.7760000001</v>
      </c>
      <c r="BU228" s="40">
        <v>3717644.5120000001</v>
      </c>
      <c r="BV228" s="27">
        <v>3901060.7310000001</v>
      </c>
      <c r="BW228" s="27">
        <v>3873798.21</v>
      </c>
      <c r="BX228" s="27"/>
      <c r="BY228" s="27"/>
      <c r="BZ228" s="27"/>
      <c r="CA228" s="27"/>
      <c r="CJ228" s="6"/>
      <c r="CK228" s="6"/>
      <c r="CL228" s="6"/>
    </row>
    <row r="229" spans="1:90" s="5" customFormat="1" ht="13.5" customHeight="1">
      <c r="B229" s="1" t="s">
        <v>433</v>
      </c>
      <c r="C229" s="27">
        <f>19717.004+110578.122</f>
        <v>130295.126</v>
      </c>
      <c r="D229" s="27">
        <f>21045.521+121651.114</f>
        <v>142696.63500000001</v>
      </c>
      <c r="E229" s="27">
        <f>130056.422+29144.287</f>
        <v>159200.709</v>
      </c>
      <c r="F229" s="27">
        <f>138464.318+32997.676</f>
        <v>171461.99400000001</v>
      </c>
      <c r="G229" s="27">
        <f>138464.318+32997.676</f>
        <v>171461.99400000001</v>
      </c>
      <c r="H229" s="27">
        <f>146754.253+45630.958</f>
        <v>192385.21100000001</v>
      </c>
      <c r="I229" s="27">
        <f>143333.626+45182.842</f>
        <v>188516.46799999999</v>
      </c>
      <c r="J229" s="27">
        <f>149449.341+55968.813</f>
        <v>205418.15399999998</v>
      </c>
      <c r="K229" s="27">
        <f>145574.678+43599.751</f>
        <v>189174.429</v>
      </c>
      <c r="L229" s="27">
        <f>207125.196+47702.105</f>
        <v>254827.30100000001</v>
      </c>
      <c r="M229" s="27">
        <f>222839.062+61554.789</f>
        <v>284393.85100000002</v>
      </c>
      <c r="N229" s="27">
        <f>211617.154+53649.589</f>
        <v>265266.74300000002</v>
      </c>
      <c r="O229" s="27">
        <f>233403.736+62029.525</f>
        <v>295433.261</v>
      </c>
      <c r="P229" s="27">
        <f>265866.503+81679.344</f>
        <v>347545.84700000001</v>
      </c>
      <c r="Q229" s="27"/>
      <c r="R229" s="27">
        <f>21687.613+110397.173</f>
        <v>132084.78599999999</v>
      </c>
      <c r="S229" s="53">
        <f>BN229</f>
        <v>139766.33500000002</v>
      </c>
      <c r="T229" s="27">
        <f>24874.417+120909.023</f>
        <v>145783.44</v>
      </c>
      <c r="U229" s="53">
        <f>E229</f>
        <v>159200.709</v>
      </c>
      <c r="V229" s="40">
        <f>119513.122+32495.445</f>
        <v>152008.56700000001</v>
      </c>
      <c r="W229" s="202">
        <f>BO229</f>
        <v>161022.59899999999</v>
      </c>
      <c r="X229" s="40">
        <f>130380.566+30394.539</f>
        <v>160775.10500000001</v>
      </c>
      <c r="Y229" s="6">
        <f t="shared" si="824"/>
        <v>171461.99400000001</v>
      </c>
      <c r="Z229" s="40">
        <f>126692.635+35620.993</f>
        <v>162313.628</v>
      </c>
      <c r="AA229" s="6">
        <f>BP229</f>
        <v>163169.81699999998</v>
      </c>
      <c r="AB229" s="40">
        <f>127555.901+36011.257</f>
        <v>163567.158</v>
      </c>
      <c r="AC229" s="6">
        <f>H229</f>
        <v>192385.21100000001</v>
      </c>
      <c r="AD229" s="40">
        <f>125715.163+48104.263</f>
        <v>173819.42600000001</v>
      </c>
      <c r="AE229" s="6">
        <f>BQ229</f>
        <v>184508.823</v>
      </c>
      <c r="AF229" s="40">
        <f>138778.203+57516.848</f>
        <v>196295.05100000001</v>
      </c>
      <c r="AG229" s="6">
        <f>J229</f>
        <v>205418.15399999998</v>
      </c>
      <c r="AH229" s="40">
        <f>132564.651+53885.915</f>
        <v>186450.56600000002</v>
      </c>
      <c r="AI229" s="6">
        <f>BR229</f>
        <v>193254.50399999999</v>
      </c>
      <c r="AJ229" s="40">
        <f>140124.512+42145.215</f>
        <v>182269.72699999998</v>
      </c>
      <c r="AK229" s="6">
        <f>K229</f>
        <v>189174.429</v>
      </c>
      <c r="AL229" s="40">
        <f>135085.24+43759.846</f>
        <v>178845.08599999998</v>
      </c>
      <c r="AM229" s="6">
        <f>BS229</f>
        <v>195588.55100000001</v>
      </c>
      <c r="AN229" s="40">
        <f>173803.075+45171.993</f>
        <v>218975.06800000003</v>
      </c>
      <c r="AO229" s="6">
        <f>L229</f>
        <v>254827.30100000001</v>
      </c>
      <c r="AP229" s="40">
        <f>164495.233+51235.192</f>
        <v>215730.42500000002</v>
      </c>
      <c r="AQ229" s="6">
        <f>BT229</f>
        <v>238108.74000000002</v>
      </c>
      <c r="AR229" s="40">
        <f>203908.924+53560.201</f>
        <v>257469.125</v>
      </c>
      <c r="AS229" s="6">
        <f t="shared" si="825"/>
        <v>284393.85100000002</v>
      </c>
      <c r="AT229" s="40">
        <f>172993.05+63984.148</f>
        <v>236977.19799999997</v>
      </c>
      <c r="AU229" s="6">
        <f>BU229</f>
        <v>234884.557</v>
      </c>
      <c r="AV229" s="40">
        <f>195558.716+53822.795</f>
        <v>249381.511</v>
      </c>
      <c r="AW229" s="6">
        <f t="shared" si="826"/>
        <v>265266.74300000002</v>
      </c>
      <c r="AX229" s="40">
        <f>184851.676+55697.725</f>
        <v>240549.40100000001</v>
      </c>
      <c r="AY229" s="6">
        <f>BV229</f>
        <v>232118.37900000002</v>
      </c>
      <c r="AZ229" s="40">
        <f>198210.174+59864.705</f>
        <v>258074.87900000002</v>
      </c>
      <c r="BA229" s="6">
        <f t="shared" si="827"/>
        <v>295433.261</v>
      </c>
      <c r="BB229" s="27">
        <f>178189.503+65155.595</f>
        <v>243345.098</v>
      </c>
      <c r="BC229" s="6">
        <f>BW229</f>
        <v>260423.59299999999</v>
      </c>
      <c r="BD229" s="40">
        <f>228511.657+64130.193</f>
        <v>292641.84999999998</v>
      </c>
      <c r="BE229" s="6">
        <f t="shared" si="828"/>
        <v>347545.84700000001</v>
      </c>
      <c r="BF229" s="40">
        <f>194598.085+84215.659</f>
        <v>278813.74400000001</v>
      </c>
      <c r="BG229" s="433"/>
      <c r="BH229" s="27"/>
      <c r="BI229" s="27"/>
      <c r="BJ229" s="27"/>
      <c r="BK229" s="6"/>
      <c r="BL229" s="40">
        <f>125715.163+48104.263</f>
        <v>173819.42600000001</v>
      </c>
      <c r="BM229" s="40"/>
      <c r="BN229" s="40">
        <f>22574.557+117191.778</f>
        <v>139766.33500000002</v>
      </c>
      <c r="BO229" s="40">
        <f>33885.523+127137.076</f>
        <v>161022.59899999999</v>
      </c>
      <c r="BP229" s="40">
        <f>129453.359+33716.458</f>
        <v>163169.81699999998</v>
      </c>
      <c r="BQ229" s="40">
        <f>131662.772+52846.051</f>
        <v>184508.823</v>
      </c>
      <c r="BR229" s="40">
        <f>141167.947+52086.557</f>
        <v>193254.50399999999</v>
      </c>
      <c r="BS229" s="40">
        <f>152914.196+42674.355</f>
        <v>195588.55100000001</v>
      </c>
      <c r="BT229" s="40">
        <f>186630.866+51477.874</f>
        <v>238108.74000000002</v>
      </c>
      <c r="BU229" s="40">
        <f>183111.926+51772.631</f>
        <v>234884.557</v>
      </c>
      <c r="BV229" s="27">
        <f>180022.16+52096.219</f>
        <v>232118.37900000002</v>
      </c>
      <c r="BW229" s="27">
        <f>199437.098+60986.495</f>
        <v>260423.59299999999</v>
      </c>
      <c r="BX229" s="27"/>
      <c r="BY229" s="27"/>
      <c r="BZ229" s="27"/>
      <c r="CA229" s="27"/>
      <c r="CJ229" s="6"/>
      <c r="CK229" s="6"/>
      <c r="CL229" s="6"/>
    </row>
    <row r="230" spans="1:90" s="5" customFormat="1" ht="13.5" customHeight="1">
      <c r="B230" s="7" t="s">
        <v>434</v>
      </c>
      <c r="C230" s="27">
        <v>1019200</v>
      </c>
      <c r="D230" s="27">
        <v>1173671</v>
      </c>
      <c r="E230" s="27">
        <v>1207253</v>
      </c>
      <c r="F230" s="27">
        <v>1238138.7830000001</v>
      </c>
      <c r="G230" s="27">
        <v>1238138.7830000001</v>
      </c>
      <c r="H230" s="27">
        <v>1410494.6159999999</v>
      </c>
      <c r="I230" s="27">
        <v>1410494.6159999999</v>
      </c>
      <c r="J230" s="27">
        <v>1332853.655</v>
      </c>
      <c r="K230" s="27">
        <v>1161244.547</v>
      </c>
      <c r="L230" s="27">
        <v>1867793.791</v>
      </c>
      <c r="M230" s="27">
        <v>1951392.2279999999</v>
      </c>
      <c r="N230" s="27">
        <v>1538539.3230000001</v>
      </c>
      <c r="O230" s="27">
        <v>1684564.942</v>
      </c>
      <c r="P230" s="27">
        <v>1697342.138</v>
      </c>
      <c r="Q230" s="27"/>
      <c r="R230" s="27">
        <v>1131730.791</v>
      </c>
      <c r="S230" s="25">
        <f>BN230</f>
        <v>1134973.612</v>
      </c>
      <c r="T230" s="27">
        <v>1183201.7609999999</v>
      </c>
      <c r="U230" s="25">
        <f>E230</f>
        <v>1207253</v>
      </c>
      <c r="V230" s="40">
        <v>1187263.1340000001</v>
      </c>
      <c r="W230" s="6">
        <f>BO230</f>
        <v>1197005</v>
      </c>
      <c r="X230" s="40">
        <v>1239631.0530000001</v>
      </c>
      <c r="Y230" s="6">
        <f t="shared" si="824"/>
        <v>1238138.7830000001</v>
      </c>
      <c r="Z230" s="40">
        <v>1225550.9650000001</v>
      </c>
      <c r="AA230" s="6">
        <f>BP230</f>
        <v>1260851.23</v>
      </c>
      <c r="AB230" s="40">
        <v>1325823.6429999999</v>
      </c>
      <c r="AC230" s="6">
        <f>H230</f>
        <v>1410494.6159999999</v>
      </c>
      <c r="AD230" s="40">
        <v>1364252.3959999999</v>
      </c>
      <c r="AE230" s="6">
        <f>BQ230</f>
        <v>1330922.327</v>
      </c>
      <c r="AF230" s="40">
        <v>1362268.9950000001</v>
      </c>
      <c r="AG230" s="6">
        <f>J230</f>
        <v>1332853.655</v>
      </c>
      <c r="AH230" s="40">
        <v>1423801.273</v>
      </c>
      <c r="AI230" s="6">
        <f>BR230</f>
        <v>1391855.3929999999</v>
      </c>
      <c r="AJ230" s="40">
        <v>1325073.5560000001</v>
      </c>
      <c r="AK230" s="6">
        <f>K230</f>
        <v>1161244.547</v>
      </c>
      <c r="AL230" s="40">
        <v>1269024.1370000001</v>
      </c>
      <c r="AM230" s="6">
        <f>BS230</f>
        <v>1318900.345</v>
      </c>
      <c r="AN230" s="40">
        <v>1671463.6140000001</v>
      </c>
      <c r="AO230" s="6">
        <f>L230</f>
        <v>1867793.791</v>
      </c>
      <c r="AP230" s="40">
        <v>2072069.5090000001</v>
      </c>
      <c r="AQ230" s="6">
        <f>BT230</f>
        <v>2166718.1740000001</v>
      </c>
      <c r="AR230" s="40">
        <v>2218514.8199999998</v>
      </c>
      <c r="AS230" s="6">
        <f t="shared" si="825"/>
        <v>1951392.2279999999</v>
      </c>
      <c r="AT230" s="40">
        <v>1800244.44</v>
      </c>
      <c r="AU230" s="6">
        <f>BU230</f>
        <v>1696002.892</v>
      </c>
      <c r="AV230" s="40">
        <v>1706818.102</v>
      </c>
      <c r="AW230" s="6">
        <f t="shared" si="826"/>
        <v>1538539.3230000001</v>
      </c>
      <c r="AX230" s="40">
        <v>1596251.5390000001</v>
      </c>
      <c r="AY230" s="6">
        <f>BV230</f>
        <v>1550139.2720000001</v>
      </c>
      <c r="AZ230" s="40">
        <v>1726618.7279999999</v>
      </c>
      <c r="BA230" s="6">
        <f t="shared" si="827"/>
        <v>1684564.942</v>
      </c>
      <c r="BB230" s="27">
        <v>1785005.1769999999</v>
      </c>
      <c r="BC230" s="6">
        <f>BW230</f>
        <v>1783690.98</v>
      </c>
      <c r="BD230" s="40">
        <v>1970791.6440000001</v>
      </c>
      <c r="BE230" s="6">
        <f t="shared" si="828"/>
        <v>1697342.138</v>
      </c>
      <c r="BF230" s="40">
        <v>1756081.797</v>
      </c>
      <c r="BG230" s="142"/>
      <c r="BH230" s="27"/>
      <c r="BI230" s="27"/>
      <c r="BJ230" s="27"/>
      <c r="BK230" s="6"/>
      <c r="BL230" s="40">
        <v>1364252.3959999999</v>
      </c>
      <c r="BM230" s="40"/>
      <c r="BN230" s="40">
        <v>1134973.612</v>
      </c>
      <c r="BO230" s="40">
        <v>1197005</v>
      </c>
      <c r="BP230" s="40">
        <v>1260851.23</v>
      </c>
      <c r="BQ230" s="40">
        <v>1330922.327</v>
      </c>
      <c r="BR230" s="40">
        <v>1391855.3929999999</v>
      </c>
      <c r="BS230" s="40">
        <v>1318900.345</v>
      </c>
      <c r="BT230" s="40">
        <v>2166718.1740000001</v>
      </c>
      <c r="BU230" s="40">
        <v>1696002.892</v>
      </c>
      <c r="BV230" s="27">
        <v>1550139.2720000001</v>
      </c>
      <c r="BW230" s="27">
        <v>1783690.98</v>
      </c>
      <c r="BX230" s="27"/>
      <c r="BY230" s="27"/>
      <c r="BZ230" s="27"/>
      <c r="CA230" s="27"/>
      <c r="CC230" s="27">
        <v>1023883.422</v>
      </c>
      <c r="CD230" s="27">
        <v>1024257.292</v>
      </c>
      <c r="CE230" s="27">
        <v>1183876.6599999999</v>
      </c>
      <c r="CJ230" s="6"/>
      <c r="CK230" s="6"/>
      <c r="CL230" s="6"/>
    </row>
    <row r="231" spans="1:90" s="5" customFormat="1" ht="13.5" customHeight="1">
      <c r="B231" s="7" t="s">
        <v>435</v>
      </c>
      <c r="C231" s="27">
        <v>1469814</v>
      </c>
      <c r="D231" s="27">
        <v>1681913</v>
      </c>
      <c r="E231" s="27">
        <v>1798337</v>
      </c>
      <c r="F231" s="27">
        <v>1994962.9739999999</v>
      </c>
      <c r="G231" s="27">
        <v>1965407.382</v>
      </c>
      <c r="H231" s="27">
        <v>2049771.504</v>
      </c>
      <c r="I231" s="27">
        <v>505261.56</v>
      </c>
      <c r="J231" s="27">
        <v>503747.30800000002</v>
      </c>
      <c r="K231" s="27">
        <v>416572.52100000001</v>
      </c>
      <c r="L231" s="27">
        <v>392422.93199999997</v>
      </c>
      <c r="M231" s="27">
        <v>420633.11900000001</v>
      </c>
      <c r="N231" s="27">
        <v>453631.13799999998</v>
      </c>
      <c r="O231" s="27">
        <v>496440.45299999998</v>
      </c>
      <c r="P231" s="27">
        <v>476643.51799999998</v>
      </c>
      <c r="Q231" s="27"/>
      <c r="R231" s="27">
        <v>1592732.0020000001</v>
      </c>
      <c r="S231" s="25">
        <f>BN231</f>
        <v>1626153.625</v>
      </c>
      <c r="T231" s="27">
        <v>1621960.3149999999</v>
      </c>
      <c r="U231" s="25">
        <f>E231</f>
        <v>1798337</v>
      </c>
      <c r="V231" s="40">
        <v>1754144.0689999999</v>
      </c>
      <c r="W231" s="6">
        <f>BO231</f>
        <v>1788284</v>
      </c>
      <c r="X231" s="40">
        <v>1749361.43</v>
      </c>
      <c r="Y231" s="6">
        <f t="shared" si="824"/>
        <v>1994962.9739999999</v>
      </c>
      <c r="Z231" s="40">
        <v>1916806.0079999999</v>
      </c>
      <c r="AA231" s="6">
        <f>BP231</f>
        <v>1899650.794</v>
      </c>
      <c r="AB231" s="40">
        <v>1846208.4480000001</v>
      </c>
      <c r="AC231" s="6">
        <f>H231</f>
        <v>2049771.504</v>
      </c>
      <c r="AD231" s="40">
        <v>433504.11099999998</v>
      </c>
      <c r="AE231" s="6">
        <f>BQ231</f>
        <v>413789.005</v>
      </c>
      <c r="AF231" s="40">
        <v>376016.07799999998</v>
      </c>
      <c r="AG231" s="6">
        <f>J231</f>
        <v>503747.30800000002</v>
      </c>
      <c r="AH231" s="40">
        <v>415943.74599999998</v>
      </c>
      <c r="AI231" s="6">
        <f>BR231</f>
        <v>353958.76699999999</v>
      </c>
      <c r="AJ231" s="40">
        <v>328842.83</v>
      </c>
      <c r="AK231" s="25">
        <f>K231</f>
        <v>416572.52100000001</v>
      </c>
      <c r="AL231" s="40">
        <v>345478.30800000002</v>
      </c>
      <c r="AM231" s="6">
        <f>BS231</f>
        <v>337908.77799999999</v>
      </c>
      <c r="AN231" s="40">
        <v>346531.80699999997</v>
      </c>
      <c r="AO231" s="25">
        <f>L231</f>
        <v>392422.93199999997</v>
      </c>
      <c r="AP231" s="40">
        <v>370417.79200000002</v>
      </c>
      <c r="AQ231" s="6">
        <f>BT231</f>
        <v>425609.45600000001</v>
      </c>
      <c r="AR231" s="40">
        <v>427423.11300000001</v>
      </c>
      <c r="AS231" s="6">
        <f t="shared" si="825"/>
        <v>420633.11900000001</v>
      </c>
      <c r="AT231" s="40">
        <v>340535.00300000003</v>
      </c>
      <c r="AU231" s="6">
        <f>BU231</f>
        <v>355615.70899999997</v>
      </c>
      <c r="AV231" s="40">
        <v>382213.571</v>
      </c>
      <c r="AW231" s="6">
        <f t="shared" si="826"/>
        <v>453631.13799999998</v>
      </c>
      <c r="AX231" s="40">
        <v>468481.89500000002</v>
      </c>
      <c r="AY231" s="6">
        <f>BV231</f>
        <v>633228.701</v>
      </c>
      <c r="AZ231" s="40">
        <v>418042.93599999999</v>
      </c>
      <c r="BA231" s="6">
        <f t="shared" si="827"/>
        <v>496440.45299999998</v>
      </c>
      <c r="BB231" s="27">
        <v>433030.94400000002</v>
      </c>
      <c r="BC231" s="6">
        <f>BW231</f>
        <v>435560.62400000001</v>
      </c>
      <c r="BD231" s="40">
        <v>423888.15899999999</v>
      </c>
      <c r="BE231" s="6">
        <f t="shared" si="828"/>
        <v>476643.51799999998</v>
      </c>
      <c r="BF231" s="40">
        <v>408191.66700000002</v>
      </c>
      <c r="BG231" s="142"/>
      <c r="BH231" s="27"/>
      <c r="BI231" s="27"/>
      <c r="BJ231" s="27"/>
      <c r="BK231" s="6"/>
      <c r="BL231" s="40">
        <v>433504.11099999998</v>
      </c>
      <c r="BM231" s="40"/>
      <c r="BN231" s="40">
        <v>1626153.625</v>
      </c>
      <c r="BO231" s="40">
        <v>1788284</v>
      </c>
      <c r="BP231" s="40">
        <v>1899650.794</v>
      </c>
      <c r="BQ231" s="40">
        <v>413789.005</v>
      </c>
      <c r="BR231" s="40">
        <v>353958.76699999999</v>
      </c>
      <c r="BS231" s="40">
        <v>337908.77799999999</v>
      </c>
      <c r="BT231" s="40">
        <v>425609.45600000001</v>
      </c>
      <c r="BU231" s="40">
        <v>355615.70899999997</v>
      </c>
      <c r="BV231" s="27">
        <v>633228.701</v>
      </c>
      <c r="BW231" s="27">
        <v>435560.62400000001</v>
      </c>
      <c r="BX231" s="27"/>
      <c r="BY231" s="27"/>
      <c r="BZ231" s="27"/>
      <c r="CA231" s="27"/>
      <c r="CC231" s="27">
        <v>1436659.548</v>
      </c>
      <c r="CD231" s="27">
        <v>1509013.89</v>
      </c>
      <c r="CE231" s="27">
        <v>1496687.7830000001</v>
      </c>
      <c r="CJ231" s="6"/>
      <c r="CK231" s="6"/>
      <c r="CL231" s="6"/>
    </row>
    <row r="232" spans="1:90" s="5" customFormat="1" ht="13.5" customHeight="1">
      <c r="B232" s="7" t="s">
        <v>436</v>
      </c>
      <c r="C232" s="27">
        <v>966062</v>
      </c>
      <c r="D232" s="27">
        <v>1020372</v>
      </c>
      <c r="E232" s="27">
        <v>1047625</v>
      </c>
      <c r="F232" s="27">
        <v>1115612.5490000001</v>
      </c>
      <c r="G232" s="27">
        <v>1085467.3289999999</v>
      </c>
      <c r="H232" s="27">
        <v>1129345.048</v>
      </c>
      <c r="I232" s="27">
        <v>1019436.064</v>
      </c>
      <c r="J232" s="27">
        <v>1109205.9790000001</v>
      </c>
      <c r="K232" s="27">
        <v>1145100.9269999999</v>
      </c>
      <c r="L232" s="27">
        <v>1296379.06</v>
      </c>
      <c r="M232" s="27">
        <v>1051701.469</v>
      </c>
      <c r="N232" s="27">
        <v>1268072.192</v>
      </c>
      <c r="O232" s="27">
        <v>1603267.517</v>
      </c>
      <c r="P232" s="27">
        <v>1540892.0789999999</v>
      </c>
      <c r="Q232" s="27"/>
      <c r="R232" s="27">
        <v>953261.63399999996</v>
      </c>
      <c r="S232" s="25">
        <f>BN232</f>
        <v>801738.90700000001</v>
      </c>
      <c r="T232" s="27">
        <v>809517.88100000005</v>
      </c>
      <c r="U232" s="25">
        <f>E232</f>
        <v>1047625</v>
      </c>
      <c r="V232" s="40">
        <v>987946.69</v>
      </c>
      <c r="W232" s="6">
        <f>BO232</f>
        <v>885182</v>
      </c>
      <c r="X232" s="40">
        <v>885263.63199999998</v>
      </c>
      <c r="Y232" s="6">
        <f t="shared" si="824"/>
        <v>1115612.5490000001</v>
      </c>
      <c r="Z232" s="40">
        <v>1044420.617</v>
      </c>
      <c r="AA232" s="6">
        <f>BP232</f>
        <v>889152.50800000003</v>
      </c>
      <c r="AB232" s="40">
        <v>885706.56799999997</v>
      </c>
      <c r="AC232" s="6">
        <f>H232</f>
        <v>1129345.048</v>
      </c>
      <c r="AD232" s="40">
        <v>989139.22699999996</v>
      </c>
      <c r="AE232" s="6">
        <f>BQ232</f>
        <v>783415.17200000002</v>
      </c>
      <c r="AF232" s="40">
        <v>793589.42500000005</v>
      </c>
      <c r="AG232" s="6">
        <f>J232</f>
        <v>1109205.9790000001</v>
      </c>
      <c r="AH232" s="40">
        <v>1007650.875</v>
      </c>
      <c r="AI232" s="6">
        <f>BR232</f>
        <v>961571.77599999995</v>
      </c>
      <c r="AJ232" s="40">
        <v>1060411.642</v>
      </c>
      <c r="AK232" s="6">
        <f>K232</f>
        <v>1145100.9269999999</v>
      </c>
      <c r="AL232" s="40">
        <v>1056650.213</v>
      </c>
      <c r="AM232" s="6">
        <f>BS232</f>
        <v>1047038.7830000001</v>
      </c>
      <c r="AN232" s="40">
        <v>1117773.328</v>
      </c>
      <c r="AO232" s="6">
        <f>L232</f>
        <v>1296379.06</v>
      </c>
      <c r="AP232" s="40">
        <v>1267720.7250000001</v>
      </c>
      <c r="AQ232" s="6">
        <f>BT232</f>
        <v>1110752.862</v>
      </c>
      <c r="AR232" s="40">
        <v>1071377.9310000001</v>
      </c>
      <c r="AS232" s="6">
        <f t="shared" si="825"/>
        <v>1051701.469</v>
      </c>
      <c r="AT232" s="40">
        <v>1127410.504</v>
      </c>
      <c r="AU232" s="6">
        <f>BU232</f>
        <v>886270.68799999997</v>
      </c>
      <c r="AV232" s="40">
        <v>1078307.8529999999</v>
      </c>
      <c r="AW232" s="6">
        <f t="shared" si="826"/>
        <v>1268072.192</v>
      </c>
      <c r="AX232" s="40">
        <v>1217484.7779999999</v>
      </c>
      <c r="AY232" s="6">
        <f>BV232</f>
        <v>1095930.0419999999</v>
      </c>
      <c r="AZ232" s="40">
        <v>1222266.8689999999</v>
      </c>
      <c r="BA232" s="6">
        <f t="shared" si="827"/>
        <v>1603267.517</v>
      </c>
      <c r="BB232" s="27">
        <v>1441396.9450000001</v>
      </c>
      <c r="BC232" s="6">
        <f>BW232</f>
        <v>1275906.6059999999</v>
      </c>
      <c r="BD232" s="40">
        <v>1428005.882</v>
      </c>
      <c r="BE232" s="6">
        <f t="shared" si="828"/>
        <v>1540892.0789999999</v>
      </c>
      <c r="BF232" s="40">
        <v>1677547.456</v>
      </c>
      <c r="BG232" s="142"/>
      <c r="BH232" s="27"/>
      <c r="BI232" s="27"/>
      <c r="BJ232" s="27"/>
      <c r="BK232" s="6"/>
      <c r="BL232" s="40">
        <v>989139.22699999996</v>
      </c>
      <c r="BM232" s="40"/>
      <c r="BN232" s="40">
        <v>801738.90700000001</v>
      </c>
      <c r="BO232" s="40">
        <v>885182</v>
      </c>
      <c r="BP232" s="40">
        <v>889152.50800000003</v>
      </c>
      <c r="BQ232" s="40">
        <v>783415.17200000002</v>
      </c>
      <c r="BR232" s="40">
        <v>961571.77599999995</v>
      </c>
      <c r="BS232" s="40">
        <v>1047038.7830000001</v>
      </c>
      <c r="BT232" s="40">
        <v>1110752.862</v>
      </c>
      <c r="BU232" s="40">
        <v>886270.68799999997</v>
      </c>
      <c r="BV232" s="27">
        <v>1095930.0419999999</v>
      </c>
      <c r="BW232" s="27">
        <v>1275906.6059999999</v>
      </c>
      <c r="BX232" s="27"/>
      <c r="BY232" s="27"/>
      <c r="BZ232" s="27"/>
      <c r="CA232" s="27"/>
      <c r="CC232" s="27">
        <v>910252.223</v>
      </c>
      <c r="CD232" s="27">
        <v>814757.51599999995</v>
      </c>
      <c r="CE232" s="27">
        <v>915666.04</v>
      </c>
      <c r="CJ232" s="6"/>
      <c r="CK232" s="6"/>
      <c r="CL232" s="6"/>
    </row>
    <row r="233" spans="1:90" s="5" customFormat="1" ht="13.5" customHeight="1">
      <c r="B233" s="5" t="s">
        <v>437</v>
      </c>
      <c r="C233" s="55">
        <f t="shared" ref="C233:I233" si="829">C230+C231-C232</f>
        <v>1522952</v>
      </c>
      <c r="D233" s="55">
        <f t="shared" si="829"/>
        <v>1835212</v>
      </c>
      <c r="E233" s="55">
        <f t="shared" si="829"/>
        <v>1957965</v>
      </c>
      <c r="F233" s="55">
        <f t="shared" si="829"/>
        <v>2117489.2080000001</v>
      </c>
      <c r="G233" s="55">
        <f t="shared" si="829"/>
        <v>2118078.8360000001</v>
      </c>
      <c r="H233" s="55">
        <f t="shared" si="829"/>
        <v>2330921.0720000002</v>
      </c>
      <c r="I233" s="55">
        <f t="shared" si="829"/>
        <v>896320.11199999996</v>
      </c>
      <c r="J233" s="55">
        <f t="shared" ref="J233:O233" si="830">J230+J231-J232</f>
        <v>727394.98399999994</v>
      </c>
      <c r="K233" s="55">
        <f t="shared" si="830"/>
        <v>432716.14100000006</v>
      </c>
      <c r="L233" s="55">
        <f t="shared" si="830"/>
        <v>963837.66299999971</v>
      </c>
      <c r="M233" s="55">
        <f t="shared" si="830"/>
        <v>1320323.878</v>
      </c>
      <c r="N233" s="55">
        <f t="shared" si="830"/>
        <v>724098.26900000009</v>
      </c>
      <c r="O233" s="55">
        <f t="shared" si="830"/>
        <v>577737.87800000003</v>
      </c>
      <c r="P233" s="55">
        <f>P230+P231-P232</f>
        <v>633093.57700000005</v>
      </c>
      <c r="Q233" s="55"/>
      <c r="R233" s="55">
        <f t="shared" ref="R233:W233" si="831">R230+R231-R232</f>
        <v>1771201.159</v>
      </c>
      <c r="S233" s="55">
        <f t="shared" si="831"/>
        <v>1959388.3299999996</v>
      </c>
      <c r="T233" s="55">
        <f t="shared" si="831"/>
        <v>1995644.1949999998</v>
      </c>
      <c r="U233" s="55">
        <f t="shared" si="831"/>
        <v>1957965</v>
      </c>
      <c r="V233" s="8">
        <f t="shared" si="831"/>
        <v>1953460.5129999998</v>
      </c>
      <c r="W233" s="8">
        <f t="shared" si="831"/>
        <v>2100107</v>
      </c>
      <c r="X233" s="8">
        <f>X230+X231-X232</f>
        <v>2103728.8509999998</v>
      </c>
      <c r="Y233" s="8">
        <f t="shared" si="824"/>
        <v>2117489.2080000001</v>
      </c>
      <c r="Z233" s="8">
        <f t="shared" ref="Z233:AE233" si="832">Z230+Z231-Z232</f>
        <v>2097936.3560000001</v>
      </c>
      <c r="AA233" s="8">
        <f t="shared" si="832"/>
        <v>2271349.5160000003</v>
      </c>
      <c r="AB233" s="8">
        <f t="shared" si="832"/>
        <v>2286325.523</v>
      </c>
      <c r="AC233" s="8">
        <f t="shared" si="832"/>
        <v>2330921.0720000002</v>
      </c>
      <c r="AD233" s="8">
        <f t="shared" si="832"/>
        <v>808617.28</v>
      </c>
      <c r="AE233" s="8">
        <f t="shared" si="832"/>
        <v>961296.15999999992</v>
      </c>
      <c r="AF233" s="8">
        <f t="shared" ref="AF233:AK233" si="833">AF230+AF231-AF232</f>
        <v>944695.64800000004</v>
      </c>
      <c r="AG233" s="8">
        <f t="shared" si="833"/>
        <v>727394.98399999994</v>
      </c>
      <c r="AH233" s="8">
        <f t="shared" si="833"/>
        <v>832094.14400000009</v>
      </c>
      <c r="AI233" s="8">
        <f t="shared" si="833"/>
        <v>784242.38399999996</v>
      </c>
      <c r="AJ233" s="8">
        <f t="shared" si="833"/>
        <v>593504.74400000018</v>
      </c>
      <c r="AK233" s="8">
        <f t="shared" si="833"/>
        <v>432716.14100000006</v>
      </c>
      <c r="AL233" s="8">
        <f t="shared" ref="AL233:AQ233" si="834">AL230+AL231-AL232</f>
        <v>557852.23200000008</v>
      </c>
      <c r="AM233" s="8">
        <f t="shared" si="834"/>
        <v>609770.33999999985</v>
      </c>
      <c r="AN233" s="8">
        <f t="shared" si="834"/>
        <v>900222.09300000011</v>
      </c>
      <c r="AO233" s="8">
        <f t="shared" si="834"/>
        <v>963837.66299999971</v>
      </c>
      <c r="AP233" s="8">
        <f t="shared" si="834"/>
        <v>1174766.5759999999</v>
      </c>
      <c r="AQ233" s="8">
        <f t="shared" si="834"/>
        <v>1481574.7679999999</v>
      </c>
      <c r="AR233" s="8">
        <f>AR230+AR231-AR232</f>
        <v>1574560.0019999996</v>
      </c>
      <c r="AS233" s="8">
        <f t="shared" si="825"/>
        <v>1320323.878</v>
      </c>
      <c r="AT233" s="8">
        <f>AT230+AT231-AT232</f>
        <v>1013368.939</v>
      </c>
      <c r="AU233" s="8">
        <f>AU230+AU231-AU232</f>
        <v>1165347.9130000002</v>
      </c>
      <c r="AV233" s="8">
        <f>AV230+AV231-AV232</f>
        <v>1010723.8200000001</v>
      </c>
      <c r="AW233" s="8">
        <f t="shared" si="826"/>
        <v>724098.26900000009</v>
      </c>
      <c r="AX233" s="8">
        <f>AX230+AX231-AX232</f>
        <v>847248.65600000019</v>
      </c>
      <c r="AY233" s="8">
        <f>AY230+AY231-AY232</f>
        <v>1087437.9310000003</v>
      </c>
      <c r="AZ233" s="8">
        <f>AZ230+AZ231-AZ232</f>
        <v>922394.79499999993</v>
      </c>
      <c r="BA233" s="8">
        <f t="shared" si="827"/>
        <v>577737.87800000003</v>
      </c>
      <c r="BB233" s="8">
        <f>BB230+BB231-BB232</f>
        <v>776639.17599999974</v>
      </c>
      <c r="BC233" s="8">
        <f>BC230+BC231-BC232</f>
        <v>943344.99799999991</v>
      </c>
      <c r="BD233" s="8">
        <f>BD230+BD231-BD232</f>
        <v>966673.92100000032</v>
      </c>
      <c r="BE233" s="8">
        <f t="shared" si="828"/>
        <v>633093.57700000005</v>
      </c>
      <c r="BF233" s="8">
        <f>BF230+BF231-BF232</f>
        <v>486726.00800000015</v>
      </c>
      <c r="BG233" s="142"/>
      <c r="BH233" s="55"/>
      <c r="BI233" s="55"/>
      <c r="BJ233" s="55"/>
      <c r="BK233" s="8"/>
      <c r="BL233" s="8">
        <f>BL230+BL231-BL232</f>
        <v>808617.28</v>
      </c>
      <c r="BM233" s="8"/>
      <c r="BN233" s="8">
        <f t="shared" ref="BN233:BS233" si="835">BN230+BN231-BN232</f>
        <v>1959388.3299999996</v>
      </c>
      <c r="BO233" s="497">
        <f t="shared" si="835"/>
        <v>2100107</v>
      </c>
      <c r="BP233" s="497">
        <f t="shared" si="835"/>
        <v>2271349.5160000003</v>
      </c>
      <c r="BQ233" s="497">
        <f t="shared" si="835"/>
        <v>961296.15999999992</v>
      </c>
      <c r="BR233" s="497">
        <f t="shared" si="835"/>
        <v>784242.38399999996</v>
      </c>
      <c r="BS233" s="497">
        <f t="shared" si="835"/>
        <v>609770.33999999985</v>
      </c>
      <c r="BT233" s="497">
        <f>BT230+BT231-BT232</f>
        <v>1481574.7679999999</v>
      </c>
      <c r="BU233" s="497">
        <f>BU230+BU231-BU232</f>
        <v>1165347.9130000002</v>
      </c>
      <c r="BV233" s="497">
        <f>BV230+BV231-BV232</f>
        <v>1087437.9310000003</v>
      </c>
      <c r="BW233" s="497">
        <f>BW230+BW231-BW232</f>
        <v>943344.99799999991</v>
      </c>
      <c r="BX233" s="339"/>
      <c r="BY233" s="339"/>
      <c r="BZ233" s="339"/>
      <c r="CA233" s="339"/>
      <c r="CC233" s="121">
        <f>CC230+CC231-CC232</f>
        <v>1550290.7469999997</v>
      </c>
      <c r="CD233" s="121">
        <f>CD230+CD231-CD232</f>
        <v>1718513.6660000002</v>
      </c>
      <c r="CE233" s="121">
        <f>CE230+CE231-CE232</f>
        <v>1764898.4029999999</v>
      </c>
      <c r="CJ233" s="8"/>
      <c r="CK233" s="8"/>
      <c r="CL233" s="8"/>
    </row>
    <row r="234" spans="1:90" s="49" customFormat="1" ht="13.5" customHeight="1">
      <c r="B234" s="23" t="s">
        <v>438</v>
      </c>
      <c r="C234" s="39">
        <f>+C233/C201</f>
        <v>0.21637820718292847</v>
      </c>
      <c r="D234" s="39">
        <f>+D233/D201</f>
        <v>0.23670352038821427</v>
      </c>
      <c r="E234" s="39">
        <f>+E233/E201</f>
        <v>0.24789695982069859</v>
      </c>
      <c r="F234" s="39">
        <f t="shared" ref="F234:K234" si="836">+F233/F201</f>
        <v>0.25689437558414552</v>
      </c>
      <c r="G234" s="39">
        <f t="shared" si="836"/>
        <v>0.25799234412706207</v>
      </c>
      <c r="H234" s="39">
        <f t="shared" si="836"/>
        <v>0.2747568602849913</v>
      </c>
      <c r="I234" s="39">
        <f t="shared" si="836"/>
        <v>0.11236448886426553</v>
      </c>
      <c r="J234" s="39">
        <f t="shared" si="836"/>
        <v>9.0319426633177477E-2</v>
      </c>
      <c r="K234" s="39">
        <f t="shared" si="836"/>
        <v>5.2253777439448222E-2</v>
      </c>
      <c r="L234" s="39">
        <f>+L233/L201</f>
        <v>9.3256108069771554E-2</v>
      </c>
      <c r="M234" s="39">
        <f>+M233/M201</f>
        <v>0.12621795091873267</v>
      </c>
      <c r="N234" s="39">
        <f>+N233/N201</f>
        <v>7.7401324895381249E-2</v>
      </c>
      <c r="O234" s="39">
        <f>+O233/O201</f>
        <v>5.5970938797544695E-2</v>
      </c>
      <c r="P234" s="39">
        <f>+P233/P201</f>
        <v>5.5816614141409746E-2</v>
      </c>
      <c r="Q234" s="331"/>
      <c r="R234" s="39">
        <f t="shared" ref="R234:W234" si="837">+R233/R201</f>
        <v>0.22634518835958159</v>
      </c>
      <c r="S234" s="39">
        <f t="shared" si="837"/>
        <v>0.24744986208919112</v>
      </c>
      <c r="T234" s="39">
        <f t="shared" si="837"/>
        <v>0.25114824865903462</v>
      </c>
      <c r="U234" s="39">
        <f t="shared" si="837"/>
        <v>0.24789695982069859</v>
      </c>
      <c r="V234" s="39">
        <f t="shared" si="837"/>
        <v>0.24538684078034509</v>
      </c>
      <c r="W234" s="39">
        <f t="shared" si="837"/>
        <v>0.26162664658650747</v>
      </c>
      <c r="X234" s="39">
        <f t="shared" ref="X234:AC234" si="838">+X233/X201</f>
        <v>0.25973403487477714</v>
      </c>
      <c r="Y234" s="39">
        <f t="shared" si="838"/>
        <v>0.25689437558414552</v>
      </c>
      <c r="Z234" s="39">
        <f t="shared" si="838"/>
        <v>0.25273692970755995</v>
      </c>
      <c r="AA234" s="39">
        <f t="shared" si="838"/>
        <v>0.27064865995240023</v>
      </c>
      <c r="AB234" s="39">
        <f t="shared" si="838"/>
        <v>0.27041551044022144</v>
      </c>
      <c r="AC234" s="39">
        <f t="shared" si="838"/>
        <v>0.2747568602849913</v>
      </c>
      <c r="AD234" s="39">
        <f t="shared" ref="AD234:AI234" si="839">+AD233/AD201</f>
        <v>9.487099365931155E-2</v>
      </c>
      <c r="AE234" s="39">
        <f t="shared" si="839"/>
        <v>0.11260613768871633</v>
      </c>
      <c r="AF234" s="39">
        <f t="shared" si="839"/>
        <v>0.11061710021396177</v>
      </c>
      <c r="AG234" s="39">
        <f t="shared" si="839"/>
        <v>9.0319426633177477E-2</v>
      </c>
      <c r="AH234" s="39">
        <f t="shared" si="839"/>
        <v>0.10382513019391436</v>
      </c>
      <c r="AI234" s="39">
        <f t="shared" si="839"/>
        <v>0.10486396785221756</v>
      </c>
      <c r="AJ234" s="39">
        <f t="shared" ref="AJ234:AO234" si="840">+AJ233/AJ201</f>
        <v>7.5948061844941211E-2</v>
      </c>
      <c r="AK234" s="39">
        <f t="shared" si="840"/>
        <v>5.2253777439448215E-2</v>
      </c>
      <c r="AL234" s="39">
        <f t="shared" si="840"/>
        <v>6.4780442443860331E-2</v>
      </c>
      <c r="AM234" s="39">
        <f t="shared" si="840"/>
        <v>6.3892751332277606E-2</v>
      </c>
      <c r="AN234" s="39">
        <f t="shared" si="840"/>
        <v>9.0500584256809638E-2</v>
      </c>
      <c r="AO234" s="39">
        <f t="shared" si="840"/>
        <v>9.3256108069771554E-2</v>
      </c>
      <c r="AP234" s="39">
        <f t="shared" ref="AP234:AU234" si="841">+AP233/AP201</f>
        <v>0.11016756957329098</v>
      </c>
      <c r="AQ234" s="39">
        <f t="shared" si="841"/>
        <v>0.13602348758000629</v>
      </c>
      <c r="AR234" s="39">
        <f t="shared" si="841"/>
        <v>0.1462894713334629</v>
      </c>
      <c r="AS234" s="39">
        <f t="shared" si="841"/>
        <v>0.12621795091873267</v>
      </c>
      <c r="AT234" s="39">
        <f t="shared" si="841"/>
        <v>9.9454751749191148E-2</v>
      </c>
      <c r="AU234" s="39">
        <f t="shared" si="841"/>
        <v>0.11903481334902737</v>
      </c>
      <c r="AV234" s="39">
        <f t="shared" ref="AV234:BA234" si="842">+AV233/AV201</f>
        <v>0.10634436754492142</v>
      </c>
      <c r="AW234" s="39">
        <f t="shared" si="842"/>
        <v>7.7401324895381249E-2</v>
      </c>
      <c r="AX234" s="39">
        <f t="shared" si="842"/>
        <v>8.9439073587388007E-2</v>
      </c>
      <c r="AY234" s="39">
        <f t="shared" si="842"/>
        <v>0.11212682976246106</v>
      </c>
      <c r="AZ234" s="39">
        <f t="shared" si="842"/>
        <v>9.322013598740933E-2</v>
      </c>
      <c r="BA234" s="39">
        <f t="shared" si="842"/>
        <v>5.5970938797544695E-2</v>
      </c>
      <c r="BB234" s="39">
        <f>+BB233/BB201</f>
        <v>7.3387218192324841E-2</v>
      </c>
      <c r="BC234" s="39">
        <f>+BC233/BC201</f>
        <v>8.7097253443113601E-2</v>
      </c>
      <c r="BD234" s="39">
        <f>+BD233/BD201</f>
        <v>8.7416262640512082E-2</v>
      </c>
      <c r="BE234" s="39">
        <f>+BE233/BE201</f>
        <v>5.5816614141409746E-2</v>
      </c>
      <c r="BF234" s="39">
        <f>+BF233/BF201</f>
        <v>4.2489404205764199E-2</v>
      </c>
      <c r="BG234" s="142"/>
      <c r="BH234" s="39"/>
      <c r="BI234" s="39"/>
      <c r="BJ234" s="39"/>
      <c r="BK234" s="39"/>
      <c r="BL234" s="39">
        <f>+BL233/BL201</f>
        <v>0.19639689184296652</v>
      </c>
      <c r="BM234" s="331"/>
      <c r="BN234" s="39">
        <f t="shared" ref="BN234:BS234" si="843">+BN233/BN201</f>
        <v>0.24744986208919112</v>
      </c>
      <c r="BO234" s="39">
        <f t="shared" si="843"/>
        <v>0.26162664658650742</v>
      </c>
      <c r="BP234" s="39">
        <f t="shared" si="843"/>
        <v>0.27064865995240023</v>
      </c>
      <c r="BQ234" s="39">
        <f t="shared" si="843"/>
        <v>0.11260613768871633</v>
      </c>
      <c r="BR234" s="39">
        <f t="shared" si="843"/>
        <v>0.10486396785221756</v>
      </c>
      <c r="BS234" s="39">
        <f t="shared" si="843"/>
        <v>6.3892751332277606E-2</v>
      </c>
      <c r="BT234" s="39">
        <f>+BT233/BT201</f>
        <v>0.13602348758000629</v>
      </c>
      <c r="BU234" s="39">
        <f>+BU233/BU201</f>
        <v>0.11903481334902734</v>
      </c>
      <c r="BV234" s="39">
        <f>+BV233/BV201</f>
        <v>0.11212682976246106</v>
      </c>
      <c r="BW234" s="39">
        <f>+BW233/BW201</f>
        <v>8.7097253443113601E-2</v>
      </c>
      <c r="BX234" s="331"/>
      <c r="BY234" s="331"/>
      <c r="BZ234" s="331"/>
      <c r="CA234" s="331"/>
      <c r="CJ234" s="6"/>
      <c r="CK234" s="6"/>
      <c r="CL234" s="6"/>
    </row>
    <row r="235" spans="1:90" ht="13.5" customHeight="1"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V235" s="37"/>
      <c r="W235" s="37"/>
      <c r="AA235" s="37"/>
      <c r="AE235" s="37"/>
      <c r="AI235" s="37"/>
      <c r="AM235" s="37"/>
      <c r="AQ235" s="37"/>
      <c r="AU235" s="37"/>
      <c r="AY235" s="37"/>
      <c r="BC235" s="37"/>
      <c r="BG235" s="142"/>
      <c r="CJ235" s="6"/>
      <c r="CK235" s="6"/>
      <c r="CL235" s="6"/>
    </row>
    <row r="236" spans="1:90" s="49" customFormat="1" ht="13.5" customHeight="1">
      <c r="B236" s="491" t="s">
        <v>439</v>
      </c>
      <c r="C236" s="492">
        <f>IFERROR((C230/-C11)*365,"-")</f>
        <v>79.915979641096982</v>
      </c>
      <c r="D236" s="492">
        <f t="shared" ref="D236:M236" si="844">IFERROR((D230/-D11)*365,"-")</f>
        <v>84.028806238565323</v>
      </c>
      <c r="E236" s="492">
        <f t="shared" si="844"/>
        <v>85.055233589750671</v>
      </c>
      <c r="F236" s="492">
        <f t="shared" si="844"/>
        <v>84.308017753236939</v>
      </c>
      <c r="G236" s="492">
        <f t="shared" si="844"/>
        <v>85.322091517452321</v>
      </c>
      <c r="H236" s="492">
        <f t="shared" si="844"/>
        <v>93.460342047824241</v>
      </c>
      <c r="I236" s="492">
        <f t="shared" si="844"/>
        <v>97.955555825211221</v>
      </c>
      <c r="J236" s="492">
        <f t="shared" si="844"/>
        <v>89.542664035128197</v>
      </c>
      <c r="K236" s="492">
        <f t="shared" si="844"/>
        <v>73.195260280567311</v>
      </c>
      <c r="L236" s="492">
        <f t="shared" si="844"/>
        <v>96.730739545900278</v>
      </c>
      <c r="M236" s="492">
        <f t="shared" si="844"/>
        <v>98.043398832038619</v>
      </c>
      <c r="N236" s="492">
        <f>IFERROR((N230/-N11)*365,"-")</f>
        <v>87.422897637107653</v>
      </c>
      <c r="O236" s="492">
        <f>IFERROR((O230/-O11)*365,"-")</f>
        <v>89.83040188178181</v>
      </c>
      <c r="P236" s="492">
        <f>IFERROR((P230/-P11)*365,"-")</f>
        <v>84.053872693638596</v>
      </c>
      <c r="Q236" s="493"/>
      <c r="R236" s="492">
        <f>IFERROR((R230/-R11)*(365/4),"-")</f>
        <v>81.549433889837374</v>
      </c>
      <c r="S236" s="492">
        <f t="shared" ref="S236:AS236" si="845">IFERROR((S230/-S11)*(365/4),"-")</f>
        <v>80.973412459319661</v>
      </c>
      <c r="T236" s="492">
        <f t="shared" si="845"/>
        <v>87.474247235950941</v>
      </c>
      <c r="U236" s="492">
        <f t="shared" si="845"/>
        <v>78.626604941318817</v>
      </c>
      <c r="V236" s="492">
        <f t="shared" si="845"/>
        <v>84.568066987252251</v>
      </c>
      <c r="W236" s="492">
        <f t="shared" si="845"/>
        <v>83.684703229989154</v>
      </c>
      <c r="X236" s="492">
        <f t="shared" si="845"/>
        <v>88.299188343547641</v>
      </c>
      <c r="Y236" s="492">
        <f t="shared" si="845"/>
        <v>75.672960002188731</v>
      </c>
      <c r="Z236" s="492">
        <f t="shared" si="845"/>
        <v>85.454024138741474</v>
      </c>
      <c r="AA236" s="492">
        <f t="shared" si="845"/>
        <v>84.563718088014497</v>
      </c>
      <c r="AB236" s="492">
        <f t="shared" si="845"/>
        <v>91.847920337842467</v>
      </c>
      <c r="AC236" s="492">
        <f t="shared" si="845"/>
        <v>84.557374668656678</v>
      </c>
      <c r="AD236" s="492">
        <f t="shared" si="845"/>
        <v>94.09389168439786</v>
      </c>
      <c r="AE236" s="492">
        <f t="shared" si="845"/>
        <v>91.250478767303179</v>
      </c>
      <c r="AF236" s="492">
        <f t="shared" si="845"/>
        <v>97.327376592755527</v>
      </c>
      <c r="AG236" s="492">
        <f t="shared" si="845"/>
        <v>80.977723308254184</v>
      </c>
      <c r="AH236" s="492">
        <f t="shared" si="845"/>
        <v>99.860726694832309</v>
      </c>
      <c r="AI236" s="492">
        <f t="shared" si="845"/>
        <v>119.37749828443518</v>
      </c>
      <c r="AJ236" s="492">
        <f t="shared" si="845"/>
        <v>74.942439752850817</v>
      </c>
      <c r="AK236" s="492">
        <f t="shared" si="845"/>
        <v>58.466434258353253</v>
      </c>
      <c r="AL236" s="492">
        <f t="shared" si="845"/>
        <v>75.478003730382682</v>
      </c>
      <c r="AM236" s="492">
        <f t="shared" si="845"/>
        <v>72.790394635844649</v>
      </c>
      <c r="AN236" s="492">
        <f t="shared" si="845"/>
        <v>85.083190924570147</v>
      </c>
      <c r="AO236" s="492">
        <f t="shared" si="845"/>
        <v>82.428893001949845</v>
      </c>
      <c r="AP236" s="492">
        <f t="shared" si="845"/>
        <v>105.24115345277916</v>
      </c>
      <c r="AQ236" s="492">
        <f t="shared" si="845"/>
        <v>109.87333967139752</v>
      </c>
      <c r="AR236" s="492">
        <f t="shared" si="845"/>
        <v>116.55873032542033</v>
      </c>
      <c r="AS236" s="492">
        <f t="shared" si="845"/>
        <v>92.172738517626627</v>
      </c>
      <c r="AT236" s="492">
        <f t="shared" ref="AT236:AY236" si="846">IFERROR((AT230/-AT11)*(365/4),"-")</f>
        <v>101.76689837890505</v>
      </c>
      <c r="AU236" s="492">
        <f t="shared" si="846"/>
        <v>101.85166316887926</v>
      </c>
      <c r="AV236" s="492">
        <f t="shared" si="846"/>
        <v>102.26590947591674</v>
      </c>
      <c r="AW236" s="492">
        <f t="shared" si="846"/>
        <v>79.454911988931968</v>
      </c>
      <c r="AX236" s="492">
        <f t="shared" si="846"/>
        <v>90.041867475159876</v>
      </c>
      <c r="AY236" s="492">
        <f t="shared" si="846"/>
        <v>87.041830904472718</v>
      </c>
      <c r="AZ236" s="492">
        <f t="shared" ref="AZ236:BE236" si="847">IFERROR((AZ230/-AZ11)*(365/4),"-")</f>
        <v>98.90354737595375</v>
      </c>
      <c r="BA236" s="492">
        <f t="shared" si="847"/>
        <v>76.514469569482316</v>
      </c>
      <c r="BB236" s="492">
        <f t="shared" si="847"/>
        <v>93.77115700583407</v>
      </c>
      <c r="BC236" s="492">
        <f t="shared" si="847"/>
        <v>93.040473095781536</v>
      </c>
      <c r="BD236" s="492">
        <f t="shared" si="847"/>
        <v>104.41367366574275</v>
      </c>
      <c r="BE236" s="492">
        <f t="shared" si="847"/>
        <v>71.6411455504483</v>
      </c>
      <c r="BF236" s="492">
        <f>IFERROR((BF230/-BF11)*(365/4),"-")</f>
        <v>88.917312285219694</v>
      </c>
      <c r="BG236" s="494"/>
      <c r="BL236" s="495">
        <f>IFERROR((BL230/-BL11)*(365/4),"-")</f>
        <v>94.09389168439786</v>
      </c>
      <c r="BM236" s="495"/>
      <c r="BN236" s="495">
        <f>IFERROR((BN230/-BN11)*(365/2),"-")</f>
        <v>81.376243546306739</v>
      </c>
      <c r="BO236" s="495">
        <f t="shared" ref="BO236:BT236" si="848">IFERROR((BO230/-BO11)*(365/2),"-")</f>
        <v>84.46597621916824</v>
      </c>
      <c r="BP236" s="495">
        <f t="shared" si="848"/>
        <v>86.206996636212637</v>
      </c>
      <c r="BQ236" s="495">
        <f t="shared" si="848"/>
        <v>91.521970484264457</v>
      </c>
      <c r="BR236" s="495">
        <f t="shared" si="848"/>
        <v>107.40806870697033</v>
      </c>
      <c r="BS236" s="495">
        <f t="shared" si="848"/>
        <v>75.511754878161526</v>
      </c>
      <c r="BT236" s="495">
        <f t="shared" si="848"/>
        <v>109.96079671177404</v>
      </c>
      <c r="BU236" s="495">
        <f>IFERROR((BU230/-BU11)*(365/2),"-")</f>
        <v>98.772566807280668</v>
      </c>
      <c r="BV236" s="495">
        <f>IFERROR((BV230/-BV11)*(365/2),"-")</f>
        <v>87.240835407004184</v>
      </c>
      <c r="BW236" s="495">
        <f>IFERROR((BW230/-BW11)*(365/2),"-")</f>
        <v>93.370123752195667</v>
      </c>
      <c r="CJ236" s="496"/>
      <c r="CK236" s="496"/>
      <c r="CL236" s="496"/>
    </row>
    <row r="237" spans="1:90" s="49" customFormat="1" ht="13.5" customHeight="1">
      <c r="B237" s="491" t="s">
        <v>440</v>
      </c>
      <c r="C237" s="492">
        <f>IFERROR((C231/C8)*365,"-")</f>
        <v>76.222387276496306</v>
      </c>
      <c r="D237" s="492">
        <f t="shared" ref="D237:M237" si="849">IFERROR((D231/D8)*365,"-")</f>
        <v>79.179885349292874</v>
      </c>
      <c r="E237" s="492">
        <f t="shared" si="849"/>
        <v>83.105586865481555</v>
      </c>
      <c r="F237" s="492">
        <f t="shared" si="849"/>
        <v>88.340752546831993</v>
      </c>
      <c r="G237" s="492">
        <f t="shared" si="849"/>
        <v>87.37961868813386</v>
      </c>
      <c r="H237" s="492">
        <f t="shared" si="849"/>
        <v>88.189989858373806</v>
      </c>
      <c r="I237" s="492">
        <f t="shared" si="849"/>
        <v>23.119320321843812</v>
      </c>
      <c r="J237" s="492">
        <f t="shared" si="849"/>
        <v>22.830555193513447</v>
      </c>
      <c r="K237" s="492">
        <f t="shared" si="849"/>
        <v>18.361073909880361</v>
      </c>
      <c r="L237" s="492">
        <f t="shared" si="849"/>
        <v>13.858640741674094</v>
      </c>
      <c r="M237" s="492">
        <f t="shared" si="849"/>
        <v>14.676989265650796</v>
      </c>
      <c r="N237" s="492">
        <f>IFERROR((N231/N8)*365,"-")</f>
        <v>17.698913529200585</v>
      </c>
      <c r="O237" s="492">
        <f>IFERROR((O231/O8)*365,"-")</f>
        <v>17.55463391512864</v>
      </c>
      <c r="P237" s="492">
        <f>IFERROR((P231/P8)*365,"-")</f>
        <v>15.338473374579321</v>
      </c>
      <c r="Q237" s="493"/>
      <c r="R237" s="492">
        <f>IFERROR((R231/R8)*(365/4),"-")</f>
        <v>76.914206992819331</v>
      </c>
      <c r="S237" s="492">
        <f t="shared" ref="S237:AS237" si="850">IFERROR((S231/S8)*(365/4),"-")</f>
        <v>76.143005024039397</v>
      </c>
      <c r="T237" s="492">
        <f t="shared" si="850"/>
        <v>79.165182675980319</v>
      </c>
      <c r="U237" s="492">
        <f t="shared" si="850"/>
        <v>74.918373382353593</v>
      </c>
      <c r="V237" s="492">
        <f t="shared" si="850"/>
        <v>81.9994523813439</v>
      </c>
      <c r="W237" s="492">
        <f t="shared" si="850"/>
        <v>80.976537725618755</v>
      </c>
      <c r="X237" s="492">
        <f t="shared" si="850"/>
        <v>82.198638931712182</v>
      </c>
      <c r="Y237" s="492">
        <f t="shared" si="850"/>
        <v>78.013212521749196</v>
      </c>
      <c r="Z237" s="492">
        <f t="shared" si="850"/>
        <v>87.008023665383973</v>
      </c>
      <c r="AA237" s="492">
        <f t="shared" si="850"/>
        <v>82.288206891162162</v>
      </c>
      <c r="AB237" s="492">
        <f t="shared" si="850"/>
        <v>84.039517040028414</v>
      </c>
      <c r="AC237" s="492">
        <f t="shared" si="850"/>
        <v>79.182058908178789</v>
      </c>
      <c r="AD237" s="492">
        <f t="shared" si="850"/>
        <v>20.528953042672704</v>
      </c>
      <c r="AE237" s="492">
        <f t="shared" si="850"/>
        <v>18.935161926977571</v>
      </c>
      <c r="AF237" s="492">
        <f t="shared" si="850"/>
        <v>18.236654249866291</v>
      </c>
      <c r="AG237" s="492">
        <f t="shared" si="850"/>
        <v>20.419360123876583</v>
      </c>
      <c r="AH237" s="492">
        <f t="shared" si="850"/>
        <v>20.106423017542593</v>
      </c>
      <c r="AI237" s="492">
        <f t="shared" si="850"/>
        <v>22.147238539049468</v>
      </c>
      <c r="AJ237" s="492">
        <f t="shared" si="850"/>
        <v>13.532439676476278</v>
      </c>
      <c r="AK237" s="492">
        <f t="shared" si="850"/>
        <v>13.987525782156014</v>
      </c>
      <c r="AL237" s="492">
        <f t="shared" si="850"/>
        <v>14.212705386473806</v>
      </c>
      <c r="AM237" s="492">
        <f t="shared" si="850"/>
        <v>12.898151582905637</v>
      </c>
      <c r="AN237" s="492">
        <f t="shared" si="850"/>
        <v>12.064984767028452</v>
      </c>
      <c r="AO237" s="492">
        <f t="shared" si="850"/>
        <v>11.529497937931994</v>
      </c>
      <c r="AP237" s="492">
        <f t="shared" si="850"/>
        <v>13.275207206284861</v>
      </c>
      <c r="AQ237" s="492">
        <f t="shared" si="850"/>
        <v>14.82782614807603</v>
      </c>
      <c r="AR237" s="492">
        <f t="shared" si="850"/>
        <v>15.650029993655197</v>
      </c>
      <c r="AS237" s="492">
        <f t="shared" si="850"/>
        <v>13.692615411921862</v>
      </c>
      <c r="AT237" s="492">
        <f t="shared" ref="AT237:AY237" si="851">IFERROR((AT231/AT8)*(365/4),"-")</f>
        <v>13.660465218108342</v>
      </c>
      <c r="AU237" s="492">
        <f t="shared" si="851"/>
        <v>14.617631137702405</v>
      </c>
      <c r="AV237" s="492">
        <f t="shared" si="851"/>
        <v>15.806929644313874</v>
      </c>
      <c r="AW237" s="492">
        <f t="shared" si="851"/>
        <v>15.596573064795029</v>
      </c>
      <c r="AX237" s="492">
        <f t="shared" si="851"/>
        <v>17.867717713545815</v>
      </c>
      <c r="AY237" s="492">
        <f t="shared" si="851"/>
        <v>23.629983528248072</v>
      </c>
      <c r="AZ237" s="492">
        <f t="shared" ref="AZ237:BE237" si="852">IFERROR((AZ231/AZ8)*(365/4),"-")</f>
        <v>15.874802413133796</v>
      </c>
      <c r="BA237" s="492">
        <f t="shared" si="852"/>
        <v>14.701473522905518</v>
      </c>
      <c r="BB237" s="492">
        <f t="shared" si="852"/>
        <v>14.893103692364289</v>
      </c>
      <c r="BC237" s="492">
        <f t="shared" si="852"/>
        <v>14.75603121869384</v>
      </c>
      <c r="BD237" s="492">
        <f t="shared" si="852"/>
        <v>14.70546844688166</v>
      </c>
      <c r="BE237" s="492">
        <f t="shared" si="852"/>
        <v>12.92364360948565</v>
      </c>
      <c r="BF237" s="492">
        <f>IFERROR((BF231/BF8)*(365/4),"-")</f>
        <v>13.466066602742563</v>
      </c>
      <c r="BG237" s="494"/>
      <c r="BL237" s="495">
        <f>IFERROR((BL231/BL8)*(365/4),"-")</f>
        <v>20.528953042672704</v>
      </c>
      <c r="BM237" s="495"/>
      <c r="BN237" s="495">
        <f>IFERROR((BN231/BN8)*(365/2),"-")</f>
        <v>77.317192919264969</v>
      </c>
      <c r="BO237" s="495">
        <f t="shared" ref="BO237:BT237" si="853">IFERROR((BO231/BO8)*(365/2),"-")</f>
        <v>82.265113324178571</v>
      </c>
      <c r="BP237" s="495">
        <f t="shared" si="853"/>
        <v>84.212673783681666</v>
      </c>
      <c r="BQ237" s="495">
        <f t="shared" si="853"/>
        <v>19.259589239160292</v>
      </c>
      <c r="BR237" s="495">
        <f t="shared" si="853"/>
        <v>19.305518346192788</v>
      </c>
      <c r="BS237" s="495">
        <f t="shared" si="853"/>
        <v>13.380951438277197</v>
      </c>
      <c r="BT237" s="495">
        <f t="shared" si="853"/>
        <v>15.037501614931717</v>
      </c>
      <c r="BU237" s="495">
        <f>IFERROR((BU231/BU8)*(365/2),"-")</f>
        <v>14.439379846235004</v>
      </c>
      <c r="BV237" s="495">
        <f>IFERROR((BV231/BV8)*(365/2),"-")</f>
        <v>23.887698549626492</v>
      </c>
      <c r="BW237" s="495">
        <f>IFERROR((BW231/BW8)*(365/2),"-")</f>
        <v>14.867224466883068</v>
      </c>
      <c r="CJ237" s="496"/>
      <c r="CK237" s="496"/>
      <c r="CL237" s="496"/>
    </row>
    <row r="238" spans="1:90" s="49" customFormat="1" ht="13.5" customHeight="1">
      <c r="B238" s="491" t="s">
        <v>441</v>
      </c>
      <c r="C238" s="492">
        <f>IFERROR((C232/-C11)*365,"-")</f>
        <v>75.749402594228243</v>
      </c>
      <c r="D238" s="492">
        <f t="shared" ref="D238:M238" si="854">IFERROR((D232/-D11)*365,"-")</f>
        <v>73.053386408335356</v>
      </c>
      <c r="E238" s="492">
        <f t="shared" si="854"/>
        <v>73.808877749289124</v>
      </c>
      <c r="F238" s="492">
        <f t="shared" si="854"/>
        <v>75.964894952188828</v>
      </c>
      <c r="G238" s="492">
        <f t="shared" si="854"/>
        <v>74.801261422195935</v>
      </c>
      <c r="H238" s="492">
        <f t="shared" si="854"/>
        <v>74.83117856587161</v>
      </c>
      <c r="I238" s="492">
        <f t="shared" si="854"/>
        <v>70.797452996010293</v>
      </c>
      <c r="J238" s="492">
        <f t="shared" si="854"/>
        <v>74.517752155882761</v>
      </c>
      <c r="K238" s="492">
        <f t="shared" si="854"/>
        <v>72.177699878821386</v>
      </c>
      <c r="L238" s="492">
        <f t="shared" si="854"/>
        <v>67.137874539395042</v>
      </c>
      <c r="M238" s="492">
        <f t="shared" si="854"/>
        <v>52.840420853314946</v>
      </c>
      <c r="N238" s="492">
        <f>IFERROR((N232/-N11)*365,"-")</f>
        <v>72.05441146705013</v>
      </c>
      <c r="O238" s="492">
        <f>IFERROR((O232/-O11)*365,"-")</f>
        <v>85.495169574837576</v>
      </c>
      <c r="P238" s="492">
        <f>IFERROR((P232/-P11)*365,"-")</f>
        <v>76.306328431529266</v>
      </c>
      <c r="Q238" s="493"/>
      <c r="R238" s="492">
        <f>IFERROR((R232/-R11)*(365/4),"-")</f>
        <v>68.689433229003086</v>
      </c>
      <c r="S238" s="492">
        <f t="shared" ref="S238:AS238" si="855">IFERROR((S232/-S11)*(365/4),"-")</f>
        <v>57.199158213728701</v>
      </c>
      <c r="T238" s="492">
        <f t="shared" si="855"/>
        <v>59.847753442041338</v>
      </c>
      <c r="U238" s="492">
        <f t="shared" si="855"/>
        <v>68.230269050190074</v>
      </c>
      <c r="V238" s="492">
        <f t="shared" si="855"/>
        <v>70.37087185405197</v>
      </c>
      <c r="W238" s="492">
        <f t="shared" si="855"/>
        <v>61.884614495785947</v>
      </c>
      <c r="X238" s="492">
        <f t="shared" si="855"/>
        <v>63.057520208523727</v>
      </c>
      <c r="Y238" s="492">
        <f t="shared" si="855"/>
        <v>68.184362655908188</v>
      </c>
      <c r="Z238" s="492">
        <f t="shared" si="855"/>
        <v>72.824343633981186</v>
      </c>
      <c r="AA238" s="492">
        <f t="shared" si="855"/>
        <v>59.634348791302727</v>
      </c>
      <c r="AB238" s="492">
        <f t="shared" si="855"/>
        <v>61.35831619075136</v>
      </c>
      <c r="AC238" s="492">
        <f t="shared" si="855"/>
        <v>67.70281238275075</v>
      </c>
      <c r="AD238" s="492">
        <f t="shared" si="855"/>
        <v>68.221950394967109</v>
      </c>
      <c r="AE238" s="492">
        <f t="shared" si="855"/>
        <v>53.712382810277376</v>
      </c>
      <c r="AF238" s="492">
        <f t="shared" si="855"/>
        <v>56.698036225219475</v>
      </c>
      <c r="AG238" s="492">
        <f t="shared" si="855"/>
        <v>67.389975277760854</v>
      </c>
      <c r="AH238" s="492">
        <f t="shared" si="855"/>
        <v>70.673309920677127</v>
      </c>
      <c r="AI238" s="492">
        <f t="shared" si="855"/>
        <v>82.472671814263165</v>
      </c>
      <c r="AJ238" s="492">
        <f t="shared" si="855"/>
        <v>59.973905021319887</v>
      </c>
      <c r="AK238" s="492">
        <f t="shared" si="855"/>
        <v>57.653633974502412</v>
      </c>
      <c r="AL238" s="492">
        <f t="shared" si="855"/>
        <v>62.846597155404339</v>
      </c>
      <c r="AM238" s="492">
        <f t="shared" si="855"/>
        <v>57.786296366162922</v>
      </c>
      <c r="AN238" s="492">
        <f t="shared" si="855"/>
        <v>56.898469509020472</v>
      </c>
      <c r="AO238" s="492">
        <f t="shared" si="855"/>
        <v>57.211396323090312</v>
      </c>
      <c r="AP238" s="492">
        <f t="shared" si="855"/>
        <v>64.387990255877781</v>
      </c>
      <c r="AQ238" s="492">
        <f t="shared" si="855"/>
        <v>56.325796295048256</v>
      </c>
      <c r="AR238" s="492">
        <f t="shared" si="855"/>
        <v>56.289212138792834</v>
      </c>
      <c r="AS238" s="492">
        <f t="shared" si="855"/>
        <v>49.676432605296213</v>
      </c>
      <c r="AT238" s="492">
        <f t="shared" ref="AT238:AY238" si="856">IFERROR((AT232/-AT11)*(365/4),"-")</f>
        <v>63.731939753624857</v>
      </c>
      <c r="AU238" s="492">
        <f t="shared" si="856"/>
        <v>53.224050511009906</v>
      </c>
      <c r="AV238" s="492">
        <f t="shared" si="856"/>
        <v>64.608017194598588</v>
      </c>
      <c r="AW238" s="492">
        <f t="shared" si="856"/>
        <v>65.487155839806917</v>
      </c>
      <c r="AX238" s="492">
        <f t="shared" si="856"/>
        <v>68.676270847874463</v>
      </c>
      <c r="AY238" s="492">
        <f t="shared" si="856"/>
        <v>61.537539962987061</v>
      </c>
      <c r="AZ238" s="492">
        <f t="shared" ref="AZ238:BE238" si="857">IFERROR((AZ232/-AZ11)*(365/4),"-")</f>
        <v>70.01344722133706</v>
      </c>
      <c r="BA238" s="492">
        <f t="shared" si="857"/>
        <v>72.821866692531444</v>
      </c>
      <c r="BB238" s="492">
        <f t="shared" si="857"/>
        <v>75.720485844464633</v>
      </c>
      <c r="BC238" s="492">
        <f t="shared" si="857"/>
        <v>66.553542950737409</v>
      </c>
      <c r="BD238" s="492">
        <f t="shared" si="857"/>
        <v>75.65657212412512</v>
      </c>
      <c r="BE238" s="492">
        <f t="shared" si="857"/>
        <v>65.037726477024449</v>
      </c>
      <c r="BF238" s="492">
        <f>IFERROR((BF232/-BF11)*(365/4),"-")</f>
        <v>84.940810429930025</v>
      </c>
      <c r="BG238" s="494"/>
      <c r="BL238" s="495">
        <f>IFERROR((BL232/-BL11)*(365/4),"-")</f>
        <v>68.221950394967109</v>
      </c>
      <c r="BM238" s="495"/>
      <c r="BN238" s="495">
        <f>IFERROR((BN232/-BN11)*(365/2),"-")</f>
        <v>57.483715803413553</v>
      </c>
      <c r="BO238" s="495">
        <f t="shared" ref="BO238:BT238" si="858">IFERROR((BO232/-BO11)*(365/2),"-")</f>
        <v>62.46236378430816</v>
      </c>
      <c r="BP238" s="495">
        <f t="shared" si="858"/>
        <v>60.793189111007194</v>
      </c>
      <c r="BQ238" s="495">
        <f t="shared" si="858"/>
        <v>53.872189829684139</v>
      </c>
      <c r="BR238" s="495">
        <f t="shared" si="858"/>
        <v>74.20351848526515</v>
      </c>
      <c r="BS238" s="495">
        <f t="shared" si="858"/>
        <v>59.946709567222499</v>
      </c>
      <c r="BT238" s="495">
        <f t="shared" si="858"/>
        <v>56.370630532867445</v>
      </c>
      <c r="BU238" s="495">
        <f>IFERROR((BU232/-BU11)*(365/2),"-")</f>
        <v>51.615024451157957</v>
      </c>
      <c r="BV238" s="495">
        <f>IFERROR((BV232/-BV11)*(365/2),"-")</f>
        <v>61.678233781121286</v>
      </c>
      <c r="BW238" s="495">
        <f>IFERROR((BW232/-BW11)*(365/2),"-")</f>
        <v>66.7893480621088</v>
      </c>
      <c r="CJ238" s="496"/>
      <c r="CK238" s="496"/>
      <c r="CL238" s="496"/>
    </row>
    <row r="239" spans="1:90" ht="13.5" customHeight="1">
      <c r="B239" s="370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BG239" s="142"/>
      <c r="CJ239" s="6"/>
      <c r="CK239" s="6"/>
      <c r="CL239" s="6"/>
    </row>
    <row r="240" spans="1:90" ht="13.5" customHeight="1">
      <c r="A240" s="28"/>
      <c r="B240" s="17" t="s">
        <v>442</v>
      </c>
      <c r="C240" s="46">
        <v>41975</v>
      </c>
      <c r="D240" s="46">
        <v>42341</v>
      </c>
      <c r="E240" s="46">
        <v>42708</v>
      </c>
      <c r="F240" s="253">
        <f t="shared" ref="F240:K240" si="859">F3</f>
        <v>43073</v>
      </c>
      <c r="G240" s="253">
        <f t="shared" si="859"/>
        <v>43073</v>
      </c>
      <c r="H240" s="253">
        <f t="shared" si="859"/>
        <v>43438</v>
      </c>
      <c r="I240" s="253">
        <f t="shared" si="859"/>
        <v>43438</v>
      </c>
      <c r="J240" s="253">
        <f t="shared" si="859"/>
        <v>43803</v>
      </c>
      <c r="K240" s="253">
        <f t="shared" si="859"/>
        <v>44169</v>
      </c>
      <c r="L240" s="253">
        <f>L3</f>
        <v>44534</v>
      </c>
      <c r="M240" s="253">
        <f>M3</f>
        <v>44899</v>
      </c>
      <c r="N240" s="253">
        <f>N3</f>
        <v>45264</v>
      </c>
      <c r="O240" s="253">
        <f>O3</f>
        <v>45630</v>
      </c>
      <c r="P240" s="253">
        <f>P3</f>
        <v>45995</v>
      </c>
      <c r="Q240" s="329"/>
      <c r="R240" s="46">
        <v>42437</v>
      </c>
      <c r="S240" s="46">
        <v>42527</v>
      </c>
      <c r="T240" s="46">
        <v>42622</v>
      </c>
      <c r="U240" s="46">
        <v>42714</v>
      </c>
      <c r="V240" s="46">
        <v>42801</v>
      </c>
      <c r="W240" s="46">
        <v>42892</v>
      </c>
      <c r="X240" s="46">
        <v>42987</v>
      </c>
      <c r="Y240" s="46">
        <v>42714</v>
      </c>
      <c r="Z240" s="46">
        <f t="shared" ref="Z240:AE240" si="860">Z3</f>
        <v>43166</v>
      </c>
      <c r="AA240" s="46">
        <f t="shared" si="860"/>
        <v>43257</v>
      </c>
      <c r="AB240" s="46">
        <f t="shared" si="860"/>
        <v>43352</v>
      </c>
      <c r="AC240" s="46">
        <f t="shared" si="860"/>
        <v>43444</v>
      </c>
      <c r="AD240" s="253">
        <f t="shared" si="860"/>
        <v>43531</v>
      </c>
      <c r="AE240" s="253">
        <f t="shared" si="860"/>
        <v>43622</v>
      </c>
      <c r="AF240" s="253">
        <f t="shared" ref="AF240:AK240" si="861">AF3</f>
        <v>43738</v>
      </c>
      <c r="AG240" s="120">
        <f t="shared" si="861"/>
        <v>43809</v>
      </c>
      <c r="AH240" s="253">
        <f t="shared" si="861"/>
        <v>43897</v>
      </c>
      <c r="AI240" s="253">
        <f t="shared" si="861"/>
        <v>43988</v>
      </c>
      <c r="AJ240" s="253">
        <f t="shared" si="861"/>
        <v>44104</v>
      </c>
      <c r="AK240" s="120">
        <f t="shared" si="861"/>
        <v>44175</v>
      </c>
      <c r="AL240" s="253">
        <f t="shared" ref="AL240:AQ240" si="862">AL3</f>
        <v>44262</v>
      </c>
      <c r="AM240" s="253">
        <f t="shared" si="862"/>
        <v>44348</v>
      </c>
      <c r="AN240" s="253">
        <f t="shared" si="862"/>
        <v>44469</v>
      </c>
      <c r="AO240" s="253">
        <f t="shared" si="862"/>
        <v>44540</v>
      </c>
      <c r="AP240" s="253">
        <f t="shared" si="862"/>
        <v>44651</v>
      </c>
      <c r="AQ240" s="253">
        <f t="shared" si="862"/>
        <v>44713</v>
      </c>
      <c r="AR240" s="253">
        <f t="shared" ref="AR240:AW240" si="863">AR3</f>
        <v>44834</v>
      </c>
      <c r="AS240" s="253">
        <f t="shared" si="863"/>
        <v>44905</v>
      </c>
      <c r="AT240" s="253">
        <f t="shared" si="863"/>
        <v>45016</v>
      </c>
      <c r="AU240" s="253">
        <f t="shared" si="863"/>
        <v>45078</v>
      </c>
      <c r="AV240" s="253">
        <f t="shared" si="863"/>
        <v>45199</v>
      </c>
      <c r="AW240" s="253">
        <f t="shared" si="863"/>
        <v>45270</v>
      </c>
      <c r="AX240" s="253">
        <f t="shared" ref="AX240:BC240" si="864">AX3</f>
        <v>45382</v>
      </c>
      <c r="AY240" s="253">
        <f t="shared" si="864"/>
        <v>45444</v>
      </c>
      <c r="AZ240" s="253">
        <f t="shared" si="864"/>
        <v>45565</v>
      </c>
      <c r="BA240" s="253">
        <f t="shared" si="864"/>
        <v>45636</v>
      </c>
      <c r="BB240" s="253">
        <f t="shared" si="864"/>
        <v>45747</v>
      </c>
      <c r="BC240" s="253">
        <f t="shared" si="864"/>
        <v>45809</v>
      </c>
      <c r="BD240" s="253">
        <f>BD3</f>
        <v>45930</v>
      </c>
      <c r="BE240" s="253">
        <f>BE3</f>
        <v>46001</v>
      </c>
      <c r="BF240" s="253">
        <f>BF3</f>
        <v>46112</v>
      </c>
      <c r="BG240" s="142"/>
      <c r="BH240" s="46"/>
      <c r="BI240" s="46"/>
      <c r="BJ240" s="46"/>
      <c r="BK240" s="46"/>
      <c r="BL240" s="253">
        <f>BL3</f>
        <v>43531</v>
      </c>
      <c r="BM240" s="329"/>
      <c r="BN240" s="46">
        <v>42530</v>
      </c>
      <c r="BO240" s="46">
        <v>42896</v>
      </c>
      <c r="BP240" s="46">
        <f t="shared" ref="BP240:BU240" si="865">BP3</f>
        <v>43261</v>
      </c>
      <c r="BQ240" s="253">
        <f t="shared" si="865"/>
        <v>43646</v>
      </c>
      <c r="BR240" s="253">
        <f t="shared" si="865"/>
        <v>44012</v>
      </c>
      <c r="BS240" s="253">
        <f t="shared" si="865"/>
        <v>44377</v>
      </c>
      <c r="BT240" s="253">
        <f t="shared" si="865"/>
        <v>44742</v>
      </c>
      <c r="BU240" s="253">
        <f t="shared" si="865"/>
        <v>45107</v>
      </c>
      <c r="BV240" s="253">
        <f>BV3</f>
        <v>45473</v>
      </c>
      <c r="BW240" s="253">
        <f>BW3</f>
        <v>45838</v>
      </c>
      <c r="BX240" s="62"/>
      <c r="BY240" s="62"/>
      <c r="BZ240" s="62"/>
      <c r="CA240" s="62"/>
      <c r="CJ240" s="6"/>
      <c r="CK240" s="6"/>
      <c r="CL240" s="6"/>
    </row>
    <row r="241" spans="2:90" ht="13.5" customHeight="1">
      <c r="B241" s="1" t="s">
        <v>443</v>
      </c>
      <c r="C241" s="27">
        <v>2180384.46</v>
      </c>
      <c r="D241" s="27">
        <v>2471067.2549999999</v>
      </c>
      <c r="E241" s="27">
        <v>2621812.969</v>
      </c>
      <c r="F241" s="27">
        <v>2590709.8080000002</v>
      </c>
      <c r="G241" s="27">
        <v>2590709.8080000002</v>
      </c>
      <c r="H241" s="27">
        <v>2823447.682</v>
      </c>
      <c r="I241" s="27">
        <v>4631682.3080000002</v>
      </c>
      <c r="J241" s="27">
        <v>5219216.7319999998</v>
      </c>
      <c r="K241" s="27">
        <v>4304988.0520000001</v>
      </c>
      <c r="L241" s="27">
        <v>5346827.33</v>
      </c>
      <c r="M241" s="27">
        <v>6108823.284</v>
      </c>
      <c r="N241" s="27">
        <f>5692414.849</f>
        <v>5692414.8490000004</v>
      </c>
      <c r="O241" s="27">
        <v>5824761.8779999996</v>
      </c>
      <c r="P241" s="27">
        <v>6809407.557</v>
      </c>
      <c r="Q241" s="27"/>
      <c r="R241" s="27">
        <v>2476508.0860000001</v>
      </c>
      <c r="S241" s="6">
        <f>BN241</f>
        <v>2556675.08</v>
      </c>
      <c r="T241" s="40">
        <v>2536226.7220000001</v>
      </c>
      <c r="U241" s="6">
        <f>E241</f>
        <v>2621812.969</v>
      </c>
      <c r="V241" s="40">
        <v>2626099.9360000002</v>
      </c>
      <c r="W241" s="6">
        <f>BO241</f>
        <v>2618252.0430000001</v>
      </c>
      <c r="X241" s="40">
        <v>2530261.9890000001</v>
      </c>
      <c r="Y241" s="6">
        <f>F241</f>
        <v>2590709.8080000002</v>
      </c>
      <c r="Z241" s="40">
        <v>2592767.986</v>
      </c>
      <c r="AA241" s="6">
        <f>BP241</f>
        <v>2705598.3</v>
      </c>
      <c r="AB241" s="40">
        <v>2724269.4819999998</v>
      </c>
      <c r="AC241" s="6">
        <f>H241</f>
        <v>2823447.682</v>
      </c>
      <c r="AD241" s="40">
        <v>4674904.97</v>
      </c>
      <c r="AE241" s="6">
        <f>BQ241</f>
        <v>4780320.5209999997</v>
      </c>
      <c r="AF241" s="40">
        <v>4892635.0609999998</v>
      </c>
      <c r="AG241" s="6">
        <f>J241</f>
        <v>5219216.7319999998</v>
      </c>
      <c r="AH241" s="40">
        <v>5150105.1519999998</v>
      </c>
      <c r="AI241" s="6">
        <f>BR241</f>
        <v>4619352.6490000002</v>
      </c>
      <c r="AJ241" s="40">
        <v>4259405.6849999996</v>
      </c>
      <c r="AK241" s="6">
        <f>K241</f>
        <v>4304988.0520000001</v>
      </c>
      <c r="AL241" s="40">
        <v>4259777.6040000003</v>
      </c>
      <c r="AM241" s="6">
        <f>BS241</f>
        <v>4365910.1390000004</v>
      </c>
      <c r="AN241" s="40">
        <v>4728000.9689999996</v>
      </c>
      <c r="AO241" s="6">
        <f>L241</f>
        <v>5346827.33</v>
      </c>
      <c r="AP241" s="40">
        <f>73094.286+573415.24+5167899.023</f>
        <v>5814408.5489999996</v>
      </c>
      <c r="AQ241" s="6">
        <f>BT241</f>
        <v>6391213.3329999996</v>
      </c>
      <c r="AR241" s="40">
        <v>6286927.932</v>
      </c>
      <c r="AS241" s="6">
        <f>M241</f>
        <v>6108823.284</v>
      </c>
      <c r="AT241" s="40">
        <f>76653.227+614261.977+4985414.955</f>
        <v>5676330.159</v>
      </c>
      <c r="AU241" s="6">
        <f>BU241</f>
        <v>5621989.3140000002</v>
      </c>
      <c r="AV241" s="40">
        <v>5565165.7170000002</v>
      </c>
      <c r="AW241" s="6">
        <f>N241</f>
        <v>5692414.8490000004</v>
      </c>
      <c r="AX241" s="40">
        <f>75946.491+619344.442+4989221.218</f>
        <v>5684512.1510000005</v>
      </c>
      <c r="AY241" s="6">
        <f>BV241</f>
        <v>5437531.9979999997</v>
      </c>
      <c r="AZ241" s="40">
        <v>5307926.273</v>
      </c>
      <c r="BA241" s="6">
        <f>O241</f>
        <v>5824761.8779999996</v>
      </c>
      <c r="BB241" s="27">
        <v>5877396.7479999997</v>
      </c>
      <c r="BC241" s="6">
        <f>BW241</f>
        <v>6084462.2060000002</v>
      </c>
      <c r="BD241" s="40">
        <v>6377511.8930000002</v>
      </c>
      <c r="BE241" s="6">
        <f>P241</f>
        <v>6809407.557</v>
      </c>
      <c r="BF241" s="40">
        <v>6917789.1859999998</v>
      </c>
      <c r="BG241" s="142"/>
      <c r="BH241" s="27"/>
      <c r="BI241" s="27"/>
      <c r="BJ241" s="27"/>
      <c r="BK241" s="6"/>
      <c r="BL241" s="40">
        <v>4674904.97</v>
      </c>
      <c r="BM241" s="40"/>
      <c r="BN241" s="40">
        <v>2556675.08</v>
      </c>
      <c r="BO241" s="40">
        <v>2618252.0430000001</v>
      </c>
      <c r="BP241" s="40">
        <v>2705598.3</v>
      </c>
      <c r="BQ241" s="40">
        <v>4780320.5209999997</v>
      </c>
      <c r="BR241" s="40">
        <v>4619352.6490000002</v>
      </c>
      <c r="BS241" s="40">
        <v>4365910.1390000004</v>
      </c>
      <c r="BT241" s="40">
        <v>6391213.3329999996</v>
      </c>
      <c r="BU241" s="40">
        <v>5621989.3140000002</v>
      </c>
      <c r="BV241" s="40">
        <v>5437531.9979999997</v>
      </c>
      <c r="BW241" s="27">
        <v>6084462.2060000002</v>
      </c>
      <c r="BX241" s="27"/>
      <c r="BY241" s="27"/>
      <c r="BZ241" s="27"/>
      <c r="CA241" s="27"/>
      <c r="CB241" s="5"/>
      <c r="CJ241" s="6"/>
      <c r="CK241" s="6"/>
      <c r="CL241" s="6"/>
    </row>
    <row r="242" spans="2:90" ht="13.5" customHeight="1">
      <c r="B242" s="1" t="s">
        <v>444</v>
      </c>
      <c r="C242" s="27">
        <v>2997270.3840000001</v>
      </c>
      <c r="D242" s="27">
        <v>3513823.6140000001</v>
      </c>
      <c r="E242" s="27">
        <v>3783184.071</v>
      </c>
      <c r="F242" s="27">
        <v>3744929.32</v>
      </c>
      <c r="G242" s="27">
        <v>3744929.32</v>
      </c>
      <c r="H242" s="27">
        <v>4272344.4309999999</v>
      </c>
      <c r="I242" s="27">
        <v>6167903.0789999999</v>
      </c>
      <c r="J242" s="27">
        <v>7240402.2400000002</v>
      </c>
      <c r="K242" s="27">
        <v>7456109.6490000002</v>
      </c>
      <c r="L242" s="27">
        <v>9284712.0160000008</v>
      </c>
      <c r="M242" s="27">
        <v>9828419.9030000009</v>
      </c>
      <c r="N242" s="27">
        <f>9483952.313</f>
        <v>9483952.3129999992</v>
      </c>
      <c r="O242" s="27">
        <v>9466560.0830000006</v>
      </c>
      <c r="P242" s="27">
        <v>10157992.786</v>
      </c>
      <c r="Q242" s="27"/>
      <c r="R242" s="27">
        <v>3607298.0279999999</v>
      </c>
      <c r="S242" s="202">
        <f>BN242</f>
        <v>3658172.3760000002</v>
      </c>
      <c r="T242" s="40">
        <v>3608593.0819999999</v>
      </c>
      <c r="U242" s="202">
        <f>E242</f>
        <v>3783184.071</v>
      </c>
      <c r="V242" s="40">
        <v>3889851.79</v>
      </c>
      <c r="W242" s="202">
        <f>BO242</f>
        <v>3899719.9819999998</v>
      </c>
      <c r="X242" s="40">
        <v>3733956.9870000002</v>
      </c>
      <c r="Y242" s="6">
        <f>F242</f>
        <v>3744929.32</v>
      </c>
      <c r="Z242" s="40">
        <v>3797535.4569999999</v>
      </c>
      <c r="AA242" s="6">
        <f>BP242</f>
        <v>4036376.0720000002</v>
      </c>
      <c r="AB242" s="40">
        <v>4132912.0610000002</v>
      </c>
      <c r="AC242" s="6">
        <f>H242</f>
        <v>4272344.4309999999</v>
      </c>
      <c r="AD242" s="40">
        <v>6203614.5640000002</v>
      </c>
      <c r="AE242" s="6">
        <f>BQ242</f>
        <v>6360592.1600000001</v>
      </c>
      <c r="AF242" s="40">
        <v>6672469.2980000004</v>
      </c>
      <c r="AG242" s="6">
        <f>J242</f>
        <v>7240402.2400000002</v>
      </c>
      <c r="AH242" s="40">
        <v>8132247.7149999999</v>
      </c>
      <c r="AI242" s="6">
        <f>BR242</f>
        <v>7647466.1440000003</v>
      </c>
      <c r="AJ242" s="40">
        <v>7137623.2369999997</v>
      </c>
      <c r="AK242" s="6">
        <f>K242</f>
        <v>7456109.6490000002</v>
      </c>
      <c r="AL242" s="40">
        <v>7164092.4419999998</v>
      </c>
      <c r="AM242" s="6">
        <f>BS242</f>
        <v>7358751.1869999999</v>
      </c>
      <c r="AN242" s="40">
        <v>8110025.7680000002</v>
      </c>
      <c r="AO242" s="6">
        <f>L242</f>
        <v>9284712.0160000008</v>
      </c>
      <c r="AP242" s="40">
        <v>9678130.6009999998</v>
      </c>
      <c r="AQ242" s="6">
        <f>BT242</f>
        <v>11138634.277000001</v>
      </c>
      <c r="AR242" s="40">
        <v>10131468.573000001</v>
      </c>
      <c r="AS242" s="6">
        <f>M242</f>
        <v>9828419.9030000009</v>
      </c>
      <c r="AT242" s="40">
        <v>9345381.1789999995</v>
      </c>
      <c r="AU242" s="6">
        <f>BU242</f>
        <v>9209888.057</v>
      </c>
      <c r="AV242" s="40">
        <v>9747596.5889999997</v>
      </c>
      <c r="AW242" s="6">
        <f>N242</f>
        <v>9483952.3129999992</v>
      </c>
      <c r="AX242" s="40">
        <v>9463847.5899999999</v>
      </c>
      <c r="AY242" s="6">
        <f>BV242</f>
        <v>9010898.6980000008</v>
      </c>
      <c r="AZ242" s="40">
        <v>9082432.9759999998</v>
      </c>
      <c r="BA242" s="6">
        <f>O242</f>
        <v>9466560.0830000006</v>
      </c>
      <c r="BB242" s="27">
        <v>9732986.1699999999</v>
      </c>
      <c r="BC242" s="6">
        <f>BW242</f>
        <v>9705816</v>
      </c>
      <c r="BD242" s="40">
        <v>10091665.251</v>
      </c>
      <c r="BE242" s="6">
        <f>P242</f>
        <v>10157992.786</v>
      </c>
      <c r="BF242" s="40">
        <v>10447272.062999999</v>
      </c>
      <c r="BG242" s="142"/>
      <c r="BH242" s="27"/>
      <c r="BI242" s="27"/>
      <c r="BJ242" s="27"/>
      <c r="BK242" s="6"/>
      <c r="BL242" s="40">
        <v>6203614.5640000002</v>
      </c>
      <c r="BM242" s="40"/>
      <c r="BN242" s="40">
        <v>3658172.3760000002</v>
      </c>
      <c r="BO242" s="40">
        <v>3899719.9819999998</v>
      </c>
      <c r="BP242" s="40">
        <v>4036376.0720000002</v>
      </c>
      <c r="BQ242" s="40">
        <v>6360592.1600000001</v>
      </c>
      <c r="BR242" s="40">
        <v>7647466.1440000003</v>
      </c>
      <c r="BS242" s="40">
        <v>7358751.1869999999</v>
      </c>
      <c r="BT242" s="40">
        <v>11138634.277000001</v>
      </c>
      <c r="BU242" s="27">
        <v>9209888.057</v>
      </c>
      <c r="BV242" s="27">
        <v>9010898.6980000008</v>
      </c>
      <c r="BW242" s="27">
        <v>9705816</v>
      </c>
      <c r="BX242" s="27"/>
      <c r="BY242" s="27"/>
      <c r="BZ242" s="27"/>
      <c r="CA242" s="27"/>
      <c r="CB242" s="5"/>
      <c r="CJ242" s="6"/>
      <c r="CK242" s="6"/>
      <c r="CL242" s="6"/>
    </row>
    <row r="243" spans="2:90" ht="13.5" customHeight="1">
      <c r="B243" s="1" t="s">
        <v>445</v>
      </c>
      <c r="C243" s="27">
        <v>241347.47899999999</v>
      </c>
      <c r="D243" s="27">
        <v>321693.36800000002</v>
      </c>
      <c r="E243" s="27">
        <v>427700.255</v>
      </c>
      <c r="F243" s="27">
        <v>543154.22100000002</v>
      </c>
      <c r="G243" s="27">
        <v>543154.22100000002</v>
      </c>
      <c r="H243" s="27">
        <v>639081.70400000003</v>
      </c>
      <c r="I243" s="27">
        <v>639081.70400000003</v>
      </c>
      <c r="J243" s="27">
        <v>802372.07</v>
      </c>
      <c r="K243" s="27">
        <v>1549896.493</v>
      </c>
      <c r="L243" s="27">
        <v>2311017.7910000002</v>
      </c>
      <c r="M243" s="27">
        <v>1683229.584</v>
      </c>
      <c r="N243" s="27">
        <v>1689715.034</v>
      </c>
      <c r="O243" s="27">
        <v>2189551.483</v>
      </c>
      <c r="P243" s="27">
        <v>2631547.6069999998</v>
      </c>
      <c r="Q243" s="27"/>
      <c r="R243" s="27">
        <v>332121.96100000001</v>
      </c>
      <c r="S243" s="6">
        <f>BN243</f>
        <v>356490.011</v>
      </c>
      <c r="T243" s="40">
        <v>373055.07699999999</v>
      </c>
      <c r="U243" s="6">
        <f>E243</f>
        <v>427700.255</v>
      </c>
      <c r="V243" s="40">
        <v>426986.17800000001</v>
      </c>
      <c r="W243" s="6">
        <f>BO243</f>
        <v>436174.46799999999</v>
      </c>
      <c r="X243" s="40">
        <v>464072.10399999999</v>
      </c>
      <c r="Y243" s="6">
        <f>F243</f>
        <v>543154.22100000002</v>
      </c>
      <c r="Z243" s="40">
        <v>534661.06000000006</v>
      </c>
      <c r="AA243" s="6">
        <f>BP243</f>
        <v>562189.02500000002</v>
      </c>
      <c r="AB243" s="40">
        <v>613016.55000000005</v>
      </c>
      <c r="AC243" s="6">
        <f>H243</f>
        <v>639081.70400000003</v>
      </c>
      <c r="AD243" s="40">
        <v>653542.6</v>
      </c>
      <c r="AE243" s="6">
        <f>BQ243</f>
        <v>694204.50899999996</v>
      </c>
      <c r="AF243" s="40">
        <v>686003.29399999999</v>
      </c>
      <c r="AG243" s="6">
        <f>J243</f>
        <v>802372.07</v>
      </c>
      <c r="AH243" s="40">
        <v>846082.73899999994</v>
      </c>
      <c r="AI243" s="6">
        <f>BR243</f>
        <v>982781.54099999997</v>
      </c>
      <c r="AJ243" s="40">
        <v>1382711.581</v>
      </c>
      <c r="AK243" s="6">
        <f>K243</f>
        <v>1549896.493</v>
      </c>
      <c r="AL243" s="40">
        <v>1608075.906</v>
      </c>
      <c r="AM243" s="6">
        <f>BS243</f>
        <v>2003099.155</v>
      </c>
      <c r="AN243" s="40">
        <v>2147381.8760000002</v>
      </c>
      <c r="AO243" s="6">
        <f>L243</f>
        <v>2311017.7910000002</v>
      </c>
      <c r="AP243" s="40">
        <v>2130336.818</v>
      </c>
      <c r="AQ243" s="6">
        <f>BT243</f>
        <v>2069361.456</v>
      </c>
      <c r="AR243" s="40">
        <v>1920620.27</v>
      </c>
      <c r="AS243" s="6">
        <f>M243</f>
        <v>1683229.584</v>
      </c>
      <c r="AT243" s="40">
        <v>1539426.81</v>
      </c>
      <c r="AU243" s="6">
        <f>BU243</f>
        <v>1553916.2069999999</v>
      </c>
      <c r="AV243" s="40">
        <v>1595336.0689999999</v>
      </c>
      <c r="AW243" s="6">
        <f>N243</f>
        <v>1689715.034</v>
      </c>
      <c r="AX243" s="40">
        <v>1727951.7180000001</v>
      </c>
      <c r="AY243" s="6">
        <f>BV243</f>
        <v>1945528.963</v>
      </c>
      <c r="AZ243" s="40">
        <v>1960499.66</v>
      </c>
      <c r="BA243" s="6">
        <f>O243</f>
        <v>2189551.483</v>
      </c>
      <c r="BB243" s="27">
        <v>2131909.253</v>
      </c>
      <c r="BC243" s="6">
        <f>BW243</f>
        <v>2237944.0430000001</v>
      </c>
      <c r="BD243" s="40">
        <v>2419050.943</v>
      </c>
      <c r="BE243" s="6">
        <f>P243</f>
        <v>2631547.6069999998</v>
      </c>
      <c r="BF243" s="40">
        <v>2656769.62</v>
      </c>
      <c r="BG243" s="142"/>
      <c r="BH243" s="27"/>
      <c r="BI243" s="27"/>
      <c r="BJ243" s="27"/>
      <c r="BK243" s="6"/>
      <c r="BL243" s="40">
        <v>653542.6</v>
      </c>
      <c r="BM243" s="40"/>
      <c r="BN243" s="40">
        <v>356490.011</v>
      </c>
      <c r="BO243" s="40">
        <v>436174.46799999999</v>
      </c>
      <c r="BP243" s="40">
        <v>562189.02500000002</v>
      </c>
      <c r="BQ243" s="40">
        <v>694204.50899999996</v>
      </c>
      <c r="BR243" s="40">
        <v>982781.54099999997</v>
      </c>
      <c r="BS243" s="355">
        <v>2003099.155</v>
      </c>
      <c r="BT243" s="355">
        <v>2069361.456</v>
      </c>
      <c r="BU243" s="27">
        <v>1553916.2069999999</v>
      </c>
      <c r="BV243" s="27">
        <v>1945528.963</v>
      </c>
      <c r="BW243" s="27">
        <v>2237944.0430000001</v>
      </c>
      <c r="BX243" s="27"/>
      <c r="BY243" s="27"/>
      <c r="BZ243" s="27"/>
      <c r="CA243" s="27"/>
      <c r="CB243" s="5"/>
      <c r="CJ243" s="6"/>
      <c r="CK243" s="6"/>
      <c r="CL243" s="6"/>
    </row>
    <row r="244" spans="2:90" ht="13.5" customHeight="1">
      <c r="B244" s="1" t="s">
        <v>446</v>
      </c>
      <c r="C244" s="27">
        <v>1671548.5619999999</v>
      </c>
      <c r="D244" s="27">
        <v>1988206.54</v>
      </c>
      <c r="E244" s="27">
        <v>2016697.3589999999</v>
      </c>
      <c r="F244" s="27">
        <v>1987726.0660000001</v>
      </c>
      <c r="G244" s="27">
        <v>1987726.0660000001</v>
      </c>
      <c r="H244" s="27">
        <v>2538382.3939999999</v>
      </c>
      <c r="I244" s="27">
        <v>2538382.3939999999</v>
      </c>
      <c r="J244" s="27">
        <v>3027251.2319999998</v>
      </c>
      <c r="K244" s="27">
        <v>2421271.2050000001</v>
      </c>
      <c r="L244" s="27">
        <v>2422073.787</v>
      </c>
      <c r="M244" s="27">
        <v>3736716.5980000002</v>
      </c>
      <c r="N244" s="27">
        <f>3968018.273</f>
        <v>3968018.273</v>
      </c>
      <c r="O244" s="27">
        <v>3489493.2519999999</v>
      </c>
      <c r="P244" s="27">
        <v>3556851.0789999999</v>
      </c>
      <c r="Q244" s="27"/>
      <c r="R244" s="27">
        <v>2023342.611</v>
      </c>
      <c r="S244" s="6">
        <f>BN244</f>
        <v>2056719.246</v>
      </c>
      <c r="T244" s="40">
        <v>2002985.679</v>
      </c>
      <c r="U244" s="6">
        <f>E244</f>
        <v>2016697.3589999999</v>
      </c>
      <c r="V244" s="40">
        <v>2169254.966</v>
      </c>
      <c r="W244" s="6">
        <f>BO244</f>
        <v>2198932.0219999999</v>
      </c>
      <c r="X244" s="40">
        <v>2009332.263</v>
      </c>
      <c r="Y244" s="6">
        <f>F244</f>
        <v>1987726.0660000001</v>
      </c>
      <c r="Z244" s="40">
        <v>2037669.588</v>
      </c>
      <c r="AA244" s="6">
        <f>BP244</f>
        <v>2219133.7609999999</v>
      </c>
      <c r="AB244" s="40">
        <v>2219697.125</v>
      </c>
      <c r="AC244" s="6">
        <f>H244</f>
        <v>2538382.3939999999</v>
      </c>
      <c r="AD244" s="40">
        <v>2506852.5920000002</v>
      </c>
      <c r="AE244" s="6">
        <f>BQ244</f>
        <v>2678982.3909999998</v>
      </c>
      <c r="AF244" s="40">
        <v>2661286.7439999999</v>
      </c>
      <c r="AG244" s="6">
        <f>J244</f>
        <v>3027251.2319999998</v>
      </c>
      <c r="AH244" s="40">
        <v>3543511.571</v>
      </c>
      <c r="AI244" s="6">
        <f>BR244</f>
        <v>3152050.2990000001</v>
      </c>
      <c r="AJ244" s="40">
        <v>2704207.389</v>
      </c>
      <c r="AK244" s="6">
        <f>K244</f>
        <v>2421271.2050000001</v>
      </c>
      <c r="AL244" s="40">
        <v>2269515.9500000002</v>
      </c>
      <c r="AM244" s="6">
        <f>BS244</f>
        <v>2100566.31</v>
      </c>
      <c r="AN244" s="40">
        <v>2080061.716</v>
      </c>
      <c r="AO244" s="6">
        <f>L244</f>
        <v>2422073.787</v>
      </c>
      <c r="AP244" s="40">
        <v>3018261.88</v>
      </c>
      <c r="AQ244" s="6">
        <f>BT244</f>
        <v>3457258.7429999998</v>
      </c>
      <c r="AR244" s="40">
        <v>3720728.031</v>
      </c>
      <c r="AS244" s="6">
        <f>M244</f>
        <v>3736716.5980000002</v>
      </c>
      <c r="AT244" s="40">
        <v>3747527.9270000001</v>
      </c>
      <c r="AU244" s="6">
        <f>BU244</f>
        <v>4038932.355</v>
      </c>
      <c r="AV244" s="40">
        <v>4231973.5920000002</v>
      </c>
      <c r="AW244" s="6">
        <f>N244</f>
        <v>3968018.273</v>
      </c>
      <c r="AX244" s="40">
        <v>3979225.111</v>
      </c>
      <c r="AY244" s="6">
        <f>BV244</f>
        <v>3636533.53</v>
      </c>
      <c r="AZ244" s="40">
        <v>3342213.85</v>
      </c>
      <c r="BA244" s="6">
        <f>O244</f>
        <v>3489493.2519999999</v>
      </c>
      <c r="BB244" s="27">
        <v>3617474.9479999999</v>
      </c>
      <c r="BC244" s="6">
        <f>BW244</f>
        <v>3719395.9890000001</v>
      </c>
      <c r="BD244" s="40">
        <v>3781361.5279999999</v>
      </c>
      <c r="BE244" s="6">
        <f>P244</f>
        <v>3556851.0789999999</v>
      </c>
      <c r="BF244" s="40">
        <v>3861903.1540000001</v>
      </c>
      <c r="BG244" s="142"/>
      <c r="BH244" s="27"/>
      <c r="BI244" s="27"/>
      <c r="BJ244" s="27"/>
      <c r="BK244" s="6"/>
      <c r="BL244" s="40">
        <v>2506852.5920000002</v>
      </c>
      <c r="BM244" s="40"/>
      <c r="BN244" s="40">
        <v>2056719.246</v>
      </c>
      <c r="BO244" s="40">
        <v>2198932.0219999999</v>
      </c>
      <c r="BP244" s="40">
        <v>2219133.7609999999</v>
      </c>
      <c r="BQ244" s="40">
        <v>2678982.3909999998</v>
      </c>
      <c r="BR244" s="40">
        <v>3152050.2990000001</v>
      </c>
      <c r="BS244" s="40">
        <v>2100566.31</v>
      </c>
      <c r="BT244" s="40">
        <v>3457258.7429999998</v>
      </c>
      <c r="BU244" s="27">
        <v>4038932.355</v>
      </c>
      <c r="BV244" s="27">
        <v>3636533.53</v>
      </c>
      <c r="BW244" s="27">
        <v>3719395.9890000001</v>
      </c>
      <c r="BX244" s="27"/>
      <c r="BY244" s="27"/>
      <c r="BZ244" s="27"/>
      <c r="CA244" s="27"/>
      <c r="CB244" s="5"/>
      <c r="CJ244" s="6"/>
      <c r="CK244" s="6"/>
      <c r="CL244" s="6"/>
    </row>
    <row r="245" spans="2:90" ht="13.5" customHeight="1"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BG245" s="142"/>
      <c r="BW245" s="106"/>
      <c r="CJ245" s="6"/>
      <c r="CK245" s="6"/>
      <c r="CL245" s="6"/>
    </row>
    <row r="246" spans="2:90" ht="13.5" customHeight="1">
      <c r="B246" s="17" t="s">
        <v>447</v>
      </c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62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  <c r="BD246" s="46"/>
      <c r="BE246" s="46"/>
      <c r="BF246" s="46"/>
      <c r="BG246" s="142"/>
      <c r="BH246" s="46"/>
      <c r="BI246" s="46"/>
      <c r="BJ246" s="46"/>
      <c r="BK246" s="46"/>
      <c r="BL246" s="46"/>
      <c r="BM246" s="62"/>
      <c r="BN246" s="46"/>
      <c r="BO246" s="46"/>
      <c r="BP246" s="46"/>
      <c r="BQ246" s="46"/>
      <c r="BR246" s="46"/>
      <c r="BS246" s="46"/>
      <c r="BT246" s="46"/>
      <c r="BU246" s="46"/>
      <c r="BV246" s="46"/>
      <c r="BW246" s="46"/>
      <c r="BX246" s="62"/>
      <c r="BY246" s="62"/>
      <c r="BZ246" s="62"/>
      <c r="CA246" s="62"/>
      <c r="CJ246" s="6"/>
      <c r="CK246" s="6"/>
      <c r="CL246" s="6"/>
    </row>
    <row r="247" spans="2:90" ht="13.5" customHeight="1">
      <c r="B247" s="1" t="s">
        <v>448</v>
      </c>
      <c r="C247" s="145">
        <f>736529.589+2316360.511-C248</f>
        <v>2952313.585</v>
      </c>
      <c r="D247" s="145">
        <f>738717.161+2700830.781-D248</f>
        <v>3350718.1129999999</v>
      </c>
      <c r="E247" s="145">
        <f>1072094.075+2691007.234-E248</f>
        <v>3655779.1320000002</v>
      </c>
      <c r="F247" s="145">
        <f>834648.234+3006175.09-F248</f>
        <v>3752196.1549999998</v>
      </c>
      <c r="G247" s="145">
        <f>834648.234+3006175.09-G248</f>
        <v>3752196.1549999998</v>
      </c>
      <c r="H247" s="145">
        <f>990064.907+2806585.586-H248</f>
        <v>3736399.1210000003</v>
      </c>
      <c r="I247" s="145">
        <f>558213.658+2806585.586-I248</f>
        <v>3304547.872</v>
      </c>
      <c r="J247" s="145">
        <f>443932.448+2813299.285</f>
        <v>3257231.733</v>
      </c>
      <c r="K247" s="145">
        <f>530542.382+3229990.163</f>
        <v>3760532.5449999999</v>
      </c>
      <c r="L247" s="145">
        <f>508082.08+3143925.925</f>
        <v>3652008.0049999999</v>
      </c>
      <c r="M247" s="145">
        <f>975421.824+ 3670888.702</f>
        <v>4646310.5260000005</v>
      </c>
      <c r="N247" s="145">
        <f>345809.883+ 4272529.22</f>
        <v>4618339.1030000001</v>
      </c>
      <c r="O247" s="145">
        <f>615774.402+3992765.385</f>
        <v>4608539.7869999995</v>
      </c>
      <c r="P247" s="145">
        <f>333719.401+3091107.652</f>
        <v>3424827.0529999998</v>
      </c>
      <c r="Q247" s="145"/>
      <c r="R247" s="145">
        <f>765661.11+2542246.527-R248</f>
        <v>3227887.9469999997</v>
      </c>
      <c r="S247" s="6">
        <f>BN247</f>
        <v>3380239.1710000001</v>
      </c>
      <c r="T247" s="145">
        <f>981652.213+2567640.715-T248</f>
        <v>3478797.6629999997</v>
      </c>
      <c r="U247" s="6">
        <f>E247</f>
        <v>3655779.1320000002</v>
      </c>
      <c r="V247" s="145">
        <f>934131.816+2785951.386-V248</f>
        <v>3654603.8050000002</v>
      </c>
      <c r="W247" s="6">
        <f>BO247</f>
        <v>3716174.1120000002</v>
      </c>
      <c r="X247" s="145">
        <f>1095555.663+2768655.719-X248</f>
        <v>3770928.5830000001</v>
      </c>
      <c r="Y247" s="25">
        <f>F247</f>
        <v>3752196.1549999998</v>
      </c>
      <c r="Z247" s="145">
        <f>799849.426+3003232.906-Z248</f>
        <v>3721381.5219999999</v>
      </c>
      <c r="AA247" s="25">
        <f>BP247</f>
        <v>3960525.7769999998</v>
      </c>
      <c r="AB247" s="145">
        <f>1374571.332+2834290.576-AB248</f>
        <v>4137966.5829999996</v>
      </c>
      <c r="AC247" s="25">
        <f>H247</f>
        <v>3736399.1210000003</v>
      </c>
      <c r="AD247" s="145">
        <f>606326.002+2626894.914</f>
        <v>3233220.9159999997</v>
      </c>
      <c r="AE247" s="6">
        <f>BQ247</f>
        <v>3278173.8930000002</v>
      </c>
      <c r="AF247" s="145">
        <f>629004.966+2810989.49</f>
        <v>3439994.4560000002</v>
      </c>
      <c r="AG247" s="25">
        <f>J247</f>
        <v>3257231.733</v>
      </c>
      <c r="AH247" s="145">
        <f>1328624.84+3046875.341</f>
        <v>4375500.1809999999</v>
      </c>
      <c r="AI247" s="6">
        <f>BR247</f>
        <v>4706666.3619999997</v>
      </c>
      <c r="AJ247" s="145">
        <f>731483.587+3662420.968</f>
        <v>4393904.5549999997</v>
      </c>
      <c r="AK247" s="25">
        <f>K247</f>
        <v>3760532.5449999999</v>
      </c>
      <c r="AL247" s="145">
        <f>487283.419+3237152.626</f>
        <v>3724436.0449999999</v>
      </c>
      <c r="AM247" s="6">
        <f>BS247</f>
        <v>3414487.1810000003</v>
      </c>
      <c r="AN247" s="145">
        <f>533694.915+2993474.688</f>
        <v>3527169.6030000001</v>
      </c>
      <c r="AO247" s="25">
        <f>L247</f>
        <v>3652008.0049999999</v>
      </c>
      <c r="AP247" s="145">
        <f>696771.731+3061885.674</f>
        <v>3758657.4050000003</v>
      </c>
      <c r="AQ247" s="6">
        <f>BT247</f>
        <v>4525011.4780000001</v>
      </c>
      <c r="AR247" s="145">
        <v>5033273.4560000002</v>
      </c>
      <c r="AS247" s="25">
        <f>M247</f>
        <v>4646310.5260000005</v>
      </c>
      <c r="AT247" s="145">
        <f>726682.537+ 3729316.37</f>
        <v>4455998.9069999997</v>
      </c>
      <c r="AU247" s="6">
        <f>BU247</f>
        <v>4455076.2749999994</v>
      </c>
      <c r="AV247" s="145">
        <v>4598625.0329999998</v>
      </c>
      <c r="AW247" s="25">
        <f>N247</f>
        <v>4618339.1030000001</v>
      </c>
      <c r="AX247" s="145">
        <f>666507.29+ 4201939.464</f>
        <v>4868446.7539999997</v>
      </c>
      <c r="AY247" s="6">
        <f>BV247</f>
        <v>4762154.5939999996</v>
      </c>
      <c r="AZ247" s="145">
        <v>4712267.693</v>
      </c>
      <c r="BA247" s="6">
        <f>O247</f>
        <v>4608539.7869999995</v>
      </c>
      <c r="BB247" s="145">
        <f>465643.527+3526695.351</f>
        <v>3992338.8779999996</v>
      </c>
      <c r="BC247" s="6">
        <f>BW247</f>
        <v>3907077.912</v>
      </c>
      <c r="BD247" s="145">
        <f>330020.672+3453955.119</f>
        <v>3783975.7910000002</v>
      </c>
      <c r="BE247" s="6">
        <f>P247</f>
        <v>3424827.0529999998</v>
      </c>
      <c r="BF247" s="145">
        <f>386586.551+3186737.756</f>
        <v>3573324.307</v>
      </c>
      <c r="BG247" s="142"/>
      <c r="BH247" s="145"/>
      <c r="BI247" s="145"/>
      <c r="BJ247" s="145"/>
      <c r="BK247" s="25"/>
      <c r="BL247" s="145">
        <f>606326.002+2626894.914</f>
        <v>3233220.9159999997</v>
      </c>
      <c r="BM247" s="145"/>
      <c r="BN247" s="145">
        <f>966490+2502579-BN248</f>
        <v>3380239.1710000001</v>
      </c>
      <c r="BO247" s="145">
        <f>986522.307+2831277.31-BO248</f>
        <v>3716174.1120000002</v>
      </c>
      <c r="BP247" s="145">
        <f>1120212.081+2911828.656-BP248</f>
        <v>3960525.7769999998</v>
      </c>
      <c r="BQ247" s="145">
        <f>557902.603+2720271.29</f>
        <v>3278173.8930000002</v>
      </c>
      <c r="BR247" s="145">
        <f>936453.02+3770213.342</f>
        <v>4706666.3619999997</v>
      </c>
      <c r="BS247" s="145">
        <f>444441.833+2970045.348</f>
        <v>3414487.1810000003</v>
      </c>
      <c r="BT247" s="145">
        <f>987095.117+3537916.361</f>
        <v>4525011.4780000001</v>
      </c>
      <c r="BU247" s="145">
        <f>466060.148+ 3989016.127</f>
        <v>4455076.2749999994</v>
      </c>
      <c r="BV247" s="145">
        <f>685597.118+4076557.476</f>
        <v>4762154.5939999996</v>
      </c>
      <c r="BW247" s="145">
        <f>341494.403+3565583.509</f>
        <v>3907077.912</v>
      </c>
      <c r="BX247" s="145"/>
      <c r="BY247" s="145"/>
      <c r="BZ247" s="145"/>
      <c r="CA247" s="145"/>
      <c r="CJ247" s="6"/>
      <c r="CK247" s="6"/>
      <c r="CL247" s="6"/>
    </row>
    <row r="248" spans="2:90" ht="13.5" customHeight="1">
      <c r="B248" s="1" t="s">
        <v>449</v>
      </c>
      <c r="C248" s="145">
        <f>21040.293+79536.222</f>
        <v>100576.515</v>
      </c>
      <c r="D248" s="145">
        <f>17876.208+70953.621</f>
        <v>88829.828999999998</v>
      </c>
      <c r="E248" s="145">
        <f>17584.299+89737.878</f>
        <v>107322.177</v>
      </c>
      <c r="F248" s="145">
        <f>13002.342+75624.827</f>
        <v>88627.169000000009</v>
      </c>
      <c r="G248" s="145">
        <f>13002.342+75624.827</f>
        <v>88627.169000000009</v>
      </c>
      <c r="H248" s="145">
        <f>7004.938+53246.434</f>
        <v>60251.372000000003</v>
      </c>
      <c r="I248" s="145">
        <f>7004.938+53246.434</f>
        <v>60251.372000000003</v>
      </c>
      <c r="J248" s="145">
        <f>82881.467+900374.562</f>
        <v>983256.0290000001</v>
      </c>
      <c r="K248" s="145">
        <f>79955.074+853592.987</f>
        <v>933548.06099999999</v>
      </c>
      <c r="L248" s="145">
        <f>96132.009+978459.876</f>
        <v>1074591.885</v>
      </c>
      <c r="M248" s="145">
        <f>103280.339+ 1076202.28</f>
        <v>1179482.6189999999</v>
      </c>
      <c r="N248" s="145">
        <f>112307.196+ 1093269.288</f>
        <v>1205576.4839999999</v>
      </c>
      <c r="O248" s="145">
        <f>123373.888+1275826.503</f>
        <v>1399200.3910000001</v>
      </c>
      <c r="P248" s="145">
        <f>133274.885+1314809.031</f>
        <v>1448083.916</v>
      </c>
      <c r="Q248" s="145"/>
      <c r="R248" s="145">
        <f>17054.753+62964.937</f>
        <v>80019.69</v>
      </c>
      <c r="S248" s="6">
        <f>BN248</f>
        <v>88829.828999999998</v>
      </c>
      <c r="T248" s="145">
        <f>16049.336+54445.929</f>
        <v>70495.264999999999</v>
      </c>
      <c r="U248" s="6">
        <f>E248</f>
        <v>107322.177</v>
      </c>
      <c r="V248" s="145">
        <f>15522.121+49957.276</f>
        <v>65479.396999999997</v>
      </c>
      <c r="W248" s="6">
        <f>BO248</f>
        <v>101625.505</v>
      </c>
      <c r="X248" s="145">
        <f>13012.431+80270.368</f>
        <v>93282.798999999999</v>
      </c>
      <c r="Y248" s="6">
        <f>F248</f>
        <v>88627.169000000009</v>
      </c>
      <c r="Z248" s="145">
        <f>9425.296+72275.514</f>
        <v>81700.81</v>
      </c>
      <c r="AA248" s="6">
        <f>BP248</f>
        <v>71514.959999999992</v>
      </c>
      <c r="AB248" s="145">
        <f>7871.299+63024.026</f>
        <v>70895.324999999997</v>
      </c>
      <c r="AC248" s="25">
        <f>H248</f>
        <v>60251.372000000003</v>
      </c>
      <c r="AD248" s="145">
        <f>100343.218+935200.154</f>
        <v>1035543.372</v>
      </c>
      <c r="AE248" s="6">
        <f>BQ248</f>
        <v>969528.53299999994</v>
      </c>
      <c r="AF248" s="145">
        <f>104756.997+859008.402</f>
        <v>963765.39899999998</v>
      </c>
      <c r="AG248" s="25">
        <f>J248</f>
        <v>983256.0290000001</v>
      </c>
      <c r="AH248" s="145">
        <f>79325.9+893815.054</f>
        <v>973140.95400000003</v>
      </c>
      <c r="AI248" s="6">
        <f>BR248</f>
        <v>993592.41100000008</v>
      </c>
      <c r="AJ248" s="145">
        <f>75554.767+879246.417</f>
        <v>954801.18400000001</v>
      </c>
      <c r="AK248" s="25">
        <f>K248</f>
        <v>933548.06099999999</v>
      </c>
      <c r="AL248" s="145">
        <f>79700.713+853868.849</f>
        <v>933569.56200000003</v>
      </c>
      <c r="AM248" s="6">
        <f>BS248</f>
        <v>937020.72600000002</v>
      </c>
      <c r="AN248" s="145">
        <f>82277.494+892776.801</f>
        <v>975054.29499999993</v>
      </c>
      <c r="AO248" s="25">
        <f>L248</f>
        <v>1074591.885</v>
      </c>
      <c r="AP248" s="145">
        <f>98684.143+999525.944</f>
        <v>1098210.0870000001</v>
      </c>
      <c r="AQ248" s="6">
        <f>BT248</f>
        <v>1176043.3500000001</v>
      </c>
      <c r="AR248" s="145">
        <v>1196325.3870000001</v>
      </c>
      <c r="AS248" s="25">
        <f>M248</f>
        <v>1179482.6189999999</v>
      </c>
      <c r="AT248" s="145">
        <f>102548.801+1039007.543</f>
        <v>1141556.344</v>
      </c>
      <c r="AU248" s="6">
        <f>BU248</f>
        <v>1159812.942</v>
      </c>
      <c r="AV248" s="145">
        <v>1203140.83</v>
      </c>
      <c r="AW248" s="25">
        <f>N248</f>
        <v>1205576.4839999999</v>
      </c>
      <c r="AX248" s="145">
        <f>113019.292+1144232.637</f>
        <v>1257251.929</v>
      </c>
      <c r="AY248" s="6">
        <f>BV248</f>
        <v>1316721.6199999999</v>
      </c>
      <c r="AZ248" s="145">
        <v>1297144.835</v>
      </c>
      <c r="BA248" s="6">
        <f>O248</f>
        <v>1399200.3910000001</v>
      </c>
      <c r="BB248" s="145">
        <f>126109.394+1255105.804</f>
        <v>1381215.1980000001</v>
      </c>
      <c r="BC248" s="6">
        <f>BW248</f>
        <v>1438711.5820000002</v>
      </c>
      <c r="BD248" s="145">
        <f>129100.277+1280527.285</f>
        <v>1409627.5619999999</v>
      </c>
      <c r="BE248" s="6">
        <f>P248</f>
        <v>1448083.916</v>
      </c>
      <c r="BF248" s="145">
        <f>133112.241+1317996.979</f>
        <v>1451109.22</v>
      </c>
      <c r="BG248" s="142"/>
      <c r="BH248" s="145"/>
      <c r="BI248" s="145"/>
      <c r="BJ248" s="145"/>
      <c r="BK248" s="25"/>
      <c r="BL248" s="145">
        <f>100343.218+935200.154</f>
        <v>1035543.372</v>
      </c>
      <c r="BM248" s="145"/>
      <c r="BN248" s="145">
        <f>D248</f>
        <v>88829.828999999998</v>
      </c>
      <c r="BO248" s="145">
        <f>15442.845+86182.66</f>
        <v>101625.505</v>
      </c>
      <c r="BP248" s="145">
        <f>7533.127+63981.833</f>
        <v>71514.959999999992</v>
      </c>
      <c r="BQ248" s="145">
        <f>106433.421+863095.112</f>
        <v>969528.53299999994</v>
      </c>
      <c r="BR248" s="145">
        <f>78259.851+915332.56</f>
        <v>993592.41100000008</v>
      </c>
      <c r="BS248" s="145">
        <f>80001.498+857019.228</f>
        <v>937020.72600000002</v>
      </c>
      <c r="BT248" s="145">
        <f>104282.587+1071760.763</f>
        <v>1176043.3500000001</v>
      </c>
      <c r="BU248" s="145">
        <f>108151.979+1051660.963</f>
        <v>1159812.942</v>
      </c>
      <c r="BV248" s="145">
        <f>114410.123+1202311.497</f>
        <v>1316721.6199999999</v>
      </c>
      <c r="BW248" s="145">
        <f>126889.671+1311821.911</f>
        <v>1438711.5820000002</v>
      </c>
      <c r="BX248" s="145"/>
      <c r="BY248" s="145"/>
      <c r="BZ248" s="145"/>
      <c r="CA248" s="145"/>
      <c r="CJ248" s="6"/>
      <c r="CK248" s="6"/>
      <c r="CL248" s="6"/>
    </row>
    <row r="249" spans="2:90" ht="13.5" customHeight="1">
      <c r="B249" s="1" t="s">
        <v>450</v>
      </c>
      <c r="C249" s="145">
        <v>1111999.7919999999</v>
      </c>
      <c r="D249" s="145">
        <v>1283318.5919999999</v>
      </c>
      <c r="E249" s="145">
        <v>1600468.6640000001</v>
      </c>
      <c r="F249" s="145">
        <v>1700687.2290000001</v>
      </c>
      <c r="G249" s="145">
        <v>1700687.2290000001</v>
      </c>
      <c r="H249" s="145">
        <v>1904961.057</v>
      </c>
      <c r="I249" s="145">
        <v>1091952.243</v>
      </c>
      <c r="J249" s="145">
        <v>1131763.054</v>
      </c>
      <c r="K249" s="145">
        <v>989969.598</v>
      </c>
      <c r="L249" s="145">
        <v>1117641.9639999999</v>
      </c>
      <c r="M249" s="145">
        <v>1203979.709</v>
      </c>
      <c r="N249" s="145">
        <f>1389068.077</f>
        <v>1389068.077</v>
      </c>
      <c r="O249" s="145">
        <v>1519894.723</v>
      </c>
      <c r="P249" s="145">
        <v>1521463.2609999999</v>
      </c>
      <c r="Q249" s="145"/>
      <c r="R249" s="145">
        <v>1276139.0630000001</v>
      </c>
      <c r="S249" s="6">
        <f>BN249</f>
        <v>1600468.6640000001</v>
      </c>
      <c r="T249" s="145">
        <v>1599732.625</v>
      </c>
      <c r="U249" s="6">
        <f>E249</f>
        <v>1600468.6640000001</v>
      </c>
      <c r="V249" s="145">
        <v>1703599.5190000001</v>
      </c>
      <c r="W249" s="6">
        <f>BO249</f>
        <v>1674406.389</v>
      </c>
      <c r="X249" s="145">
        <v>1732670.7420000001</v>
      </c>
      <c r="Y249" s="6">
        <f>F249</f>
        <v>1700687.2290000001</v>
      </c>
      <c r="Z249" s="145">
        <v>1690631.5719999999</v>
      </c>
      <c r="AA249" s="6">
        <f>BP249</f>
        <v>1757529.3289999999</v>
      </c>
      <c r="AB249" s="145">
        <v>1859591.0179999999</v>
      </c>
      <c r="AC249" s="25">
        <f>H249</f>
        <v>1904961.057</v>
      </c>
      <c r="AD249" s="145">
        <v>1157805.057</v>
      </c>
      <c r="AE249" s="6">
        <f>BQ249</f>
        <v>1197995.67</v>
      </c>
      <c r="AF249" s="145">
        <v>1244818.6259999999</v>
      </c>
      <c r="AG249" s="6">
        <f>J249</f>
        <v>1131763.054</v>
      </c>
      <c r="AH249" s="145">
        <v>1190893.56</v>
      </c>
      <c r="AI249" s="6">
        <f>BR249</f>
        <v>1164843.9750000001</v>
      </c>
      <c r="AJ249" s="145">
        <v>1105629.361</v>
      </c>
      <c r="AK249" s="6">
        <f>K249</f>
        <v>989969.598</v>
      </c>
      <c r="AL249" s="145">
        <v>1013319.198</v>
      </c>
      <c r="AM249" s="6">
        <f>BS249</f>
        <v>1011987.379</v>
      </c>
      <c r="AN249" s="145">
        <v>1040555.366</v>
      </c>
      <c r="AO249" s="6">
        <f>L249</f>
        <v>1117641.9639999999</v>
      </c>
      <c r="AP249" s="145">
        <v>1132028.439</v>
      </c>
      <c r="AQ249" s="6">
        <f>BT249</f>
        <v>1154922.9029999999</v>
      </c>
      <c r="AR249" s="145">
        <v>1224216.825</v>
      </c>
      <c r="AS249" s="25">
        <f>M249</f>
        <v>1203979.709</v>
      </c>
      <c r="AT249" s="145">
        <v>1226571.97</v>
      </c>
      <c r="AU249" s="6">
        <f>BU249</f>
        <v>1191990.9779999999</v>
      </c>
      <c r="AV249" s="145">
        <v>1234725.9029999999</v>
      </c>
      <c r="AW249" s="25">
        <f>N249</f>
        <v>1389068.077</v>
      </c>
      <c r="AX249" s="145">
        <v>1437681.227</v>
      </c>
      <c r="AY249" s="6">
        <f>BV249</f>
        <v>1452906.791</v>
      </c>
      <c r="AZ249" s="145">
        <v>1537584.527</v>
      </c>
      <c r="BA249" s="6">
        <f>O249</f>
        <v>1519894.723</v>
      </c>
      <c r="BB249" s="145">
        <v>1575311.061</v>
      </c>
      <c r="BC249" s="6">
        <f>BW249</f>
        <v>1538267.443</v>
      </c>
      <c r="BD249" s="145">
        <v>1562338.5630000001</v>
      </c>
      <c r="BE249" s="6">
        <f>P249</f>
        <v>1521463.2609999999</v>
      </c>
      <c r="BF249" s="145">
        <v>1550951.537</v>
      </c>
      <c r="BG249" s="142"/>
      <c r="BH249" s="145"/>
      <c r="BI249" s="145"/>
      <c r="BJ249" s="145"/>
      <c r="BK249" s="25"/>
      <c r="BL249" s="145">
        <v>1157805.057</v>
      </c>
      <c r="BM249" s="145"/>
      <c r="BN249" s="145">
        <f>E249</f>
        <v>1600468.6640000001</v>
      </c>
      <c r="BO249" s="145">
        <v>1674406.389</v>
      </c>
      <c r="BP249" s="145">
        <v>1757529.3289999999</v>
      </c>
      <c r="BQ249" s="145">
        <v>1197995.67</v>
      </c>
      <c r="BR249" s="145">
        <v>1164843.9750000001</v>
      </c>
      <c r="BS249" s="145">
        <v>1011987.379</v>
      </c>
      <c r="BT249" s="145">
        <v>1154922.9029999999</v>
      </c>
      <c r="BU249" s="145">
        <v>1191990.9779999999</v>
      </c>
      <c r="BV249" s="145">
        <f>1452906.791</f>
        <v>1452906.791</v>
      </c>
      <c r="BW249" s="145">
        <v>1538267.443</v>
      </c>
      <c r="BX249" s="145"/>
      <c r="BY249" s="145"/>
      <c r="BZ249" s="145"/>
      <c r="CA249" s="145"/>
      <c r="CJ249" s="6"/>
      <c r="CK249" s="6"/>
      <c r="CL249" s="6"/>
    </row>
    <row r="250" spans="2:90" ht="13.5" customHeight="1">
      <c r="B250" s="1" t="s">
        <v>451</v>
      </c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V250" s="37"/>
      <c r="W250" s="37"/>
      <c r="AA250" s="37"/>
      <c r="AE250" s="37"/>
      <c r="AI250" s="37"/>
      <c r="AM250" s="37"/>
      <c r="AQ250" s="37"/>
      <c r="AU250" s="37"/>
      <c r="AY250" s="37"/>
      <c r="BC250" s="37"/>
      <c r="BG250" s="142"/>
      <c r="BW250" s="37"/>
      <c r="CJ250" s="6"/>
      <c r="CK250" s="6"/>
      <c r="CL250" s="6"/>
    </row>
    <row r="251" spans="2:90" ht="13.5" customHeight="1"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V251" s="37"/>
      <c r="W251" s="37"/>
      <c r="AA251" s="37"/>
      <c r="AE251" s="37"/>
      <c r="AI251" s="37"/>
      <c r="AM251" s="37"/>
      <c r="AQ251" s="37"/>
      <c r="AU251" s="37"/>
      <c r="AY251" s="37"/>
      <c r="BC251" s="37"/>
      <c r="BG251" s="142"/>
      <c r="CJ251" s="6"/>
      <c r="CK251" s="6"/>
      <c r="CL251" s="6"/>
    </row>
    <row r="252" spans="2:90" ht="13.5" customHeight="1">
      <c r="B252" s="7" t="s">
        <v>452</v>
      </c>
      <c r="C252" s="6">
        <f t="shared" ref="C252:H252" si="866">C154</f>
        <v>211219.86799999999</v>
      </c>
      <c r="D252" s="6">
        <f t="shared" si="866"/>
        <v>207308.226</v>
      </c>
      <c r="E252" s="6">
        <f t="shared" si="866"/>
        <v>201319.63399999999</v>
      </c>
      <c r="F252" s="6">
        <f t="shared" si="866"/>
        <v>232027.185</v>
      </c>
      <c r="G252" s="6">
        <f t="shared" si="866"/>
        <v>232027.185</v>
      </c>
      <c r="H252" s="6">
        <f t="shared" si="866"/>
        <v>352100.505</v>
      </c>
      <c r="I252" s="6">
        <f t="shared" ref="I252:N252" si="867">I154</f>
        <v>317491.38199999998</v>
      </c>
      <c r="J252" s="6">
        <f t="shared" si="867"/>
        <v>299965.353</v>
      </c>
      <c r="K252" s="6">
        <f t="shared" si="867"/>
        <v>1216193.92</v>
      </c>
      <c r="L252" s="6">
        <f t="shared" si="867"/>
        <v>533265.53799999994</v>
      </c>
      <c r="M252" s="6">
        <f>M154</f>
        <v>624072.76100000006</v>
      </c>
      <c r="N252" s="6">
        <f t="shared" si="867"/>
        <v>1077819.1440000001</v>
      </c>
      <c r="O252" s="6">
        <f>O154</f>
        <v>1638385.1910000001</v>
      </c>
      <c r="P252" s="6">
        <f>P154</f>
        <v>1584721.2420000001</v>
      </c>
      <c r="Q252" s="6"/>
      <c r="R252" s="6">
        <f t="shared" ref="R252:W252" si="868">R154</f>
        <v>193206.2</v>
      </c>
      <c r="S252" s="6">
        <f t="shared" si="868"/>
        <v>177135</v>
      </c>
      <c r="T252" s="6">
        <f t="shared" si="868"/>
        <v>159692.177</v>
      </c>
      <c r="U252" s="6">
        <f t="shared" si="868"/>
        <v>201319.63399999999</v>
      </c>
      <c r="V252" s="6">
        <f t="shared" si="868"/>
        <v>194491.576</v>
      </c>
      <c r="W252" s="6">
        <f t="shared" si="868"/>
        <v>176831.27100000001</v>
      </c>
      <c r="X252" s="6">
        <f t="shared" ref="X252:AD252" si="869">X154</f>
        <v>208937.655</v>
      </c>
      <c r="Y252" s="6">
        <f t="shared" si="869"/>
        <v>232027.185</v>
      </c>
      <c r="Z252" s="6">
        <f t="shared" si="869"/>
        <v>218718.345</v>
      </c>
      <c r="AA252" s="6">
        <f t="shared" si="869"/>
        <v>213362.99600000001</v>
      </c>
      <c r="AB252" s="6">
        <f t="shared" si="869"/>
        <v>206510.514</v>
      </c>
      <c r="AC252" s="6">
        <f t="shared" si="869"/>
        <v>352100.505</v>
      </c>
      <c r="AD252" s="6">
        <f t="shared" si="869"/>
        <v>293633.41700000002</v>
      </c>
      <c r="AE252" s="6">
        <f t="shared" ref="AE252:AJ252" si="870">AE154</f>
        <v>192945.21299999999</v>
      </c>
      <c r="AF252" s="6">
        <f t="shared" si="870"/>
        <v>229137.32399999999</v>
      </c>
      <c r="AG252" s="6">
        <f t="shared" si="870"/>
        <v>299965.353</v>
      </c>
      <c r="AH252" s="6">
        <f t="shared" si="870"/>
        <v>909838.07200000004</v>
      </c>
      <c r="AI252" s="6">
        <f t="shared" si="870"/>
        <v>1430984.8219999999</v>
      </c>
      <c r="AJ252" s="6">
        <f t="shared" si="870"/>
        <v>1213621.4539999999</v>
      </c>
      <c r="AK252" s="6">
        <f t="shared" ref="AK252:AP252" si="871">AK154</f>
        <v>1216193.92</v>
      </c>
      <c r="AL252" s="6">
        <f t="shared" si="871"/>
        <v>1019794.078</v>
      </c>
      <c r="AM252" s="6">
        <f t="shared" si="871"/>
        <v>814874.99</v>
      </c>
      <c r="AN252" s="6">
        <f t="shared" si="871"/>
        <v>527594.04</v>
      </c>
      <c r="AO252" s="6">
        <f t="shared" si="871"/>
        <v>533265.53799999994</v>
      </c>
      <c r="AP252" s="6">
        <f t="shared" si="871"/>
        <v>352744.19099999999</v>
      </c>
      <c r="AQ252" s="6">
        <f t="shared" ref="AQ252:AV252" si="872">AQ154</f>
        <v>547018.77300000004</v>
      </c>
      <c r="AR252" s="6">
        <f t="shared" si="872"/>
        <v>658219.54099999997</v>
      </c>
      <c r="AS252" s="6">
        <f t="shared" si="872"/>
        <v>624072.76100000006</v>
      </c>
      <c r="AT252" s="6">
        <f t="shared" si="872"/>
        <v>524616.72100000002</v>
      </c>
      <c r="AU252" s="6">
        <f t="shared" si="872"/>
        <v>403296.81</v>
      </c>
      <c r="AV252" s="6">
        <f t="shared" si="872"/>
        <v>649839.18299999996</v>
      </c>
      <c r="AW252" s="6">
        <f t="shared" ref="AW252:BB252" si="873">AW154</f>
        <v>1077819.1440000001</v>
      </c>
      <c r="AX252" s="6">
        <f t="shared" si="873"/>
        <v>948928.08200000005</v>
      </c>
      <c r="AY252" s="6">
        <f t="shared" si="873"/>
        <v>982869.77500000002</v>
      </c>
      <c r="AZ252" s="6">
        <f t="shared" si="873"/>
        <v>1359756.862</v>
      </c>
      <c r="BA252" s="6">
        <f t="shared" si="873"/>
        <v>1638385.1910000001</v>
      </c>
      <c r="BB252" s="6">
        <f t="shared" si="873"/>
        <v>1074929.2690000001</v>
      </c>
      <c r="BC252" s="6">
        <f>BC154</f>
        <v>1467862.0460000001</v>
      </c>
      <c r="BD252" s="6">
        <f>BD154</f>
        <v>1340530.344</v>
      </c>
      <c r="BE252" s="6">
        <f>BE154</f>
        <v>1584721.2420000001</v>
      </c>
      <c r="BF252" s="6">
        <f>BF154</f>
        <v>1828563.2919999999</v>
      </c>
      <c r="BG252" s="142"/>
      <c r="BH252" s="6"/>
      <c r="BI252" s="6"/>
      <c r="BJ252" s="6"/>
      <c r="BK252" s="6"/>
      <c r="BL252" s="6">
        <f>BL154</f>
        <v>299965.353</v>
      </c>
      <c r="BM252" s="6"/>
      <c r="BN252" s="6">
        <f>BN154</f>
        <v>177135</v>
      </c>
      <c r="BO252" s="6">
        <f>BO154</f>
        <v>176831.27100000001</v>
      </c>
      <c r="BP252" s="145">
        <v>213362.99600000001</v>
      </c>
      <c r="BQ252" s="6">
        <f t="shared" ref="BQ252:BV252" si="874">BQ154</f>
        <v>192945.21299999999</v>
      </c>
      <c r="BR252" s="6">
        <f t="shared" si="874"/>
        <v>1430984.8219999999</v>
      </c>
      <c r="BS252" s="6">
        <f t="shared" si="874"/>
        <v>814874.99</v>
      </c>
      <c r="BT252" s="6">
        <f t="shared" si="874"/>
        <v>547018.77300000004</v>
      </c>
      <c r="BU252" s="6">
        <f t="shared" si="874"/>
        <v>403296.81</v>
      </c>
      <c r="BV252" s="6">
        <f t="shared" si="874"/>
        <v>982869.77500000002</v>
      </c>
      <c r="BW252" s="6">
        <f>BW154</f>
        <v>1467862.0460000001</v>
      </c>
      <c r="BX252" s="6"/>
      <c r="BY252" s="6"/>
      <c r="BZ252" s="6"/>
      <c r="CA252" s="6"/>
      <c r="CJ252" s="6"/>
      <c r="CK252" s="6"/>
      <c r="CL252" s="6"/>
    </row>
    <row r="253" spans="2:90" ht="13.5" customHeight="1">
      <c r="B253" s="7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142"/>
      <c r="BH253" s="4"/>
      <c r="BI253" s="4"/>
      <c r="BJ253" s="4"/>
      <c r="BK253" s="4"/>
      <c r="BL253" s="4"/>
      <c r="BM253" s="4"/>
      <c r="BN253" s="37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J253" s="6"/>
      <c r="CK253" s="6"/>
      <c r="CL253" s="6"/>
    </row>
    <row r="254" spans="2:90" ht="13.5" customHeight="1">
      <c r="B254" s="5" t="s">
        <v>14</v>
      </c>
      <c r="C254" s="8">
        <f t="shared" ref="C254:H254" si="875">C247-C252</f>
        <v>2741093.7170000002</v>
      </c>
      <c r="D254" s="8">
        <f t="shared" si="875"/>
        <v>3143409.8870000001</v>
      </c>
      <c r="E254" s="8">
        <f t="shared" si="875"/>
        <v>3454459.4980000001</v>
      </c>
      <c r="F254" s="8">
        <f t="shared" si="875"/>
        <v>3520168.9699999997</v>
      </c>
      <c r="G254" s="8">
        <f t="shared" si="875"/>
        <v>3520168.9699999997</v>
      </c>
      <c r="H254" s="8">
        <f t="shared" si="875"/>
        <v>3384298.6160000004</v>
      </c>
      <c r="I254" s="8">
        <f t="shared" ref="I254:N254" si="876">I247-I252</f>
        <v>2987056.49</v>
      </c>
      <c r="J254" s="8">
        <f t="shared" si="876"/>
        <v>2957266.38</v>
      </c>
      <c r="K254" s="8">
        <f t="shared" si="876"/>
        <v>2544338.625</v>
      </c>
      <c r="L254" s="8">
        <f t="shared" si="876"/>
        <v>3118742.4670000002</v>
      </c>
      <c r="M254" s="8">
        <f>M247-M252</f>
        <v>4022237.7650000006</v>
      </c>
      <c r="N254" s="8">
        <f t="shared" si="876"/>
        <v>3540519.9589999998</v>
      </c>
      <c r="O254" s="8">
        <f>O247-O252</f>
        <v>2970154.5959999994</v>
      </c>
      <c r="P254" s="8">
        <f>P247-P252</f>
        <v>1840105.8109999998</v>
      </c>
      <c r="Q254" s="8"/>
      <c r="R254" s="8">
        <f>R247-R252</f>
        <v>3034681.7469999995</v>
      </c>
      <c r="S254" s="8">
        <f>S247-S252</f>
        <v>3203104.1710000001</v>
      </c>
      <c r="T254" s="8">
        <f>T247-T252</f>
        <v>3319105.4859999996</v>
      </c>
      <c r="U254" s="8">
        <f>U247-U252</f>
        <v>3454459.4980000001</v>
      </c>
      <c r="V254" s="8">
        <f>V247-V252</f>
        <v>3460112.2290000003</v>
      </c>
      <c r="W254" s="8">
        <f>BO254</f>
        <v>3539342.841</v>
      </c>
      <c r="X254" s="8">
        <f>X247-X252</f>
        <v>3561990.9280000003</v>
      </c>
      <c r="Y254" s="260">
        <f>Y247-Y252</f>
        <v>3520168.9699999997</v>
      </c>
      <c r="Z254" s="8">
        <f>Z247-Z252</f>
        <v>3502663.1769999997</v>
      </c>
      <c r="AA254" s="8">
        <f>BP254</f>
        <v>3747162.781</v>
      </c>
      <c r="AB254" s="8">
        <f>AB247-AB252</f>
        <v>3931456.0689999997</v>
      </c>
      <c r="AC254" s="8">
        <f>AC247-AC252</f>
        <v>3384298.6160000004</v>
      </c>
      <c r="AD254" s="8">
        <f>AD247-AD252</f>
        <v>2939587.4989999998</v>
      </c>
      <c r="AE254" s="8">
        <f>BQ254</f>
        <v>3085228.68</v>
      </c>
      <c r="AF254" s="8">
        <f>AF247-AF252</f>
        <v>3210857.1320000002</v>
      </c>
      <c r="AG254" s="8">
        <f>AG247-AG252</f>
        <v>2957266.38</v>
      </c>
      <c r="AH254" s="8">
        <f>AH247-AH252</f>
        <v>3465662.1089999997</v>
      </c>
      <c r="AI254" s="8">
        <f>BR254</f>
        <v>3275681.54</v>
      </c>
      <c r="AJ254" s="8">
        <f>AJ247-AJ252</f>
        <v>3180283.1009999998</v>
      </c>
      <c r="AK254" s="8">
        <f>AK247-AK252</f>
        <v>2544338.625</v>
      </c>
      <c r="AL254" s="8">
        <f>AL247-AL252</f>
        <v>2704641.9670000002</v>
      </c>
      <c r="AM254" s="8">
        <f>BS254</f>
        <v>2599612.1910000006</v>
      </c>
      <c r="AN254" s="8">
        <f>AN247-AN252</f>
        <v>2999575.5630000001</v>
      </c>
      <c r="AO254" s="8">
        <f>AO247-AO252</f>
        <v>3118742.4670000002</v>
      </c>
      <c r="AP254" s="8">
        <f>AP247-AP252</f>
        <v>3405913.2140000002</v>
      </c>
      <c r="AQ254" s="8">
        <f>BT254</f>
        <v>3977992.7050000001</v>
      </c>
      <c r="AR254" s="8">
        <f t="shared" ref="AR254:AW254" si="877">AR247-AR252</f>
        <v>4375053.915</v>
      </c>
      <c r="AS254" s="8">
        <f t="shared" si="877"/>
        <v>4022237.7650000006</v>
      </c>
      <c r="AT254" s="8">
        <f t="shared" si="877"/>
        <v>3931382.1859999998</v>
      </c>
      <c r="AU254" s="8">
        <f t="shared" si="877"/>
        <v>4051779.4649999994</v>
      </c>
      <c r="AV254" s="8">
        <f t="shared" si="877"/>
        <v>3948785.8499999996</v>
      </c>
      <c r="AW254" s="8">
        <f t="shared" si="877"/>
        <v>3540519.9589999998</v>
      </c>
      <c r="AX254" s="8">
        <f t="shared" ref="AX254:BC254" si="878">AX247-AX252</f>
        <v>3919518.6719999998</v>
      </c>
      <c r="AY254" s="8">
        <f t="shared" si="878"/>
        <v>3779284.8189999997</v>
      </c>
      <c r="AZ254" s="8">
        <f t="shared" si="878"/>
        <v>3352510.8310000002</v>
      </c>
      <c r="BA254" s="8">
        <f t="shared" si="878"/>
        <v>2970154.5959999994</v>
      </c>
      <c r="BB254" s="8">
        <f t="shared" si="878"/>
        <v>2917409.6089999992</v>
      </c>
      <c r="BC254" s="8">
        <f t="shared" si="878"/>
        <v>2439215.8659999999</v>
      </c>
      <c r="BD254" s="8">
        <f>BD247-BD252</f>
        <v>2443445.4470000002</v>
      </c>
      <c r="BE254" s="8">
        <f>BE247-BE252</f>
        <v>1840105.8109999998</v>
      </c>
      <c r="BF254" s="8">
        <f>BF247-BF252</f>
        <v>1744761.0150000001</v>
      </c>
      <c r="BG254" s="142"/>
      <c r="BH254" s="8"/>
      <c r="BI254" s="8"/>
      <c r="BJ254" s="8"/>
      <c r="BK254" s="8"/>
      <c r="BL254" s="8">
        <f>BL247-BL252</f>
        <v>2933255.5629999996</v>
      </c>
      <c r="BM254" s="8"/>
      <c r="BN254" s="8">
        <f t="shared" ref="BN254:BS254" si="879">BN247-BN252</f>
        <v>3203104.1710000001</v>
      </c>
      <c r="BO254" s="8">
        <f t="shared" si="879"/>
        <v>3539342.841</v>
      </c>
      <c r="BP254" s="8">
        <f t="shared" si="879"/>
        <v>3747162.781</v>
      </c>
      <c r="BQ254" s="8">
        <f t="shared" si="879"/>
        <v>3085228.68</v>
      </c>
      <c r="BR254" s="8">
        <f t="shared" si="879"/>
        <v>3275681.54</v>
      </c>
      <c r="BS254" s="8">
        <f t="shared" si="879"/>
        <v>2599612.1910000006</v>
      </c>
      <c r="BT254" s="8">
        <f>BT247-BT252</f>
        <v>3977992.7050000001</v>
      </c>
      <c r="BU254" s="8">
        <f>BU247-BU252</f>
        <v>4051779.4649999994</v>
      </c>
      <c r="BV254" s="8">
        <f>BV247-BV252</f>
        <v>3779284.8189999997</v>
      </c>
      <c r="BW254" s="8">
        <f>BW247-BW252</f>
        <v>2439215.8659999999</v>
      </c>
      <c r="BX254" s="8"/>
      <c r="BY254" s="8"/>
      <c r="BZ254" s="8"/>
      <c r="CA254" s="8"/>
      <c r="CJ254" s="6"/>
      <c r="CK254" s="6"/>
      <c r="CL254" s="6"/>
    </row>
    <row r="255" spans="2:90" s="5" customFormat="1" ht="13.5" customHeight="1">
      <c r="B255" s="5" t="s">
        <v>453</v>
      </c>
      <c r="C255" s="8">
        <f t="shared" ref="C255:H255" si="880">C247</f>
        <v>2952313.585</v>
      </c>
      <c r="D255" s="8">
        <f t="shared" si="880"/>
        <v>3350718.1129999999</v>
      </c>
      <c r="E255" s="8">
        <f t="shared" si="880"/>
        <v>3655779.1320000002</v>
      </c>
      <c r="F255" s="8">
        <f t="shared" si="880"/>
        <v>3752196.1549999998</v>
      </c>
      <c r="G255" s="8">
        <f t="shared" si="880"/>
        <v>3752196.1549999998</v>
      </c>
      <c r="H255" s="8">
        <f t="shared" si="880"/>
        <v>3736399.1210000003</v>
      </c>
      <c r="I255" s="8">
        <f t="shared" ref="I255:N255" si="881">I247</f>
        <v>3304547.872</v>
      </c>
      <c r="J255" s="8">
        <f t="shared" si="881"/>
        <v>3257231.733</v>
      </c>
      <c r="K255" s="8">
        <f t="shared" si="881"/>
        <v>3760532.5449999999</v>
      </c>
      <c r="L255" s="8">
        <f t="shared" si="881"/>
        <v>3652008.0049999999</v>
      </c>
      <c r="M255" s="8">
        <f>M247</f>
        <v>4646310.5260000005</v>
      </c>
      <c r="N255" s="8">
        <f t="shared" si="881"/>
        <v>4618339.1030000001</v>
      </c>
      <c r="O255" s="8">
        <f>O247</f>
        <v>4608539.7869999995</v>
      </c>
      <c r="P255" s="8">
        <f>P247</f>
        <v>3424827.0529999998</v>
      </c>
      <c r="Q255" s="8"/>
      <c r="R255" s="8">
        <f>R247</f>
        <v>3227887.9469999997</v>
      </c>
      <c r="S255" s="8">
        <f>S247</f>
        <v>3380239.1710000001</v>
      </c>
      <c r="T255" s="8">
        <f>T247</f>
        <v>3478797.6629999997</v>
      </c>
      <c r="U255" s="8">
        <f>U247</f>
        <v>3655779.1320000002</v>
      </c>
      <c r="V255" s="8">
        <f>V247</f>
        <v>3654603.8050000002</v>
      </c>
      <c r="W255" s="8">
        <f>BO255</f>
        <v>3716174.1120000002</v>
      </c>
      <c r="X255" s="8">
        <f>X247</f>
        <v>3770928.5830000001</v>
      </c>
      <c r="Y255" s="8">
        <f>Y247</f>
        <v>3752196.1549999998</v>
      </c>
      <c r="Z255" s="8">
        <f>Z247</f>
        <v>3721381.5219999999</v>
      </c>
      <c r="AA255" s="8">
        <f>BP255</f>
        <v>3960525.7769999998</v>
      </c>
      <c r="AB255" s="8">
        <f>AB247</f>
        <v>4137966.5829999996</v>
      </c>
      <c r="AC255" s="8">
        <f>AC247</f>
        <v>3736399.1210000003</v>
      </c>
      <c r="AD255" s="8">
        <f>AD247</f>
        <v>3233220.9159999997</v>
      </c>
      <c r="AE255" s="8">
        <f>BQ255</f>
        <v>3278173.8930000002</v>
      </c>
      <c r="AF255" s="8">
        <f>AF247</f>
        <v>3439994.4560000002</v>
      </c>
      <c r="AG255" s="8">
        <f>AG247</f>
        <v>3257231.733</v>
      </c>
      <c r="AH255" s="8">
        <f>AH247</f>
        <v>4375500.1809999999</v>
      </c>
      <c r="AI255" s="8">
        <f>BR255</f>
        <v>4706666.3619999997</v>
      </c>
      <c r="AJ255" s="8">
        <f>AJ247</f>
        <v>4393904.5549999997</v>
      </c>
      <c r="AK255" s="8">
        <f>AK247</f>
        <v>3760532.5449999999</v>
      </c>
      <c r="AL255" s="8">
        <f>AL247</f>
        <v>3724436.0449999999</v>
      </c>
      <c r="AM255" s="8">
        <f>BS255</f>
        <v>3414487.1810000003</v>
      </c>
      <c r="AN255" s="8">
        <f>AN247</f>
        <v>3527169.6030000001</v>
      </c>
      <c r="AO255" s="8">
        <f>AO247</f>
        <v>3652008.0049999999</v>
      </c>
      <c r="AP255" s="8">
        <f>AP247</f>
        <v>3758657.4050000003</v>
      </c>
      <c r="AQ255" s="8">
        <f>BT255</f>
        <v>4525011.4780000001</v>
      </c>
      <c r="AR255" s="8">
        <f t="shared" ref="AR255:AW255" si="882">AR247</f>
        <v>5033273.4560000002</v>
      </c>
      <c r="AS255" s="8">
        <f t="shared" si="882"/>
        <v>4646310.5260000005</v>
      </c>
      <c r="AT255" s="8">
        <f t="shared" si="882"/>
        <v>4455998.9069999997</v>
      </c>
      <c r="AU255" s="8">
        <f t="shared" si="882"/>
        <v>4455076.2749999994</v>
      </c>
      <c r="AV255" s="8">
        <f t="shared" si="882"/>
        <v>4598625.0329999998</v>
      </c>
      <c r="AW255" s="8">
        <f t="shared" si="882"/>
        <v>4618339.1030000001</v>
      </c>
      <c r="AX255" s="8">
        <f t="shared" ref="AX255:BC255" si="883">AX247</f>
        <v>4868446.7539999997</v>
      </c>
      <c r="AY255" s="8">
        <f t="shared" si="883"/>
        <v>4762154.5939999996</v>
      </c>
      <c r="AZ255" s="8">
        <f t="shared" si="883"/>
        <v>4712267.693</v>
      </c>
      <c r="BA255" s="8">
        <f t="shared" si="883"/>
        <v>4608539.7869999995</v>
      </c>
      <c r="BB255" s="8">
        <f t="shared" si="883"/>
        <v>3992338.8779999996</v>
      </c>
      <c r="BC255" s="8">
        <f t="shared" si="883"/>
        <v>3907077.912</v>
      </c>
      <c r="BD255" s="8">
        <f>BD247</f>
        <v>3783975.7910000002</v>
      </c>
      <c r="BE255" s="8">
        <f>BE247</f>
        <v>3424827.0529999998</v>
      </c>
      <c r="BF255" s="8">
        <f>BF247</f>
        <v>3573324.307</v>
      </c>
      <c r="BG255" s="142"/>
      <c r="BH255" s="8"/>
      <c r="BI255" s="8"/>
      <c r="BJ255" s="8"/>
      <c r="BK255" s="8"/>
      <c r="BL255" s="8">
        <f>BL247</f>
        <v>3233220.9159999997</v>
      </c>
      <c r="BM255" s="8"/>
      <c r="BN255" s="8">
        <f t="shared" ref="BN255:BS255" si="884">BN247</f>
        <v>3380239.1710000001</v>
      </c>
      <c r="BO255" s="8">
        <f t="shared" si="884"/>
        <v>3716174.1120000002</v>
      </c>
      <c r="BP255" s="8">
        <f t="shared" si="884"/>
        <v>3960525.7769999998</v>
      </c>
      <c r="BQ255" s="8">
        <f t="shared" si="884"/>
        <v>3278173.8930000002</v>
      </c>
      <c r="BR255" s="8">
        <f t="shared" si="884"/>
        <v>4706666.3619999997</v>
      </c>
      <c r="BS255" s="8">
        <f t="shared" si="884"/>
        <v>3414487.1810000003</v>
      </c>
      <c r="BT255" s="8">
        <f>BT247</f>
        <v>4525011.4780000001</v>
      </c>
      <c r="BU255" s="8">
        <f>BU247</f>
        <v>4455076.2749999994</v>
      </c>
      <c r="BV255" s="8">
        <f>BV247</f>
        <v>4762154.5939999996</v>
      </c>
      <c r="BW255" s="8">
        <f>BW247</f>
        <v>3907077.912</v>
      </c>
      <c r="BX255" s="8"/>
      <c r="BY255" s="8"/>
      <c r="BZ255" s="8"/>
      <c r="CA255" s="8"/>
      <c r="CJ255" s="6"/>
      <c r="CK255" s="6"/>
      <c r="CL255" s="6"/>
    </row>
    <row r="256" spans="2:90" s="5" customFormat="1" ht="13.5" hidden="1" customHeight="1" outlineLevel="1"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8"/>
      <c r="S256" s="29"/>
      <c r="T256" s="29"/>
      <c r="U256" s="29"/>
      <c r="V256" s="8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142"/>
      <c r="BH256" s="29"/>
      <c r="BI256" s="29"/>
      <c r="BJ256" s="29"/>
      <c r="BK256" s="29"/>
      <c r="BL256" s="29"/>
      <c r="BM256" s="29"/>
      <c r="BN256" s="29"/>
      <c r="BO256" s="29"/>
      <c r="BP256" s="29"/>
      <c r="BQ256" s="29"/>
      <c r="BR256" s="29"/>
      <c r="BS256" s="29"/>
      <c r="BT256" s="29"/>
      <c r="BU256" s="29"/>
      <c r="BV256" s="29"/>
      <c r="BW256" s="29"/>
      <c r="BX256" s="29"/>
      <c r="BY256" s="29"/>
      <c r="BZ256" s="29"/>
      <c r="CA256" s="29"/>
      <c r="CJ256" s="6"/>
      <c r="CK256" s="6"/>
      <c r="CL256" s="6"/>
    </row>
    <row r="257" spans="2:90" ht="13.5" hidden="1" customHeight="1" outlineLevel="1">
      <c r="B257" s="5" t="s">
        <v>454</v>
      </c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8"/>
      <c r="S257" s="29"/>
      <c r="T257" s="29"/>
      <c r="U257" s="29"/>
      <c r="V257" s="8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142"/>
      <c r="BH257" s="29"/>
      <c r="BI257" s="29"/>
      <c r="BJ257" s="29"/>
      <c r="BK257" s="29"/>
      <c r="BL257" s="29"/>
      <c r="BM257" s="29"/>
      <c r="BN257" s="29"/>
      <c r="BO257" s="29"/>
      <c r="BP257" s="29"/>
      <c r="BQ257" s="29"/>
      <c r="BR257" s="29"/>
      <c r="BS257" s="29"/>
      <c r="BT257" s="29"/>
      <c r="BU257" s="29"/>
      <c r="BV257" s="29"/>
      <c r="BW257" s="29"/>
      <c r="BX257" s="29"/>
      <c r="BY257" s="29"/>
      <c r="BZ257" s="29"/>
      <c r="CA257" s="29"/>
      <c r="CJ257" s="6"/>
      <c r="CK257" s="6"/>
      <c r="CL257" s="6"/>
    </row>
    <row r="258" spans="2:90" ht="13.5" customHeight="1" collapsed="1">
      <c r="B258" s="5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8"/>
      <c r="S258" s="29"/>
      <c r="T258" s="29"/>
      <c r="U258" s="29"/>
      <c r="V258" s="8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142"/>
      <c r="BH258" s="29"/>
      <c r="BI258" s="29"/>
      <c r="BJ258" s="29"/>
      <c r="BK258" s="29"/>
      <c r="BL258" s="29"/>
      <c r="BM258" s="29"/>
      <c r="BN258" s="29"/>
      <c r="BO258" s="29"/>
      <c r="BP258" s="29"/>
      <c r="BQ258" s="29"/>
      <c r="BR258" s="29"/>
      <c r="BS258" s="29"/>
      <c r="BT258" s="29"/>
      <c r="BU258" s="29"/>
      <c r="BV258" s="29"/>
      <c r="BW258" s="29"/>
      <c r="BX258" s="29"/>
      <c r="BY258" s="29"/>
      <c r="BZ258" s="29"/>
      <c r="CA258" s="29"/>
      <c r="CJ258" s="6"/>
      <c r="CK258" s="6"/>
      <c r="CL258" s="6"/>
    </row>
    <row r="259" spans="2:90" ht="13.5" customHeight="1">
      <c r="B259" s="5" t="s">
        <v>455</v>
      </c>
      <c r="C259" s="8">
        <f t="shared" ref="C259:H259" si="885">C254+C248</f>
        <v>2841670.2320000003</v>
      </c>
      <c r="D259" s="8">
        <f t="shared" si="885"/>
        <v>3232239.716</v>
      </c>
      <c r="E259" s="8">
        <f t="shared" si="885"/>
        <v>3561781.6750000003</v>
      </c>
      <c r="F259" s="8">
        <f t="shared" si="885"/>
        <v>3608796.139</v>
      </c>
      <c r="G259" s="8">
        <f t="shared" si="885"/>
        <v>3608796.139</v>
      </c>
      <c r="H259" s="8">
        <f t="shared" si="885"/>
        <v>3444549.9880000004</v>
      </c>
      <c r="I259" s="8">
        <f t="shared" ref="I259:N259" si="886">I254+I248</f>
        <v>3047307.8620000002</v>
      </c>
      <c r="J259" s="8">
        <f t="shared" si="886"/>
        <v>3940522.409</v>
      </c>
      <c r="K259" s="8">
        <f t="shared" si="886"/>
        <v>3477886.6859999998</v>
      </c>
      <c r="L259" s="8">
        <f t="shared" si="886"/>
        <v>4193334.352</v>
      </c>
      <c r="M259" s="8">
        <f>M254+M248</f>
        <v>5201720.3840000005</v>
      </c>
      <c r="N259" s="8">
        <f t="shared" si="886"/>
        <v>4746096.443</v>
      </c>
      <c r="O259" s="8">
        <f>O254+O248</f>
        <v>4369354.9869999997</v>
      </c>
      <c r="P259" s="8">
        <f>P254+P248</f>
        <v>3288189.727</v>
      </c>
      <c r="Q259" s="8"/>
      <c r="R259" s="8">
        <f t="shared" ref="R259:W259" si="887">R254+R248</f>
        <v>3114701.4369999995</v>
      </c>
      <c r="S259" s="8">
        <f t="shared" si="887"/>
        <v>3291934</v>
      </c>
      <c r="T259" s="8">
        <f t="shared" si="887"/>
        <v>3389600.7509999997</v>
      </c>
      <c r="U259" s="8">
        <f t="shared" si="887"/>
        <v>3561781.6750000003</v>
      </c>
      <c r="V259" s="8">
        <f t="shared" si="887"/>
        <v>3525591.6260000002</v>
      </c>
      <c r="W259" s="8">
        <f t="shared" si="887"/>
        <v>3640968.3459999999</v>
      </c>
      <c r="X259" s="8">
        <f t="shared" ref="X259:AC259" si="888">X254+X248</f>
        <v>3655273.7270000004</v>
      </c>
      <c r="Y259" s="8">
        <f t="shared" si="888"/>
        <v>3608796.139</v>
      </c>
      <c r="Z259" s="8">
        <f t="shared" si="888"/>
        <v>3584363.9869999997</v>
      </c>
      <c r="AA259" s="8">
        <f t="shared" si="888"/>
        <v>3818677.7409999999</v>
      </c>
      <c r="AB259" s="8">
        <f t="shared" si="888"/>
        <v>4002351.3939999999</v>
      </c>
      <c r="AC259" s="8">
        <f t="shared" si="888"/>
        <v>3444549.9880000004</v>
      </c>
      <c r="AD259" s="8">
        <f t="shared" ref="AD259:AI259" si="889">AD254+AD248</f>
        <v>3975130.8709999998</v>
      </c>
      <c r="AE259" s="8">
        <f t="shared" si="889"/>
        <v>4054757.213</v>
      </c>
      <c r="AF259" s="8">
        <f t="shared" si="889"/>
        <v>4174622.5310000004</v>
      </c>
      <c r="AG259" s="8">
        <f t="shared" si="889"/>
        <v>3940522.409</v>
      </c>
      <c r="AH259" s="8">
        <f t="shared" si="889"/>
        <v>4438803.0630000001</v>
      </c>
      <c r="AI259" s="8">
        <f t="shared" si="889"/>
        <v>4269273.9510000004</v>
      </c>
      <c r="AJ259" s="8">
        <f t="shared" ref="AJ259:AO259" si="890">AJ254+AJ248</f>
        <v>4135084.2849999997</v>
      </c>
      <c r="AK259" s="8">
        <f t="shared" si="890"/>
        <v>3477886.6859999998</v>
      </c>
      <c r="AL259" s="8">
        <f t="shared" si="890"/>
        <v>3638211.5290000001</v>
      </c>
      <c r="AM259" s="8">
        <f t="shared" si="890"/>
        <v>3536632.9170000004</v>
      </c>
      <c r="AN259" s="8">
        <f t="shared" si="890"/>
        <v>3974629.858</v>
      </c>
      <c r="AO259" s="8">
        <f t="shared" si="890"/>
        <v>4193334.352</v>
      </c>
      <c r="AP259" s="8">
        <f t="shared" ref="AP259:AU259" si="891">AP254+AP248</f>
        <v>4504123.301</v>
      </c>
      <c r="AQ259" s="8">
        <f t="shared" si="891"/>
        <v>5154036.0549999997</v>
      </c>
      <c r="AR259" s="8">
        <f t="shared" si="891"/>
        <v>5571379.3020000001</v>
      </c>
      <c r="AS259" s="8">
        <f t="shared" si="891"/>
        <v>5201720.3840000005</v>
      </c>
      <c r="AT259" s="8">
        <f t="shared" si="891"/>
        <v>5072938.5299999993</v>
      </c>
      <c r="AU259" s="8">
        <f t="shared" si="891"/>
        <v>5211592.4069999997</v>
      </c>
      <c r="AV259" s="8">
        <f t="shared" ref="AV259:BA259" si="892">AV254+AV248</f>
        <v>5151926.68</v>
      </c>
      <c r="AW259" s="8">
        <f t="shared" si="892"/>
        <v>4746096.443</v>
      </c>
      <c r="AX259" s="8">
        <f t="shared" si="892"/>
        <v>5176770.6009999998</v>
      </c>
      <c r="AY259" s="8">
        <f t="shared" si="892"/>
        <v>5096006.4389999993</v>
      </c>
      <c r="AZ259" s="8">
        <f t="shared" si="892"/>
        <v>4649655.6660000002</v>
      </c>
      <c r="BA259" s="8">
        <f t="shared" si="892"/>
        <v>4369354.9869999997</v>
      </c>
      <c r="BB259" s="8">
        <f>BB254+BB248</f>
        <v>4298624.8069999991</v>
      </c>
      <c r="BC259" s="8">
        <f>BC254+BC248</f>
        <v>3877927.4479999999</v>
      </c>
      <c r="BD259" s="8">
        <f>BD254+BD248</f>
        <v>3853073.0090000001</v>
      </c>
      <c r="BE259" s="8">
        <f>BE254+BE248</f>
        <v>3288189.727</v>
      </c>
      <c r="BF259" s="8">
        <f>BF254+BF248</f>
        <v>3195870.2350000003</v>
      </c>
      <c r="BG259" s="142"/>
      <c r="BH259" s="8"/>
      <c r="BI259" s="8"/>
      <c r="BJ259" s="8"/>
      <c r="BK259" s="8"/>
      <c r="BL259" s="8">
        <f>BL254+BL248</f>
        <v>3968798.9349999996</v>
      </c>
      <c r="BM259" s="8"/>
      <c r="BN259" s="8">
        <f t="shared" ref="BN259:BS259" si="893">BN254+BN248</f>
        <v>3291934</v>
      </c>
      <c r="BO259" s="8">
        <f t="shared" si="893"/>
        <v>3640968.3459999999</v>
      </c>
      <c r="BP259" s="8">
        <f t="shared" si="893"/>
        <v>3818677.7409999999</v>
      </c>
      <c r="BQ259" s="8">
        <f t="shared" si="893"/>
        <v>4054757.213</v>
      </c>
      <c r="BR259" s="8">
        <f t="shared" si="893"/>
        <v>4269273.9510000004</v>
      </c>
      <c r="BS259" s="8">
        <f t="shared" si="893"/>
        <v>3536632.9170000004</v>
      </c>
      <c r="BT259" s="8">
        <f>BT254+BT248</f>
        <v>5154036.0549999997</v>
      </c>
      <c r="BU259" s="8">
        <f>BU254+BU248</f>
        <v>5211592.4069999997</v>
      </c>
      <c r="BV259" s="8">
        <f>BV254+BV248</f>
        <v>5096006.4389999993</v>
      </c>
      <c r="BW259" s="8">
        <f>BW254+BW248</f>
        <v>3877927.4479999999</v>
      </c>
      <c r="BX259" s="8"/>
      <c r="BY259" s="8"/>
      <c r="BZ259" s="8"/>
      <c r="CA259" s="8"/>
      <c r="CJ259" s="6"/>
      <c r="CK259" s="6"/>
      <c r="CL259" s="6"/>
    </row>
    <row r="260" spans="2:90" ht="13.5" customHeight="1">
      <c r="B260" s="5" t="s">
        <v>456</v>
      </c>
      <c r="C260" s="8">
        <f t="shared" ref="C260:H260" si="894">C255+C248</f>
        <v>3052890.1</v>
      </c>
      <c r="D260" s="8">
        <f t="shared" si="894"/>
        <v>3439547.9419999998</v>
      </c>
      <c r="E260" s="8">
        <f t="shared" si="894"/>
        <v>3763101.3090000004</v>
      </c>
      <c r="F260" s="8">
        <f t="shared" si="894"/>
        <v>3840823.324</v>
      </c>
      <c r="G260" s="8">
        <f t="shared" si="894"/>
        <v>3840823.324</v>
      </c>
      <c r="H260" s="8">
        <f t="shared" si="894"/>
        <v>3796650.4930000002</v>
      </c>
      <c r="I260" s="8">
        <f t="shared" ref="I260:N260" si="895">I255+I248</f>
        <v>3364799.2439999999</v>
      </c>
      <c r="J260" s="8">
        <f t="shared" si="895"/>
        <v>4240487.7620000001</v>
      </c>
      <c r="K260" s="8">
        <f t="shared" si="895"/>
        <v>4694080.6059999997</v>
      </c>
      <c r="L260" s="8">
        <f t="shared" si="895"/>
        <v>4726599.8899999997</v>
      </c>
      <c r="M260" s="8">
        <f>M255+M248</f>
        <v>5825793.1450000005</v>
      </c>
      <c r="N260" s="8">
        <f t="shared" si="895"/>
        <v>5823915.5870000003</v>
      </c>
      <c r="O260" s="8">
        <f>O255+O248</f>
        <v>6007740.1779999994</v>
      </c>
      <c r="P260" s="8">
        <f>P255+P248</f>
        <v>4872910.9689999996</v>
      </c>
      <c r="Q260" s="8"/>
      <c r="R260" s="8">
        <f t="shared" ref="R260:W260" si="896">R255+R248</f>
        <v>3307907.6369999996</v>
      </c>
      <c r="S260" s="8">
        <f t="shared" si="896"/>
        <v>3469069</v>
      </c>
      <c r="T260" s="8">
        <f t="shared" si="896"/>
        <v>3549292.9279999998</v>
      </c>
      <c r="U260" s="8">
        <f t="shared" si="896"/>
        <v>3763101.3090000004</v>
      </c>
      <c r="V260" s="8">
        <f t="shared" si="896"/>
        <v>3720083.202</v>
      </c>
      <c r="W260" s="8">
        <f t="shared" si="896"/>
        <v>3817799.6170000001</v>
      </c>
      <c r="X260" s="8">
        <f t="shared" ref="X260:AC260" si="897">X255+X248</f>
        <v>3864211.3820000002</v>
      </c>
      <c r="Y260" s="8">
        <f t="shared" si="897"/>
        <v>3840823.324</v>
      </c>
      <c r="Z260" s="8">
        <f t="shared" si="897"/>
        <v>3803082.3319999999</v>
      </c>
      <c r="AA260" s="8">
        <f t="shared" si="897"/>
        <v>4032040.7369999997</v>
      </c>
      <c r="AB260" s="8">
        <f t="shared" si="897"/>
        <v>4208861.9079999998</v>
      </c>
      <c r="AC260" s="8">
        <f t="shared" si="897"/>
        <v>3796650.4930000002</v>
      </c>
      <c r="AD260" s="8">
        <f t="shared" ref="AD260:AI260" si="898">AD255+AD248</f>
        <v>4268764.2879999997</v>
      </c>
      <c r="AE260" s="8">
        <f t="shared" si="898"/>
        <v>4247702.426</v>
      </c>
      <c r="AF260" s="8">
        <f t="shared" si="898"/>
        <v>4403759.8550000004</v>
      </c>
      <c r="AG260" s="8">
        <f t="shared" si="898"/>
        <v>4240487.7620000001</v>
      </c>
      <c r="AH260" s="8">
        <f t="shared" si="898"/>
        <v>5348641.1349999998</v>
      </c>
      <c r="AI260" s="8">
        <f t="shared" si="898"/>
        <v>5700258.773</v>
      </c>
      <c r="AJ260" s="8">
        <f t="shared" ref="AJ260:AO260" si="899">AJ255+AJ248</f>
        <v>5348705.7390000001</v>
      </c>
      <c r="AK260" s="8">
        <f t="shared" si="899"/>
        <v>4694080.6059999997</v>
      </c>
      <c r="AL260" s="8">
        <f t="shared" si="899"/>
        <v>4658005.6069999998</v>
      </c>
      <c r="AM260" s="8">
        <f t="shared" si="899"/>
        <v>4351507.9070000006</v>
      </c>
      <c r="AN260" s="8">
        <f t="shared" si="899"/>
        <v>4502223.898</v>
      </c>
      <c r="AO260" s="8">
        <f t="shared" si="899"/>
        <v>4726599.8899999997</v>
      </c>
      <c r="AP260" s="8">
        <f t="shared" ref="AP260:AU260" si="900">AP255+AP248</f>
        <v>4856867.4920000006</v>
      </c>
      <c r="AQ260" s="8">
        <f t="shared" si="900"/>
        <v>5701054.8279999997</v>
      </c>
      <c r="AR260" s="8">
        <f t="shared" si="900"/>
        <v>6229598.8430000003</v>
      </c>
      <c r="AS260" s="8">
        <f t="shared" si="900"/>
        <v>5825793.1450000005</v>
      </c>
      <c r="AT260" s="8">
        <f t="shared" si="900"/>
        <v>5597555.2510000002</v>
      </c>
      <c r="AU260" s="8">
        <f t="shared" si="900"/>
        <v>5614889.2169999992</v>
      </c>
      <c r="AV260" s="8">
        <f t="shared" ref="AV260:BA260" si="901">AV255+AV248</f>
        <v>5801765.8629999999</v>
      </c>
      <c r="AW260" s="8">
        <f t="shared" si="901"/>
        <v>5823915.5870000003</v>
      </c>
      <c r="AX260" s="8">
        <f t="shared" si="901"/>
        <v>6125698.6830000002</v>
      </c>
      <c r="AY260" s="8">
        <f t="shared" si="901"/>
        <v>6078876.2139999997</v>
      </c>
      <c r="AZ260" s="8">
        <f t="shared" si="901"/>
        <v>6009412.5279999999</v>
      </c>
      <c r="BA260" s="8">
        <f t="shared" si="901"/>
        <v>6007740.1779999994</v>
      </c>
      <c r="BB260" s="8">
        <f>BB255+BB248</f>
        <v>5373554.0759999994</v>
      </c>
      <c r="BC260" s="8">
        <f>BC255+BC248</f>
        <v>5345789.4939999999</v>
      </c>
      <c r="BD260" s="8">
        <f>BD255+BD248</f>
        <v>5193603.3530000001</v>
      </c>
      <c r="BE260" s="8">
        <f>BE255+BE248</f>
        <v>4872910.9689999996</v>
      </c>
      <c r="BF260" s="8">
        <f>BF255+BF248</f>
        <v>5024433.5269999998</v>
      </c>
      <c r="BG260" s="142"/>
      <c r="BH260" s="8"/>
      <c r="BI260" s="8"/>
      <c r="BJ260" s="8"/>
      <c r="BK260" s="8"/>
      <c r="BL260" s="8">
        <f>BL255+BL248</f>
        <v>4268764.2879999997</v>
      </c>
      <c r="BM260" s="8"/>
      <c r="BN260" s="8">
        <f t="shared" ref="BN260:BS260" si="902">BN255+BN248</f>
        <v>3469069</v>
      </c>
      <c r="BO260" s="8">
        <f t="shared" si="902"/>
        <v>3817799.6170000001</v>
      </c>
      <c r="BP260" s="8">
        <f t="shared" si="902"/>
        <v>4032040.7369999997</v>
      </c>
      <c r="BQ260" s="8">
        <f t="shared" si="902"/>
        <v>4247702.426</v>
      </c>
      <c r="BR260" s="8">
        <f t="shared" si="902"/>
        <v>5700258.773</v>
      </c>
      <c r="BS260" s="8">
        <f t="shared" si="902"/>
        <v>4351507.9070000006</v>
      </c>
      <c r="BT260" s="8">
        <f>BT255+BT248</f>
        <v>5701054.8279999997</v>
      </c>
      <c r="BU260" s="8">
        <f>BU255+BU248</f>
        <v>5614889.2169999992</v>
      </c>
      <c r="BV260" s="8">
        <f>BV255+BV248</f>
        <v>6078876.2139999997</v>
      </c>
      <c r="BW260" s="8">
        <f>BW255+BW248</f>
        <v>5345789.4939999999</v>
      </c>
      <c r="BX260" s="8"/>
      <c r="BY260" s="8"/>
      <c r="BZ260" s="8"/>
      <c r="CA260" s="8"/>
      <c r="CJ260" s="6"/>
      <c r="CK260" s="6"/>
      <c r="CL260" s="6"/>
    </row>
    <row r="261" spans="2:90" ht="14.25" customHeight="1">
      <c r="BG261" s="142"/>
      <c r="CJ261" s="6"/>
      <c r="CK261" s="6"/>
      <c r="CL261" s="6"/>
    </row>
    <row r="262" spans="2:90" ht="13.5" customHeight="1">
      <c r="B262" s="5" t="s">
        <v>457</v>
      </c>
      <c r="C262" s="8">
        <f>C206*8</f>
        <v>993209.33600000001</v>
      </c>
      <c r="D262" s="8">
        <f t="shared" ref="D262:AC262" si="903">D206*8</f>
        <v>1179388.2</v>
      </c>
      <c r="E262" s="8">
        <f t="shared" si="903"/>
        <v>1261077.8959999999</v>
      </c>
      <c r="F262" s="8">
        <f t="shared" ref="F262:K262" si="904">F206*8</f>
        <v>1300411.8400000001</v>
      </c>
      <c r="G262" s="8">
        <f t="shared" si="904"/>
        <v>1423577.872</v>
      </c>
      <c r="H262" s="8">
        <f t="shared" si="904"/>
        <v>1557713.7760000001</v>
      </c>
      <c r="I262" s="8">
        <f t="shared" si="904"/>
        <v>1535516.68</v>
      </c>
      <c r="J262" s="8">
        <f t="shared" si="904"/>
        <v>597119.04</v>
      </c>
      <c r="K262" s="8">
        <f t="shared" si="904"/>
        <v>492339.03200000001</v>
      </c>
      <c r="L262" s="8">
        <f>L206*8</f>
        <v>720816.02399999998</v>
      </c>
      <c r="M262" s="8">
        <f>M206*8</f>
        <v>930702.20799999998</v>
      </c>
      <c r="N262" s="8">
        <f>N206*8</f>
        <v>806763.64800000004</v>
      </c>
      <c r="O262" s="8">
        <f>O206*8</f>
        <v>813763.50399999996</v>
      </c>
      <c r="P262" s="8">
        <f>P206*8</f>
        <v>743916.47199999995</v>
      </c>
      <c r="Q262" s="8"/>
      <c r="R262" s="153">
        <f t="shared" si="903"/>
        <v>1211469.5040000002</v>
      </c>
      <c r="S262" s="153">
        <f t="shared" si="903"/>
        <v>1243330.52</v>
      </c>
      <c r="T262" s="153">
        <f t="shared" si="903"/>
        <v>1248077.4080000001</v>
      </c>
      <c r="U262" s="153">
        <f t="shared" si="903"/>
        <v>1261077.8959999999</v>
      </c>
      <c r="V262" s="153">
        <f t="shared" si="903"/>
        <v>1291294.5839999998</v>
      </c>
      <c r="W262" s="153">
        <f t="shared" si="903"/>
        <v>1298874.824</v>
      </c>
      <c r="X262" s="153">
        <f t="shared" si="903"/>
        <v>1291150.6399999999</v>
      </c>
      <c r="Y262" s="153">
        <f>Y206*8</f>
        <v>1300411.8400000001</v>
      </c>
      <c r="Z262" s="153">
        <f t="shared" si="903"/>
        <v>1349506.1600000001</v>
      </c>
      <c r="AA262" s="8">
        <f t="shared" si="903"/>
        <v>1420779.6640000001</v>
      </c>
      <c r="AB262" s="8">
        <f t="shared" si="903"/>
        <v>1481132.352</v>
      </c>
      <c r="AC262" s="8">
        <f t="shared" si="903"/>
        <v>1557713.7760000001</v>
      </c>
      <c r="AD262" s="8">
        <f t="shared" ref="AD262:AI262" si="905">AD206*8</f>
        <v>1309363.5360000001</v>
      </c>
      <c r="AE262" s="8">
        <f t="shared" si="905"/>
        <v>1075665.912</v>
      </c>
      <c r="AF262" s="8">
        <f t="shared" si="905"/>
        <v>872527.59200000018</v>
      </c>
      <c r="AG262" s="8">
        <f t="shared" si="905"/>
        <v>597119.04</v>
      </c>
      <c r="AH262" s="8">
        <f t="shared" si="905"/>
        <v>585583.09600000002</v>
      </c>
      <c r="AI262" s="8">
        <f t="shared" si="905"/>
        <v>477919.85600000009</v>
      </c>
      <c r="AJ262" s="8">
        <f t="shared" ref="AJ262:AO262" si="906">AJ206*8</f>
        <v>441764.88800000004</v>
      </c>
      <c r="AK262" s="8">
        <f t="shared" si="906"/>
        <v>492339.03200000001</v>
      </c>
      <c r="AL262" s="8">
        <f t="shared" si="906"/>
        <v>507046.77599999995</v>
      </c>
      <c r="AM262" s="8">
        <f t="shared" si="906"/>
        <v>579655.6</v>
      </c>
      <c r="AN262" s="8">
        <f t="shared" si="906"/>
        <v>618905.90399999998</v>
      </c>
      <c r="AO262" s="8">
        <f t="shared" si="906"/>
        <v>720816.02400000009</v>
      </c>
      <c r="AP262" s="8">
        <f t="shared" ref="AP262:AU262" si="907">AP206*8</f>
        <v>851095.13599999994</v>
      </c>
      <c r="AQ262" s="8">
        <f t="shared" si="907"/>
        <v>949241.78399999999</v>
      </c>
      <c r="AR262" s="8">
        <f t="shared" si="907"/>
        <v>1024434.1680000001</v>
      </c>
      <c r="AS262" s="8">
        <f t="shared" si="907"/>
        <v>930702.20799999987</v>
      </c>
      <c r="AT262" s="8">
        <f t="shared" si="907"/>
        <v>865474.696</v>
      </c>
      <c r="AU262" s="8">
        <f t="shared" si="907"/>
        <v>834106.48</v>
      </c>
      <c r="AV262" s="8">
        <f t="shared" ref="AV262:BA262" si="908">AV206*8</f>
        <v>773886.79999999993</v>
      </c>
      <c r="AW262" s="8">
        <f t="shared" si="908"/>
        <v>806763.64800000004</v>
      </c>
      <c r="AX262" s="8">
        <f t="shared" si="908"/>
        <v>823945.95200000005</v>
      </c>
      <c r="AY262" s="8">
        <f t="shared" si="908"/>
        <v>846738.27200000011</v>
      </c>
      <c r="AZ262" s="8">
        <f t="shared" si="908"/>
        <v>857544.26399999997</v>
      </c>
      <c r="BA262" s="8">
        <f t="shared" si="908"/>
        <v>813763.50400000007</v>
      </c>
      <c r="BB262" s="8">
        <f>BB206*8</f>
        <v>785896.35199999996</v>
      </c>
      <c r="BC262" s="8">
        <f>BC206*8</f>
        <v>749690.24800000002</v>
      </c>
      <c r="BD262" s="8">
        <f>BD206*8</f>
        <v>743654.32</v>
      </c>
      <c r="BE262" s="8">
        <f>BE206*8</f>
        <v>743916.47199999995</v>
      </c>
      <c r="BF262" s="8">
        <f>BF206*8</f>
        <v>745025.67999999993</v>
      </c>
      <c r="BG262" s="142"/>
      <c r="BH262" s="153"/>
      <c r="BI262" s="153"/>
      <c r="BJ262" s="153"/>
      <c r="BK262" s="153"/>
      <c r="BL262" s="8">
        <f>BL206*8</f>
        <v>457841.89599999989</v>
      </c>
      <c r="BM262" s="8"/>
      <c r="BN262" s="8">
        <f t="shared" ref="BN262:BS262" si="909">BN206*8</f>
        <v>1243330.52</v>
      </c>
      <c r="BO262" s="8">
        <f t="shared" si="909"/>
        <v>1298874.824</v>
      </c>
      <c r="BP262" s="8">
        <f t="shared" si="909"/>
        <v>1420779.6640000001</v>
      </c>
      <c r="BQ262" s="8">
        <f t="shared" si="909"/>
        <v>1075665.912</v>
      </c>
      <c r="BR262" s="8">
        <f t="shared" si="909"/>
        <v>477919.85600000003</v>
      </c>
      <c r="BS262" s="8">
        <f t="shared" si="909"/>
        <v>579655.6</v>
      </c>
      <c r="BT262" s="8">
        <f>BT206*8</f>
        <v>949241.78399999999</v>
      </c>
      <c r="BU262" s="8">
        <f>BU206*8</f>
        <v>834106.48</v>
      </c>
      <c r="BV262" s="8">
        <f>BV206*8</f>
        <v>846738.27200000011</v>
      </c>
      <c r="BW262" s="8">
        <f>BW206*8</f>
        <v>749690.24799999991</v>
      </c>
      <c r="BX262" s="153"/>
      <c r="BY262" s="153"/>
      <c r="BZ262" s="153"/>
      <c r="CA262" s="153"/>
      <c r="CJ262" s="6"/>
      <c r="CK262" s="6"/>
      <c r="CL262" s="6"/>
    </row>
    <row r="263" spans="2:90" ht="13.5" customHeight="1">
      <c r="B263" s="5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8"/>
      <c r="S263" s="29"/>
      <c r="T263" s="29"/>
      <c r="U263" s="29"/>
      <c r="V263" s="8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142"/>
      <c r="BH263" s="29"/>
      <c r="BI263" s="29"/>
      <c r="BJ263" s="29"/>
      <c r="BK263" s="29"/>
      <c r="BL263" s="29"/>
      <c r="BM263" s="29"/>
      <c r="BN263" s="29"/>
      <c r="BO263" s="29"/>
      <c r="BP263" s="29"/>
      <c r="BQ263" s="29"/>
      <c r="BR263" s="29"/>
      <c r="BS263" s="29"/>
      <c r="BT263" s="29"/>
      <c r="BU263" s="29"/>
      <c r="BV263" s="29"/>
      <c r="BW263" s="29"/>
      <c r="BX263" s="29"/>
      <c r="BY263" s="29"/>
      <c r="BZ263" s="29"/>
      <c r="CA263" s="29"/>
      <c r="CJ263" s="6"/>
      <c r="CK263" s="6"/>
      <c r="CL263" s="6"/>
    </row>
    <row r="264" spans="2:90" ht="13.5" customHeight="1">
      <c r="B264" s="5" t="s">
        <v>458</v>
      </c>
      <c r="C264" s="8">
        <f t="shared" ref="C264:H264" si="910">C262+C259</f>
        <v>3834879.5680000004</v>
      </c>
      <c r="D264" s="8">
        <f t="shared" si="910"/>
        <v>4411627.9160000002</v>
      </c>
      <c r="E264" s="8">
        <f t="shared" si="910"/>
        <v>4822859.5710000005</v>
      </c>
      <c r="F264" s="8">
        <f t="shared" si="910"/>
        <v>4909207.9790000003</v>
      </c>
      <c r="G264" s="8">
        <f t="shared" si="910"/>
        <v>5032374.0109999999</v>
      </c>
      <c r="H264" s="8">
        <f t="shared" si="910"/>
        <v>5002263.7640000004</v>
      </c>
      <c r="I264" s="8">
        <f t="shared" ref="I264:N264" si="911">I262+I259</f>
        <v>4582824.5420000004</v>
      </c>
      <c r="J264" s="8">
        <f t="shared" si="911"/>
        <v>4537641.449</v>
      </c>
      <c r="K264" s="8">
        <f t="shared" si="911"/>
        <v>3970225.7179999999</v>
      </c>
      <c r="L264" s="8">
        <f t="shared" si="911"/>
        <v>4914150.3760000002</v>
      </c>
      <c r="M264" s="8">
        <f>M262+M259</f>
        <v>6132422.5920000002</v>
      </c>
      <c r="N264" s="8">
        <f t="shared" si="911"/>
        <v>5552860.091</v>
      </c>
      <c r="O264" s="8">
        <f>O262+O259</f>
        <v>5183118.4909999995</v>
      </c>
      <c r="P264" s="8">
        <f>P262+P259</f>
        <v>4032106.199</v>
      </c>
      <c r="Q264" s="8"/>
      <c r="R264" s="8">
        <f t="shared" ref="R264:W264" si="912">R262+R259</f>
        <v>4326170.9409999996</v>
      </c>
      <c r="S264" s="8">
        <f t="shared" si="912"/>
        <v>4535264.5199999996</v>
      </c>
      <c r="T264" s="8">
        <f t="shared" si="912"/>
        <v>4637678.159</v>
      </c>
      <c r="U264" s="8">
        <f t="shared" si="912"/>
        <v>4822859.5710000005</v>
      </c>
      <c r="V264" s="8">
        <f t="shared" si="912"/>
        <v>4816886.21</v>
      </c>
      <c r="W264" s="8">
        <f t="shared" si="912"/>
        <v>4939843.17</v>
      </c>
      <c r="X264" s="8">
        <f t="shared" ref="X264:AC264" si="913">X262+X259</f>
        <v>4946424.3670000006</v>
      </c>
      <c r="Y264" s="8">
        <f t="shared" si="913"/>
        <v>4909207.9790000003</v>
      </c>
      <c r="Z264" s="8">
        <f t="shared" si="913"/>
        <v>4933870.1469999999</v>
      </c>
      <c r="AA264" s="8">
        <f t="shared" si="913"/>
        <v>5239457.4050000003</v>
      </c>
      <c r="AB264" s="8">
        <f t="shared" si="913"/>
        <v>5483483.7459999993</v>
      </c>
      <c r="AC264" s="8">
        <f t="shared" si="913"/>
        <v>5002263.7640000004</v>
      </c>
      <c r="AD264" s="8">
        <f t="shared" ref="AD264:AI264" si="914">AD262+AD259</f>
        <v>5284494.4069999997</v>
      </c>
      <c r="AE264" s="8">
        <f t="shared" si="914"/>
        <v>5130423.125</v>
      </c>
      <c r="AF264" s="8">
        <f t="shared" si="914"/>
        <v>5047150.1230000006</v>
      </c>
      <c r="AG264" s="8">
        <f t="shared" si="914"/>
        <v>4537641.449</v>
      </c>
      <c r="AH264" s="8">
        <f t="shared" si="914"/>
        <v>5024386.159</v>
      </c>
      <c r="AI264" s="8">
        <f t="shared" si="914"/>
        <v>4747193.807</v>
      </c>
      <c r="AJ264" s="8">
        <f t="shared" ref="AJ264:AO264" si="915">AJ262+AJ259</f>
        <v>4576849.1729999995</v>
      </c>
      <c r="AK264" s="8">
        <f t="shared" si="915"/>
        <v>3970225.7179999999</v>
      </c>
      <c r="AL264" s="8">
        <f t="shared" si="915"/>
        <v>4145258.3050000002</v>
      </c>
      <c r="AM264" s="8">
        <f t="shared" si="915"/>
        <v>4116288.5170000005</v>
      </c>
      <c r="AN264" s="8">
        <f t="shared" si="915"/>
        <v>4593535.7620000001</v>
      </c>
      <c r="AO264" s="8">
        <f t="shared" si="915"/>
        <v>4914150.3760000002</v>
      </c>
      <c r="AP264" s="8">
        <f t="shared" ref="AP264:AU264" si="916">AP262+AP259</f>
        <v>5355218.4369999999</v>
      </c>
      <c r="AQ264" s="8">
        <f t="shared" si="916"/>
        <v>6103277.8389999997</v>
      </c>
      <c r="AR264" s="8">
        <f t="shared" si="916"/>
        <v>6595813.4700000007</v>
      </c>
      <c r="AS264" s="8">
        <f t="shared" si="916"/>
        <v>6132422.5920000002</v>
      </c>
      <c r="AT264" s="8">
        <f t="shared" si="916"/>
        <v>5938413.2259999998</v>
      </c>
      <c r="AU264" s="8">
        <f t="shared" si="916"/>
        <v>6045698.8870000001</v>
      </c>
      <c r="AV264" s="8">
        <f t="shared" ref="AV264:BA264" si="917">AV262+AV259</f>
        <v>5925813.4799999995</v>
      </c>
      <c r="AW264" s="8">
        <f t="shared" si="917"/>
        <v>5552860.091</v>
      </c>
      <c r="AX264" s="8">
        <f t="shared" si="917"/>
        <v>6000716.5529999994</v>
      </c>
      <c r="AY264" s="8">
        <f t="shared" si="917"/>
        <v>5942744.7109999992</v>
      </c>
      <c r="AZ264" s="8">
        <f t="shared" si="917"/>
        <v>5507199.9299999997</v>
      </c>
      <c r="BA264" s="8">
        <f t="shared" si="917"/>
        <v>5183118.4909999995</v>
      </c>
      <c r="BB264" s="8">
        <f>BB262+BB259</f>
        <v>5084521.1589999991</v>
      </c>
      <c r="BC264" s="8">
        <f>BC262+BC259</f>
        <v>4627617.6959999995</v>
      </c>
      <c r="BD264" s="8">
        <f>BD262+BD259</f>
        <v>4596727.3289999999</v>
      </c>
      <c r="BE264" s="8">
        <f>BE262+BE259</f>
        <v>4032106.199</v>
      </c>
      <c r="BF264" s="8">
        <f>BF262+BF259</f>
        <v>3940895.915</v>
      </c>
      <c r="BG264" s="142"/>
      <c r="BH264" s="8"/>
      <c r="BI264" s="8"/>
      <c r="BJ264" s="8"/>
      <c r="BK264" s="8"/>
      <c r="BL264" s="8">
        <f>BL262+BL259</f>
        <v>4426640.8309999993</v>
      </c>
      <c r="BM264" s="8"/>
      <c r="BN264" s="8">
        <f t="shared" ref="BN264:BS264" si="918">BN262+BN259</f>
        <v>4535264.5199999996</v>
      </c>
      <c r="BO264" s="8">
        <f t="shared" si="918"/>
        <v>4939843.17</v>
      </c>
      <c r="BP264" s="8">
        <f t="shared" si="918"/>
        <v>5239457.4050000003</v>
      </c>
      <c r="BQ264" s="8">
        <f t="shared" si="918"/>
        <v>5130423.125</v>
      </c>
      <c r="BR264" s="8">
        <f t="shared" si="918"/>
        <v>4747193.807</v>
      </c>
      <c r="BS264" s="8">
        <f t="shared" si="918"/>
        <v>4116288.5170000005</v>
      </c>
      <c r="BT264" s="8">
        <f>BT262+BT259</f>
        <v>6103277.8389999997</v>
      </c>
      <c r="BU264" s="8">
        <f>BU262+BU259</f>
        <v>6045698.8870000001</v>
      </c>
      <c r="BV264" s="8">
        <f>BV262+BV259</f>
        <v>5942744.7109999992</v>
      </c>
      <c r="BW264" s="8">
        <f>BW262+BW259</f>
        <v>4627617.6959999995</v>
      </c>
      <c r="BX264" s="8"/>
      <c r="BY264" s="8"/>
      <c r="BZ264" s="8"/>
      <c r="CA264" s="8"/>
      <c r="CJ264" s="6"/>
      <c r="CK264" s="6"/>
      <c r="CL264" s="6"/>
    </row>
    <row r="265" spans="2:90" ht="13.5" customHeight="1">
      <c r="B265" s="5" t="s">
        <v>459</v>
      </c>
      <c r="C265" s="8">
        <f t="shared" ref="C265:H265" si="919">C260+C262</f>
        <v>4046099.4360000002</v>
      </c>
      <c r="D265" s="8">
        <f t="shared" si="919"/>
        <v>4618936.142</v>
      </c>
      <c r="E265" s="8">
        <f t="shared" si="919"/>
        <v>5024179.2050000001</v>
      </c>
      <c r="F265" s="8">
        <f t="shared" si="919"/>
        <v>5141235.1639999999</v>
      </c>
      <c r="G265" s="8">
        <f t="shared" si="919"/>
        <v>5264401.1960000005</v>
      </c>
      <c r="H265" s="8">
        <f t="shared" si="919"/>
        <v>5354364.2690000003</v>
      </c>
      <c r="I265" s="8">
        <f t="shared" ref="I265:N265" si="920">I260+I262</f>
        <v>4900315.9239999996</v>
      </c>
      <c r="J265" s="8">
        <f t="shared" si="920"/>
        <v>4837606.8020000001</v>
      </c>
      <c r="K265" s="8">
        <f t="shared" si="920"/>
        <v>5186419.6379999993</v>
      </c>
      <c r="L265" s="8">
        <f t="shared" si="920"/>
        <v>5447415.9139999999</v>
      </c>
      <c r="M265" s="8">
        <f>M260+M262</f>
        <v>6756495.3530000001</v>
      </c>
      <c r="N265" s="8">
        <f t="shared" si="920"/>
        <v>6630679.2350000003</v>
      </c>
      <c r="O265" s="8">
        <f>O260+O262</f>
        <v>6821503.6819999991</v>
      </c>
      <c r="P265" s="8">
        <f>P260+P262</f>
        <v>5616827.4409999996</v>
      </c>
      <c r="Q265" s="8"/>
      <c r="R265" s="8">
        <f t="shared" ref="R265:W265" si="921">R260+R262</f>
        <v>4519377.1409999998</v>
      </c>
      <c r="S265" s="8">
        <f t="shared" si="921"/>
        <v>4712399.5199999996</v>
      </c>
      <c r="T265" s="8">
        <f t="shared" si="921"/>
        <v>4797370.3360000001</v>
      </c>
      <c r="U265" s="8">
        <f t="shared" si="921"/>
        <v>5024179.2050000001</v>
      </c>
      <c r="V265" s="8">
        <f t="shared" si="921"/>
        <v>5011377.7860000003</v>
      </c>
      <c r="W265" s="8">
        <f t="shared" si="921"/>
        <v>5116674.4409999996</v>
      </c>
      <c r="X265" s="8">
        <f t="shared" ref="X265:AC265" si="922">X260+X262</f>
        <v>5155362.0219999999</v>
      </c>
      <c r="Y265" s="8">
        <f t="shared" si="922"/>
        <v>5141235.1639999999</v>
      </c>
      <c r="Z265" s="8">
        <f t="shared" si="922"/>
        <v>5152588.4920000006</v>
      </c>
      <c r="AA265" s="8">
        <f t="shared" si="922"/>
        <v>5452820.4009999996</v>
      </c>
      <c r="AB265" s="8">
        <f t="shared" si="922"/>
        <v>5689994.2599999998</v>
      </c>
      <c r="AC265" s="8">
        <f t="shared" si="922"/>
        <v>5354364.2690000003</v>
      </c>
      <c r="AD265" s="8">
        <f t="shared" ref="AD265:AI265" si="923">AD260+AD262</f>
        <v>5578127.824</v>
      </c>
      <c r="AE265" s="8">
        <f t="shared" si="923"/>
        <v>5323368.3379999995</v>
      </c>
      <c r="AF265" s="8">
        <f t="shared" si="923"/>
        <v>5276287.4470000006</v>
      </c>
      <c r="AG265" s="8">
        <f t="shared" si="923"/>
        <v>4837606.8020000001</v>
      </c>
      <c r="AH265" s="8">
        <f t="shared" si="923"/>
        <v>5934224.2309999997</v>
      </c>
      <c r="AI265" s="8">
        <f t="shared" si="923"/>
        <v>6178178.6289999997</v>
      </c>
      <c r="AJ265" s="8">
        <f t="shared" ref="AJ265:AO265" si="924">AJ260+AJ262</f>
        <v>5790470.6270000003</v>
      </c>
      <c r="AK265" s="8">
        <f t="shared" si="924"/>
        <v>5186419.6379999993</v>
      </c>
      <c r="AL265" s="8">
        <f t="shared" si="924"/>
        <v>5165052.3829999994</v>
      </c>
      <c r="AM265" s="8">
        <f t="shared" si="924"/>
        <v>4931163.5070000002</v>
      </c>
      <c r="AN265" s="8">
        <f t="shared" si="924"/>
        <v>5121129.8020000001</v>
      </c>
      <c r="AO265" s="8">
        <f t="shared" si="924"/>
        <v>5447415.9139999999</v>
      </c>
      <c r="AP265" s="8">
        <f t="shared" ref="AP265:AU265" si="925">AP260+AP262</f>
        <v>5707962.6280000005</v>
      </c>
      <c r="AQ265" s="8">
        <f t="shared" si="925"/>
        <v>6650296.6119999997</v>
      </c>
      <c r="AR265" s="8">
        <f t="shared" si="925"/>
        <v>7254033.0109999999</v>
      </c>
      <c r="AS265" s="8">
        <f t="shared" si="925"/>
        <v>6756495.3530000001</v>
      </c>
      <c r="AT265" s="8">
        <f t="shared" si="925"/>
        <v>6463029.9470000006</v>
      </c>
      <c r="AU265" s="8">
        <f t="shared" si="925"/>
        <v>6448995.6969999988</v>
      </c>
      <c r="AV265" s="8">
        <f t="shared" ref="AV265:BA265" si="926">AV260+AV262</f>
        <v>6575652.6629999997</v>
      </c>
      <c r="AW265" s="8">
        <f t="shared" si="926"/>
        <v>6630679.2350000003</v>
      </c>
      <c r="AX265" s="8">
        <f t="shared" si="926"/>
        <v>6949644.6349999998</v>
      </c>
      <c r="AY265" s="8">
        <f t="shared" si="926"/>
        <v>6925614.4859999996</v>
      </c>
      <c r="AZ265" s="8">
        <f t="shared" si="926"/>
        <v>6866956.7919999994</v>
      </c>
      <c r="BA265" s="8">
        <f t="shared" si="926"/>
        <v>6821503.6819999991</v>
      </c>
      <c r="BB265" s="8">
        <f>BB260+BB262</f>
        <v>6159450.4279999994</v>
      </c>
      <c r="BC265" s="8">
        <f>BC260+BC262</f>
        <v>6095479.7419999996</v>
      </c>
      <c r="BD265" s="8">
        <f>BD260+BD262</f>
        <v>5937257.6730000004</v>
      </c>
      <c r="BE265" s="8">
        <f>BE260+BE262</f>
        <v>5616827.4409999996</v>
      </c>
      <c r="BF265" s="8">
        <f>BF260+BF262</f>
        <v>5769459.2069999995</v>
      </c>
      <c r="BG265" s="142"/>
      <c r="BH265" s="8"/>
      <c r="BI265" s="8"/>
      <c r="BJ265" s="8"/>
      <c r="BK265" s="8"/>
      <c r="BL265" s="8">
        <f>BL260+BL262</f>
        <v>4726606.1839999994</v>
      </c>
      <c r="BM265" s="8"/>
      <c r="BN265" s="8">
        <f t="shared" ref="BN265:BS265" si="927">BN260+BN262</f>
        <v>4712399.5199999996</v>
      </c>
      <c r="BO265" s="8">
        <f t="shared" si="927"/>
        <v>5116674.4409999996</v>
      </c>
      <c r="BP265" s="8">
        <f t="shared" si="927"/>
        <v>5452820.4009999996</v>
      </c>
      <c r="BQ265" s="8">
        <f t="shared" si="927"/>
        <v>5323368.3379999995</v>
      </c>
      <c r="BR265" s="8">
        <f t="shared" si="927"/>
        <v>6178178.6289999997</v>
      </c>
      <c r="BS265" s="8">
        <f t="shared" si="927"/>
        <v>4931163.5070000002</v>
      </c>
      <c r="BT265" s="8">
        <f>BT260+BT262</f>
        <v>6650296.6119999997</v>
      </c>
      <c r="BU265" s="8">
        <f>BU260+BU262</f>
        <v>6448995.6969999988</v>
      </c>
      <c r="BV265" s="8">
        <f>BV260+BV262</f>
        <v>6925614.4859999996</v>
      </c>
      <c r="BW265" s="8">
        <f>BW260+BW262</f>
        <v>6095479.7419999996</v>
      </c>
      <c r="BX265" s="8"/>
      <c r="BY265" s="8"/>
      <c r="BZ265" s="8"/>
      <c r="CA265" s="8"/>
      <c r="CJ265" s="6"/>
      <c r="CK265" s="6"/>
      <c r="CL265" s="6"/>
    </row>
    <row r="266" spans="2:90" ht="13.5" customHeight="1"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BG266" s="142"/>
      <c r="BH266" s="29"/>
      <c r="BI266" s="29"/>
      <c r="BJ266" s="29"/>
      <c r="BK266" s="29"/>
      <c r="BL266" s="29"/>
      <c r="BM266" s="29"/>
      <c r="BN266" s="29"/>
      <c r="BO266" s="29"/>
      <c r="BP266" s="29"/>
      <c r="BQ266" s="29"/>
      <c r="BR266" s="29"/>
      <c r="BS266" s="29"/>
      <c r="BT266" s="29"/>
      <c r="BU266" s="29"/>
      <c r="BV266" s="29"/>
      <c r="BW266" s="29"/>
      <c r="BX266" s="29"/>
      <c r="BY266" s="29"/>
      <c r="BZ266" s="29"/>
      <c r="CA266" s="29"/>
      <c r="CJ266" s="6"/>
      <c r="CK266" s="6"/>
      <c r="CL266" s="6"/>
    </row>
    <row r="267" spans="2:90" ht="13.5" customHeight="1">
      <c r="B267" s="1" t="s">
        <v>460</v>
      </c>
      <c r="C267" s="29">
        <v>0</v>
      </c>
      <c r="D267" s="29">
        <v>0</v>
      </c>
      <c r="E267" s="29">
        <v>0</v>
      </c>
      <c r="F267" s="29">
        <v>0</v>
      </c>
      <c r="G267" s="29">
        <v>0</v>
      </c>
      <c r="H267" s="29">
        <v>0</v>
      </c>
      <c r="I267" s="29">
        <v>0</v>
      </c>
      <c r="J267" s="29">
        <v>0</v>
      </c>
      <c r="K267" s="29">
        <v>0</v>
      </c>
      <c r="L267" s="29">
        <v>0</v>
      </c>
      <c r="M267" s="29">
        <v>0</v>
      </c>
      <c r="N267" s="29">
        <v>0</v>
      </c>
      <c r="O267" s="29">
        <v>0</v>
      </c>
      <c r="P267" s="29">
        <v>0</v>
      </c>
      <c r="Q267" s="29"/>
      <c r="R267" s="29">
        <v>0</v>
      </c>
      <c r="S267" s="29">
        <f>BN267</f>
        <v>0</v>
      </c>
      <c r="T267" s="29">
        <v>0</v>
      </c>
      <c r="U267" s="29">
        <v>0</v>
      </c>
      <c r="V267" s="29">
        <v>0</v>
      </c>
      <c r="W267" s="8">
        <f>BO267</f>
        <v>0</v>
      </c>
      <c r="X267" s="29">
        <v>0</v>
      </c>
      <c r="Y267" s="29">
        <v>0</v>
      </c>
      <c r="Z267" s="29">
        <v>0</v>
      </c>
      <c r="AA267" s="8">
        <f>BP267</f>
        <v>0</v>
      </c>
      <c r="AB267" s="29">
        <v>0</v>
      </c>
      <c r="AC267" s="29">
        <v>0</v>
      </c>
      <c r="AD267" s="29">
        <v>0</v>
      </c>
      <c r="AE267" s="8">
        <f>BQ267</f>
        <v>0</v>
      </c>
      <c r="AF267" s="29">
        <v>0</v>
      </c>
      <c r="AG267" s="29">
        <v>0</v>
      </c>
      <c r="AH267" s="29"/>
      <c r="AI267" s="8">
        <f>BR267</f>
        <v>0</v>
      </c>
      <c r="AJ267" s="29">
        <v>0</v>
      </c>
      <c r="AK267" s="29">
        <v>0</v>
      </c>
      <c r="AL267" s="354"/>
      <c r="AM267" s="8">
        <f>BS267</f>
        <v>0</v>
      </c>
      <c r="AN267" s="29">
        <v>0</v>
      </c>
      <c r="AO267" s="29">
        <v>0</v>
      </c>
      <c r="AP267" s="354"/>
      <c r="AQ267" s="8">
        <f>BT267</f>
        <v>0</v>
      </c>
      <c r="AR267" s="29">
        <v>0</v>
      </c>
      <c r="AS267" s="29">
        <v>0</v>
      </c>
      <c r="AT267" s="354"/>
      <c r="AU267" s="8">
        <f>BU267</f>
        <v>0</v>
      </c>
      <c r="AV267" s="29">
        <v>0</v>
      </c>
      <c r="AW267" s="29">
        <v>0</v>
      </c>
      <c r="AX267" s="6">
        <f>BR267</f>
        <v>0</v>
      </c>
      <c r="AY267" s="8">
        <f>BV267</f>
        <v>0</v>
      </c>
      <c r="AZ267" s="29">
        <v>0</v>
      </c>
      <c r="BA267" s="29">
        <v>0</v>
      </c>
      <c r="BB267" s="29">
        <v>0</v>
      </c>
      <c r="BC267" s="6">
        <f>BW267</f>
        <v>0</v>
      </c>
      <c r="BD267" s="29">
        <v>0</v>
      </c>
      <c r="BE267" s="29">
        <v>0</v>
      </c>
      <c r="BF267" s="29">
        <v>0</v>
      </c>
      <c r="BG267" s="142"/>
      <c r="BH267" s="29"/>
      <c r="BI267" s="29"/>
      <c r="BJ267" s="29"/>
      <c r="BK267" s="29"/>
      <c r="BL267" s="29">
        <v>0</v>
      </c>
      <c r="BM267" s="29"/>
      <c r="BN267" s="29">
        <v>0</v>
      </c>
      <c r="BO267" s="29">
        <v>0</v>
      </c>
      <c r="BP267" s="29">
        <v>0</v>
      </c>
      <c r="BQ267" s="29">
        <v>0</v>
      </c>
      <c r="BR267" s="29">
        <v>0</v>
      </c>
      <c r="BS267" s="29">
        <v>0</v>
      </c>
      <c r="BT267" s="29">
        <v>0</v>
      </c>
      <c r="BU267" s="29">
        <v>0</v>
      </c>
      <c r="BV267" s="29">
        <v>0</v>
      </c>
      <c r="BW267" s="29">
        <v>0</v>
      </c>
      <c r="BX267" s="29"/>
      <c r="BY267" s="29"/>
      <c r="BZ267" s="29"/>
      <c r="CA267" s="29"/>
      <c r="CJ267" s="6"/>
      <c r="CK267" s="6"/>
      <c r="CL267" s="6"/>
    </row>
    <row r="268" spans="2:90" ht="13.5" customHeight="1">
      <c r="B268" s="1" t="s">
        <v>461</v>
      </c>
      <c r="C268" s="29">
        <v>24814</v>
      </c>
      <c r="D268" s="29">
        <v>19511</v>
      </c>
      <c r="E268" s="29">
        <v>24816</v>
      </c>
      <c r="F268" s="29">
        <f>+E268</f>
        <v>24816</v>
      </c>
      <c r="G268" s="29">
        <v>12616</v>
      </c>
      <c r="H268" s="29">
        <v>16554</v>
      </c>
      <c r="I268" s="29">
        <v>16554</v>
      </c>
      <c r="J268" s="29">
        <v>13706</v>
      </c>
      <c r="K268" s="29">
        <v>12053</v>
      </c>
      <c r="L268" s="29">
        <v>34897</v>
      </c>
      <c r="M268" s="29">
        <v>3093</v>
      </c>
      <c r="N268" s="498"/>
      <c r="O268" s="498"/>
      <c r="P268" s="498"/>
      <c r="Q268" s="29"/>
      <c r="R268" s="8">
        <f>D268</f>
        <v>19511</v>
      </c>
      <c r="S268" s="8">
        <f>BN268</f>
        <v>19511</v>
      </c>
      <c r="T268" s="8">
        <f>S268</f>
        <v>19511</v>
      </c>
      <c r="U268" s="8">
        <f>E268</f>
        <v>24816</v>
      </c>
      <c r="V268" s="29">
        <v>15429</v>
      </c>
      <c r="W268" s="8">
        <f>BO268</f>
        <v>19798</v>
      </c>
      <c r="X268" s="29">
        <v>17549</v>
      </c>
      <c r="Y268" s="8">
        <f>F268</f>
        <v>24816</v>
      </c>
      <c r="Z268" s="29">
        <v>14686</v>
      </c>
      <c r="AA268" s="8">
        <f>+BP268</f>
        <v>20192</v>
      </c>
      <c r="AB268" s="29">
        <v>20232</v>
      </c>
      <c r="AC268" s="8">
        <f>H268</f>
        <v>16554</v>
      </c>
      <c r="AD268" s="29">
        <v>30335</v>
      </c>
      <c r="AE268" s="8">
        <f>+BQ268</f>
        <v>20777</v>
      </c>
      <c r="AF268" s="29">
        <v>21754</v>
      </c>
      <c r="AG268" s="8">
        <f>J268</f>
        <v>13706</v>
      </c>
      <c r="AH268" s="29"/>
      <c r="AI268" s="8">
        <f>+BR268</f>
        <v>27203</v>
      </c>
      <c r="AJ268" s="29">
        <v>13304</v>
      </c>
      <c r="AK268" s="8">
        <f>K268</f>
        <v>12053</v>
      </c>
      <c r="AL268" s="29">
        <v>14912</v>
      </c>
      <c r="AM268" s="8">
        <f>+BS268</f>
        <v>19716</v>
      </c>
      <c r="AN268" s="29">
        <v>33194</v>
      </c>
      <c r="AO268" s="8">
        <f>L268</f>
        <v>34897</v>
      </c>
      <c r="AP268" s="29">
        <v>37455</v>
      </c>
      <c r="AQ268" s="8">
        <f>+BT268</f>
        <v>14237</v>
      </c>
      <c r="AR268" s="29">
        <v>12257</v>
      </c>
      <c r="AS268" s="8">
        <f>M268</f>
        <v>3093</v>
      </c>
      <c r="AT268" s="29">
        <v>10302</v>
      </c>
      <c r="AU268" s="8">
        <f>+BU268</f>
        <v>9221</v>
      </c>
      <c r="AV268" s="354"/>
      <c r="AW268" s="8">
        <f>N268</f>
        <v>0</v>
      </c>
      <c r="AX268" s="498"/>
      <c r="AY268" s="498"/>
      <c r="AZ268" s="498"/>
      <c r="BA268" s="498"/>
      <c r="BB268" s="498"/>
      <c r="BC268" s="498"/>
      <c r="BD268" s="498"/>
      <c r="BE268" s="498"/>
      <c r="BF268" s="498"/>
      <c r="BG268" s="142"/>
      <c r="BH268" s="29"/>
      <c r="BI268" s="29"/>
      <c r="BJ268" s="29"/>
      <c r="BK268" s="8"/>
      <c r="BL268" s="29">
        <v>30335</v>
      </c>
      <c r="BM268" s="29"/>
      <c r="BN268" s="8">
        <f>D268</f>
        <v>19511</v>
      </c>
      <c r="BO268" s="29">
        <v>19798</v>
      </c>
      <c r="BP268" s="29">
        <v>20192</v>
      </c>
      <c r="BQ268" s="29">
        <v>20777</v>
      </c>
      <c r="BR268" s="29">
        <v>27203</v>
      </c>
      <c r="BS268" s="29">
        <v>19716</v>
      </c>
      <c r="BT268" s="29">
        <v>14237</v>
      </c>
      <c r="BU268" s="29">
        <v>9221</v>
      </c>
      <c r="BV268" s="498"/>
      <c r="BW268" s="498"/>
      <c r="BX268" s="29"/>
      <c r="BY268" s="29"/>
      <c r="BZ268" s="29"/>
      <c r="CA268" s="29"/>
      <c r="CJ268" s="6"/>
      <c r="CK268" s="6"/>
      <c r="CL268" s="6"/>
    </row>
    <row r="269" spans="2:90" ht="13.5" customHeight="1"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142"/>
      <c r="BH269" s="29"/>
      <c r="BI269" s="29"/>
      <c r="BJ269" s="29"/>
      <c r="BK269" s="29"/>
      <c r="BL269" s="29"/>
      <c r="BM269" s="29"/>
      <c r="BN269" s="29"/>
      <c r="BO269" s="29"/>
      <c r="BP269" s="29"/>
      <c r="BQ269" s="29"/>
      <c r="BR269" s="29"/>
      <c r="BS269" s="29"/>
      <c r="BT269" s="29"/>
      <c r="BU269" s="29"/>
      <c r="BV269" s="29"/>
      <c r="BW269" s="29"/>
      <c r="BX269" s="29"/>
      <c r="BY269" s="29"/>
      <c r="BZ269" s="29"/>
      <c r="CA269" s="29"/>
      <c r="CJ269" s="6"/>
      <c r="CK269" s="6"/>
      <c r="CL269" s="6"/>
    </row>
    <row r="270" spans="2:90" ht="13.5" customHeight="1">
      <c r="B270" s="17" t="s">
        <v>462</v>
      </c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62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46"/>
      <c r="AW270" s="46"/>
      <c r="AX270" s="46"/>
      <c r="AY270" s="46"/>
      <c r="AZ270" s="46"/>
      <c r="BA270" s="46"/>
      <c r="BB270" s="46"/>
      <c r="BC270" s="46"/>
      <c r="BD270" s="46"/>
      <c r="BE270" s="46"/>
      <c r="BF270" s="46"/>
      <c r="BG270" s="142"/>
      <c r="BH270" s="46"/>
      <c r="BI270" s="46"/>
      <c r="BJ270" s="46"/>
      <c r="BK270" s="46"/>
      <c r="BL270" s="46"/>
      <c r="BM270" s="62"/>
      <c r="BN270" s="46"/>
      <c r="BO270" s="46"/>
      <c r="BP270" s="46"/>
      <c r="BQ270" s="46"/>
      <c r="BR270" s="46"/>
      <c r="BS270" s="46"/>
      <c r="BT270" s="46"/>
      <c r="BU270" s="46"/>
      <c r="BV270" s="46"/>
      <c r="BW270" s="46"/>
      <c r="BX270" s="62"/>
      <c r="BY270" s="62"/>
      <c r="BZ270" s="62"/>
      <c r="CA270" s="62"/>
      <c r="CJ270" s="6"/>
      <c r="CK270" s="6"/>
      <c r="CL270" s="6"/>
    </row>
    <row r="271" spans="2:90" ht="13.5" customHeight="1">
      <c r="C271" s="29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BG271" s="142"/>
      <c r="BH271" s="29"/>
      <c r="BI271" s="29"/>
      <c r="BJ271" s="29"/>
      <c r="BK271" s="29"/>
      <c r="BL271" s="29"/>
      <c r="BM271" s="29"/>
      <c r="BN271" s="29"/>
      <c r="BO271" s="29"/>
      <c r="BP271" s="29"/>
      <c r="BQ271" s="29"/>
      <c r="BR271" s="29"/>
      <c r="BS271" s="29"/>
      <c r="BT271" s="29"/>
      <c r="BU271" s="29"/>
      <c r="BV271" s="29"/>
      <c r="BW271" s="29"/>
      <c r="BX271" s="29"/>
      <c r="BY271" s="29"/>
      <c r="BZ271" s="29"/>
      <c r="CA271" s="29"/>
      <c r="CJ271" s="6"/>
      <c r="CK271" s="6"/>
      <c r="CL271" s="6"/>
    </row>
    <row r="272" spans="2:90" ht="13.5" customHeight="1">
      <c r="B272" s="1" t="s">
        <v>463</v>
      </c>
      <c r="C272" s="4">
        <v>66923.236399999994</v>
      </c>
      <c r="D272" s="4">
        <v>89884.438999999998</v>
      </c>
      <c r="E272" s="6">
        <f>U272</f>
        <v>116723.24800000001</v>
      </c>
      <c r="F272" s="4">
        <v>81391.043000000005</v>
      </c>
      <c r="G272" s="4">
        <v>81391.043000000005</v>
      </c>
      <c r="H272" s="4">
        <v>78714.86</v>
      </c>
      <c r="I272" s="4">
        <v>510566.109</v>
      </c>
      <c r="J272" s="4">
        <v>547171.74899999995</v>
      </c>
      <c r="K272" s="4">
        <v>341118.71299999999</v>
      </c>
      <c r="L272" s="4">
        <v>781593.37600000005</v>
      </c>
      <c r="M272" s="4">
        <v>627607.00300000003</v>
      </c>
      <c r="N272" s="4">
        <f>316015.56</f>
        <v>316015.56</v>
      </c>
      <c r="O272" s="4">
        <v>9801.2810000000009</v>
      </c>
      <c r="P272" s="4">
        <v>185197.22500000001</v>
      </c>
      <c r="Q272" s="4"/>
      <c r="R272" s="4">
        <v>88686.112999999998</v>
      </c>
      <c r="S272" s="4">
        <v>87751.773000000001</v>
      </c>
      <c r="T272" s="4">
        <v>77844.236000000004</v>
      </c>
      <c r="U272" s="4">
        <v>116723.24800000001</v>
      </c>
      <c r="V272" s="4">
        <v>70555.945999999996</v>
      </c>
      <c r="W272" s="4">
        <v>67026.11</v>
      </c>
      <c r="X272" s="4">
        <v>47520.535000000003</v>
      </c>
      <c r="Y272" s="6">
        <f>F272</f>
        <v>81391.043000000005</v>
      </c>
      <c r="Z272" s="4">
        <v>76386.327000000005</v>
      </c>
      <c r="AA272" s="6">
        <f>BP272</f>
        <v>90323.08</v>
      </c>
      <c r="AB272" s="4">
        <v>54723.004999999997</v>
      </c>
      <c r="AC272" s="6">
        <f>H272</f>
        <v>78714.86</v>
      </c>
      <c r="AD272" s="4">
        <v>413588.36800000002</v>
      </c>
      <c r="AE272" s="6">
        <f>BQ272</f>
        <v>412088.95799999998</v>
      </c>
      <c r="AF272" s="4">
        <v>443368.20699999999</v>
      </c>
      <c r="AG272" s="6">
        <f>J272</f>
        <v>547171.74899999995</v>
      </c>
      <c r="AH272" s="4">
        <v>485423.663</v>
      </c>
      <c r="AI272" s="6">
        <f>BR272</f>
        <v>448423.05800000002</v>
      </c>
      <c r="AJ272" s="4">
        <v>326640.92599999998</v>
      </c>
      <c r="AK272" s="6">
        <f>K272</f>
        <v>341118.71299999999</v>
      </c>
      <c r="AL272" s="4">
        <v>363341.21</v>
      </c>
      <c r="AM272" s="6">
        <f>BS272</f>
        <v>602010.92200000002</v>
      </c>
      <c r="AN272" s="4">
        <v>714553.56400000001</v>
      </c>
      <c r="AO272" s="6">
        <f>L272</f>
        <v>781593.37600000005</v>
      </c>
      <c r="AP272" s="4">
        <v>772679.55099999998</v>
      </c>
      <c r="AQ272" s="6">
        <f>BT272</f>
        <v>840984.52599999995</v>
      </c>
      <c r="AR272" s="4">
        <v>676088.18</v>
      </c>
      <c r="AS272" s="6">
        <f>M272</f>
        <v>627607.00300000003</v>
      </c>
      <c r="AT272" s="4">
        <v>456343.15299999999</v>
      </c>
      <c r="AU272" s="6">
        <f>BU272</f>
        <v>281946.69699999999</v>
      </c>
      <c r="AV272" s="4">
        <v>284091.34299999999</v>
      </c>
      <c r="AW272" s="6">
        <f>N272</f>
        <v>316015.56</v>
      </c>
      <c r="AX272" s="4">
        <v>316946.04200000002</v>
      </c>
      <c r="AY272" s="6">
        <f>BV272</f>
        <v>108762.08100000001</v>
      </c>
      <c r="AZ272" s="4">
        <v>10948.723</v>
      </c>
      <c r="BA272" s="6">
        <f>O272</f>
        <v>9801.2810000000009</v>
      </c>
      <c r="BB272" s="4">
        <v>87486.645000000004</v>
      </c>
      <c r="BC272" s="6">
        <f>BW272</f>
        <v>118891.16800000001</v>
      </c>
      <c r="BD272" s="4">
        <v>130737.215</v>
      </c>
      <c r="BE272" s="6">
        <f>P272</f>
        <v>185197.22500000001</v>
      </c>
      <c r="BF272" s="4">
        <v>206456.31</v>
      </c>
      <c r="BG272" s="142"/>
      <c r="BH272" s="4"/>
      <c r="BI272" s="4"/>
      <c r="BJ272" s="4"/>
      <c r="BK272" s="6"/>
      <c r="BL272" s="4">
        <v>413588.36800000002</v>
      </c>
      <c r="BM272" s="4"/>
      <c r="BN272" s="4">
        <f>S272</f>
        <v>87751.773000000001</v>
      </c>
      <c r="BO272" s="4">
        <f>W272</f>
        <v>67026.11</v>
      </c>
      <c r="BP272" s="4">
        <v>90323.08</v>
      </c>
      <c r="BQ272" s="4">
        <v>412088.95799999998</v>
      </c>
      <c r="BR272" s="4">
        <v>448423.05800000002</v>
      </c>
      <c r="BS272" s="4">
        <v>602010.92200000002</v>
      </c>
      <c r="BT272" s="4">
        <v>840984.52599999995</v>
      </c>
      <c r="BU272" s="4">
        <v>281946.69699999999</v>
      </c>
      <c r="BV272" s="4">
        <f>108762.081</f>
        <v>108762.08100000001</v>
      </c>
      <c r="BW272" s="4">
        <v>118891.16800000001</v>
      </c>
      <c r="BX272" s="4"/>
      <c r="BY272" s="4"/>
      <c r="BZ272" s="4"/>
      <c r="CA272" s="4"/>
      <c r="CJ272" s="6"/>
      <c r="CK272" s="6"/>
      <c r="CL272" s="6"/>
    </row>
    <row r="273" spans="2:90" ht="13.5" customHeight="1">
      <c r="B273" s="1" t="s">
        <v>464</v>
      </c>
      <c r="C273" s="4">
        <v>240739.59099999999</v>
      </c>
      <c r="D273" s="4">
        <v>294047.82400000002</v>
      </c>
      <c r="E273" s="6">
        <f>U273</f>
        <v>263987.87900000002</v>
      </c>
      <c r="F273" s="4">
        <v>242256.77100000001</v>
      </c>
      <c r="G273" s="4">
        <v>242256.77100000001</v>
      </c>
      <c r="H273" s="4">
        <v>268117.24</v>
      </c>
      <c r="I273" s="4">
        <v>268117.24</v>
      </c>
      <c r="J273" s="4">
        <v>263878.2</v>
      </c>
      <c r="K273" s="4">
        <v>205447.49100000001</v>
      </c>
      <c r="L273" s="4">
        <v>212007.85200000001</v>
      </c>
      <c r="M273" s="4">
        <v>204242.27799999999</v>
      </c>
      <c r="N273" s="4">
        <f>348360.092</f>
        <v>348360.092</v>
      </c>
      <c r="O273" s="4">
        <v>324850.98200000002</v>
      </c>
      <c r="P273" s="4">
        <v>330266.58799999999</v>
      </c>
      <c r="Q273" s="4"/>
      <c r="R273" s="4">
        <v>288689.51500000001</v>
      </c>
      <c r="S273" s="4">
        <v>286247.59000000003</v>
      </c>
      <c r="T273" s="4">
        <v>267350.31900000002</v>
      </c>
      <c r="U273" s="4">
        <v>263987.87900000002</v>
      </c>
      <c r="V273" s="4">
        <v>258607.31400000001</v>
      </c>
      <c r="W273" s="4">
        <v>251566.62899999999</v>
      </c>
      <c r="X273" s="4">
        <v>245935.26199999999</v>
      </c>
      <c r="Y273" s="6">
        <f>F273</f>
        <v>242256.77100000001</v>
      </c>
      <c r="Z273" s="4">
        <v>273409.63400000002</v>
      </c>
      <c r="AA273" s="6">
        <f>BP273</f>
        <v>271254.81199999998</v>
      </c>
      <c r="AB273" s="4">
        <v>268730.821</v>
      </c>
      <c r="AC273" s="6">
        <f>H273</f>
        <v>268117.24</v>
      </c>
      <c r="AD273" s="4">
        <v>266414.43599999999</v>
      </c>
      <c r="AE273" s="6">
        <f>BQ273</f>
        <v>266626.41399999999</v>
      </c>
      <c r="AF273" s="4">
        <v>266314.46299999999</v>
      </c>
      <c r="AG273" s="6">
        <f>J273</f>
        <v>263878.2</v>
      </c>
      <c r="AH273" s="4">
        <v>267262.72499999998</v>
      </c>
      <c r="AI273" s="6">
        <f>BR273</f>
        <v>205944.34</v>
      </c>
      <c r="AJ273" s="4">
        <v>207006.71799999999</v>
      </c>
      <c r="AK273" s="6">
        <f>K273</f>
        <v>205447.49100000001</v>
      </c>
      <c r="AL273" s="4">
        <v>208685.742</v>
      </c>
      <c r="AM273" s="6">
        <f>BS273</f>
        <v>206606.47200000001</v>
      </c>
      <c r="AN273" s="4">
        <v>210207.12</v>
      </c>
      <c r="AO273" s="145">
        <v>183629.54500000001</v>
      </c>
      <c r="AP273" s="4">
        <v>188674.215</v>
      </c>
      <c r="AQ273" s="6">
        <f>BT273</f>
        <v>194245.27799999999</v>
      </c>
      <c r="AR273" s="4">
        <v>201880.60800000001</v>
      </c>
      <c r="AS273" s="145">
        <f>M273</f>
        <v>204242.27799999999</v>
      </c>
      <c r="AT273" s="4">
        <v>207673.867</v>
      </c>
      <c r="AU273" s="6">
        <f>BU273</f>
        <v>215929.62</v>
      </c>
      <c r="AV273" s="4">
        <v>245948.37100000001</v>
      </c>
      <c r="AW273" s="145">
        <f>N273</f>
        <v>348360.092</v>
      </c>
      <c r="AX273" s="4">
        <v>334389.65600000002</v>
      </c>
      <c r="AY273" s="6">
        <f>BV273</f>
        <v>330911.15700000001</v>
      </c>
      <c r="AZ273" s="4">
        <v>328373.484</v>
      </c>
      <c r="BA273" s="6">
        <f>O273</f>
        <v>324850.98200000002</v>
      </c>
      <c r="BB273" s="4">
        <v>314104.255</v>
      </c>
      <c r="BC273" s="6">
        <f>BW273</f>
        <v>318441.14199999999</v>
      </c>
      <c r="BD273" s="4">
        <v>332087.266</v>
      </c>
      <c r="BE273" s="6">
        <f>P273</f>
        <v>330266.58799999999</v>
      </c>
      <c r="BF273" s="4">
        <v>330432.821</v>
      </c>
      <c r="BG273" s="142"/>
      <c r="BH273" s="4"/>
      <c r="BI273" s="4"/>
      <c r="BJ273" s="4"/>
      <c r="BK273" s="6"/>
      <c r="BL273" s="4">
        <v>266414.43599999999</v>
      </c>
      <c r="BM273" s="4"/>
      <c r="BN273" s="4">
        <f>S273</f>
        <v>286247.59000000003</v>
      </c>
      <c r="BO273" s="4">
        <f>W273</f>
        <v>251566.62899999999</v>
      </c>
      <c r="BP273" s="4">
        <v>271254.81199999998</v>
      </c>
      <c r="BQ273" s="4">
        <v>266626.41399999999</v>
      </c>
      <c r="BR273" s="4">
        <v>205944.34</v>
      </c>
      <c r="BS273" s="4">
        <v>206606.47200000001</v>
      </c>
      <c r="BT273" s="4">
        <v>194245.27799999999</v>
      </c>
      <c r="BU273" s="4">
        <v>215929.62</v>
      </c>
      <c r="BV273" s="4">
        <f>330911.157</f>
        <v>330911.15700000001</v>
      </c>
      <c r="BW273" s="4">
        <v>318441.14199999999</v>
      </c>
      <c r="BX273" s="4"/>
      <c r="BY273" s="4"/>
      <c r="BZ273" s="4"/>
      <c r="CA273" s="4"/>
      <c r="CJ273" s="6"/>
      <c r="CK273" s="6"/>
      <c r="CL273" s="6"/>
    </row>
    <row r="274" spans="2:90" ht="13.5" customHeight="1">
      <c r="B274" s="1" t="s">
        <v>465</v>
      </c>
      <c r="C274" s="4"/>
      <c r="D274" s="4"/>
      <c r="E274" s="6"/>
      <c r="F274" s="4"/>
      <c r="G274" s="4"/>
      <c r="H274" s="4"/>
      <c r="I274" s="4"/>
      <c r="J274" s="4">
        <v>35524.567000000003</v>
      </c>
      <c r="K274" s="4">
        <v>27237.056</v>
      </c>
      <c r="L274" s="4">
        <v>26397.415000000001</v>
      </c>
      <c r="M274" s="4">
        <v>24882.984</v>
      </c>
      <c r="N274" s="4">
        <f>26571.465</f>
        <v>26571.465</v>
      </c>
      <c r="O274" s="4">
        <v>21531.519</v>
      </c>
      <c r="P274" s="4">
        <v>23588.007000000001</v>
      </c>
      <c r="Q274" s="4"/>
      <c r="R274" s="4"/>
      <c r="S274" s="4"/>
      <c r="T274" s="4"/>
      <c r="U274" s="4"/>
      <c r="V274" s="4"/>
      <c r="W274" s="4"/>
      <c r="X274" s="4"/>
      <c r="Y274" s="6"/>
      <c r="Z274" s="4"/>
      <c r="AA274" s="6"/>
      <c r="AB274" s="4"/>
      <c r="AC274" s="6"/>
      <c r="AD274" s="4">
        <v>46284.974000000002</v>
      </c>
      <c r="AE274" s="6">
        <f>BQ274</f>
        <v>35016.892</v>
      </c>
      <c r="AF274" s="4">
        <v>34193.146000000001</v>
      </c>
      <c r="AG274" s="6">
        <f>J274</f>
        <v>35524.567000000003</v>
      </c>
      <c r="AH274" s="4">
        <v>36580.754999999997</v>
      </c>
      <c r="AI274" s="6">
        <f>BR274</f>
        <v>34569.298999999999</v>
      </c>
      <c r="AJ274" s="4">
        <v>33131.313000000002</v>
      </c>
      <c r="AK274" s="6">
        <f>K274</f>
        <v>27237.056</v>
      </c>
      <c r="AL274" s="4">
        <v>27114.9</v>
      </c>
      <c r="AM274" s="6">
        <f>BS274</f>
        <v>25772.531999999999</v>
      </c>
      <c r="AN274" s="4">
        <v>26990.294000000002</v>
      </c>
      <c r="AO274" s="6">
        <f>L274</f>
        <v>26397.415000000001</v>
      </c>
      <c r="AP274" s="4">
        <v>24434.395</v>
      </c>
      <c r="AQ274" s="6">
        <f>BT274</f>
        <v>26232.929</v>
      </c>
      <c r="AR274" s="4">
        <v>26875.983</v>
      </c>
      <c r="AS274" s="6">
        <f>M274</f>
        <v>24882.984</v>
      </c>
      <c r="AT274" s="4">
        <v>24008.6</v>
      </c>
      <c r="AU274" s="6">
        <f>BU274</f>
        <v>24529.714</v>
      </c>
      <c r="AV274" s="4">
        <v>27127.433000000001</v>
      </c>
      <c r="AW274" s="6">
        <f>N274</f>
        <v>26571.465</v>
      </c>
      <c r="AX274" s="4">
        <v>27337.819</v>
      </c>
      <c r="AY274" s="6">
        <f>BV274</f>
        <v>24559.101999999999</v>
      </c>
      <c r="AZ274" s="4">
        <v>22524.883999999998</v>
      </c>
      <c r="BA274" s="6">
        <f>O274</f>
        <v>21531.519</v>
      </c>
      <c r="BB274" s="4">
        <v>21856.974999999999</v>
      </c>
      <c r="BC274" s="6">
        <f>BW274</f>
        <v>20149.339</v>
      </c>
      <c r="BD274" s="4">
        <v>22299.106</v>
      </c>
      <c r="BE274" s="6">
        <f>P274</f>
        <v>23588.007000000001</v>
      </c>
      <c r="BF274" s="4">
        <v>29150.929</v>
      </c>
      <c r="BG274" s="142"/>
      <c r="BH274" s="4"/>
      <c r="BI274" s="4"/>
      <c r="BJ274" s="4"/>
      <c r="BK274" s="6"/>
      <c r="BL274" s="4">
        <v>46284.974000000002</v>
      </c>
      <c r="BM274" s="4"/>
      <c r="BN274" s="4"/>
      <c r="BO274" s="4"/>
      <c r="BP274" s="4"/>
      <c r="BQ274" s="4">
        <v>35016.892</v>
      </c>
      <c r="BR274" s="4">
        <v>34569.298999999999</v>
      </c>
      <c r="BS274" s="4">
        <v>25772.531999999999</v>
      </c>
      <c r="BT274" s="4">
        <v>26232.929</v>
      </c>
      <c r="BU274" s="4">
        <v>24529.714</v>
      </c>
      <c r="BV274" s="4">
        <f>24559.102</f>
        <v>24559.101999999999</v>
      </c>
      <c r="BW274" s="4">
        <v>20149.339</v>
      </c>
      <c r="BX274" s="4"/>
      <c r="BY274" s="4"/>
      <c r="BZ274" s="4"/>
      <c r="CA274" s="4"/>
      <c r="CJ274" s="6"/>
      <c r="CK274" s="6"/>
      <c r="CL274" s="6"/>
    </row>
    <row r="275" spans="2:90" ht="13.5" customHeight="1">
      <c r="C275" s="29"/>
      <c r="D275" s="107"/>
      <c r="E275" s="107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8"/>
      <c r="Z275" s="29"/>
      <c r="AA275" s="29"/>
      <c r="AB275" s="29"/>
      <c r="AC275" s="8"/>
      <c r="AD275" s="29"/>
      <c r="AE275" s="29"/>
      <c r="AF275" s="29"/>
      <c r="AG275" s="8"/>
      <c r="AH275" s="29"/>
      <c r="AI275" s="29"/>
      <c r="AJ275" s="29"/>
      <c r="AK275" s="8"/>
      <c r="AL275" s="29"/>
      <c r="AM275" s="29"/>
      <c r="AN275" s="29"/>
      <c r="AO275" s="8"/>
      <c r="AP275" s="29"/>
      <c r="AQ275" s="29"/>
      <c r="AR275" s="29"/>
      <c r="AS275" s="8"/>
      <c r="AT275" s="29"/>
      <c r="AU275" s="29"/>
      <c r="AV275" s="29"/>
      <c r="AW275" s="8"/>
      <c r="AX275" s="29"/>
      <c r="AY275" s="29"/>
      <c r="AZ275" s="29"/>
      <c r="BA275" s="8"/>
      <c r="BB275" s="29"/>
      <c r="BC275" s="29"/>
      <c r="BD275" s="29"/>
      <c r="BE275" s="8"/>
      <c r="BF275" s="29"/>
      <c r="BG275" s="142"/>
      <c r="BH275" s="29"/>
      <c r="BI275" s="29"/>
      <c r="BJ275" s="29"/>
      <c r="BK275" s="8"/>
      <c r="BL275" s="29"/>
      <c r="BM275" s="29"/>
      <c r="BN275" s="4"/>
      <c r="BO275" s="4"/>
      <c r="BP275" s="4"/>
      <c r="BQ275" s="4"/>
      <c r="BR275" s="4"/>
      <c r="BS275" s="4"/>
      <c r="BT275" s="4"/>
      <c r="BU275" s="29"/>
      <c r="BV275" s="29"/>
      <c r="BW275" s="29"/>
      <c r="BX275" s="4"/>
      <c r="BY275" s="4"/>
      <c r="BZ275" s="4"/>
      <c r="CA275" s="4"/>
      <c r="CJ275" s="6"/>
      <c r="CK275" s="6"/>
      <c r="CL275" s="6"/>
    </row>
    <row r="276" spans="2:90" ht="13.5" customHeight="1">
      <c r="B276" s="1" t="s">
        <v>452</v>
      </c>
      <c r="C276" s="149">
        <v>347215.19199999998</v>
      </c>
      <c r="D276" s="149">
        <v>372864.74699999997</v>
      </c>
      <c r="E276" s="149">
        <v>303391.37800000003</v>
      </c>
      <c r="F276" s="149">
        <v>225800.37599999999</v>
      </c>
      <c r="G276" s="149">
        <v>225800.37599999999</v>
      </c>
      <c r="H276" s="149">
        <v>275984.37300000002</v>
      </c>
      <c r="I276" s="149">
        <v>303217.364</v>
      </c>
      <c r="J276" s="149">
        <v>304355.21999999997</v>
      </c>
      <c r="K276" s="149">
        <v>336805.63099999999</v>
      </c>
      <c r="L276" s="149">
        <v>562625.424</v>
      </c>
      <c r="M276" s="149">
        <v>638895.09600000002</v>
      </c>
      <c r="N276" s="149">
        <f>695635.844</f>
        <v>695635.84400000004</v>
      </c>
      <c r="O276" s="149">
        <v>623511.75600000005</v>
      </c>
      <c r="P276" s="149">
        <v>724988.43400000001</v>
      </c>
      <c r="Q276" s="172"/>
      <c r="R276" s="149">
        <v>350443.46</v>
      </c>
      <c r="S276" s="149">
        <v>297221.62900000002</v>
      </c>
      <c r="T276" s="149">
        <v>283965.36099999998</v>
      </c>
      <c r="U276" s="200">
        <f>E276</f>
        <v>303391.37800000003</v>
      </c>
      <c r="V276" s="172">
        <v>245497.62</v>
      </c>
      <c r="W276" s="172">
        <v>211742.36</v>
      </c>
      <c r="X276" s="149">
        <v>224016.14199999999</v>
      </c>
      <c r="Y276" s="6">
        <f>F276</f>
        <v>225800.37599999999</v>
      </c>
      <c r="Z276" s="149">
        <v>203271.58100000001</v>
      </c>
      <c r="AA276" s="6">
        <f>BP276</f>
        <v>206720.842</v>
      </c>
      <c r="AB276" s="149">
        <v>274518.13799999998</v>
      </c>
      <c r="AC276" s="6">
        <f>H276</f>
        <v>275984.37300000002</v>
      </c>
      <c r="AD276" s="149">
        <v>257417.12400000001</v>
      </c>
      <c r="AE276" s="6">
        <f>BQ276</f>
        <v>260737.97899999999</v>
      </c>
      <c r="AF276" s="149">
        <v>229137.32399999999</v>
      </c>
      <c r="AG276" s="6">
        <f>J276</f>
        <v>304355.21999999997</v>
      </c>
      <c r="AH276" s="149">
        <v>805187.70400000003</v>
      </c>
      <c r="AI276" s="6">
        <f>BR276</f>
        <v>426348.109</v>
      </c>
      <c r="AJ276" s="149">
        <v>392879.88799999998</v>
      </c>
      <c r="AK276" s="6">
        <f>K276</f>
        <v>336805.63099999999</v>
      </c>
      <c r="AL276" s="149">
        <v>336345.46100000001</v>
      </c>
      <c r="AM276" s="6">
        <f>BS276</f>
        <v>959617.87899999996</v>
      </c>
      <c r="AN276" s="149">
        <v>387343.56900000002</v>
      </c>
      <c r="AO276" s="6">
        <f>L276</f>
        <v>562625.424</v>
      </c>
      <c r="AP276" s="149">
        <v>744167.06700000004</v>
      </c>
      <c r="AQ276" s="6">
        <f>BT276</f>
        <v>566389.255</v>
      </c>
      <c r="AR276" s="149">
        <v>629350.64399999997</v>
      </c>
      <c r="AS276" s="6">
        <f>M276</f>
        <v>638895.09600000002</v>
      </c>
      <c r="AT276" s="149">
        <v>434995.23800000001</v>
      </c>
      <c r="AU276" s="6">
        <f>BU276</f>
        <v>535884.06000000006</v>
      </c>
      <c r="AV276" s="149">
        <v>697828.89199999999</v>
      </c>
      <c r="AW276" s="6">
        <f>N276</f>
        <v>695635.84400000004</v>
      </c>
      <c r="AX276" s="149">
        <v>753511.27099999995</v>
      </c>
      <c r="AY276" s="6">
        <f>BV276</f>
        <v>697989.72499999998</v>
      </c>
      <c r="AZ276" s="149">
        <v>606350.00699999998</v>
      </c>
      <c r="BA276" s="6">
        <f>O276</f>
        <v>623511.75600000005</v>
      </c>
      <c r="BB276" s="149">
        <v>585941.10800000001</v>
      </c>
      <c r="BC276" s="6">
        <f>BW276</f>
        <v>715215.49699999997</v>
      </c>
      <c r="BD276" s="149">
        <v>706578.24800000002</v>
      </c>
      <c r="BE276" s="6">
        <f>P276</f>
        <v>724988.43400000001</v>
      </c>
      <c r="BF276" s="149">
        <v>728935.32400000002</v>
      </c>
      <c r="BG276" s="142"/>
      <c r="BH276" s="149"/>
      <c r="BI276" s="149"/>
      <c r="BJ276" s="149"/>
      <c r="BK276" s="6"/>
      <c r="BL276" s="149">
        <v>257417.12400000001</v>
      </c>
      <c r="BM276" s="172"/>
      <c r="BN276" s="4">
        <f>S276</f>
        <v>297221.62900000002</v>
      </c>
      <c r="BO276" s="4">
        <f>W276</f>
        <v>211742.36</v>
      </c>
      <c r="BP276" s="4">
        <v>206720.842</v>
      </c>
      <c r="BQ276" s="4">
        <v>260737.97899999999</v>
      </c>
      <c r="BR276" s="4">
        <v>426348.109</v>
      </c>
      <c r="BS276" s="4">
        <v>959617.87899999996</v>
      </c>
      <c r="BT276" s="4">
        <v>566389.255</v>
      </c>
      <c r="BU276" s="149">
        <v>535884.06000000006</v>
      </c>
      <c r="BV276" s="149">
        <f>697989.725</f>
        <v>697989.72499999998</v>
      </c>
      <c r="BW276" s="149">
        <v>715215.49699999997</v>
      </c>
      <c r="BX276" s="4"/>
      <c r="BY276" s="4"/>
      <c r="BZ276" s="4"/>
      <c r="CA276" s="4"/>
      <c r="CJ276" s="6"/>
      <c r="CK276" s="6"/>
      <c r="CL276" s="6"/>
    </row>
    <row r="277" spans="2:90" ht="13.5" customHeight="1">
      <c r="C277" s="29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432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142"/>
      <c r="BH277" s="29"/>
      <c r="BI277" s="29"/>
      <c r="BJ277" s="29"/>
      <c r="BK277" s="29"/>
      <c r="BL277" s="29"/>
      <c r="BM277" s="29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J277" s="6"/>
      <c r="CK277" s="6"/>
      <c r="CL277" s="6"/>
    </row>
    <row r="278" spans="2:90" ht="13.5" customHeight="1">
      <c r="B278" s="1" t="s">
        <v>14</v>
      </c>
      <c r="C278" s="200">
        <f>C272+C273-C276</f>
        <v>-39552.36460000003</v>
      </c>
      <c r="D278" s="200">
        <f>D272+D273-D276</f>
        <v>11067.516000000061</v>
      </c>
      <c r="E278" s="200">
        <f>E272+E273-E276</f>
        <v>77319.749000000011</v>
      </c>
      <c r="F278" s="200">
        <f t="shared" ref="F278:K278" si="928">F272+F273-F276</f>
        <v>97847.438000000024</v>
      </c>
      <c r="G278" s="200">
        <f t="shared" si="928"/>
        <v>97847.438000000024</v>
      </c>
      <c r="H278" s="200">
        <f t="shared" si="928"/>
        <v>70847.726999999955</v>
      </c>
      <c r="I278" s="200">
        <f t="shared" si="928"/>
        <v>475465.98499999993</v>
      </c>
      <c r="J278" s="200">
        <f t="shared" si="928"/>
        <v>506694.72900000005</v>
      </c>
      <c r="K278" s="200">
        <f t="shared" si="928"/>
        <v>209760.57300000003</v>
      </c>
      <c r="L278" s="200">
        <f>L272+L273-L276</f>
        <v>430975.80400000012</v>
      </c>
      <c r="M278" s="200">
        <f>M272+M273-M276</f>
        <v>192954.18499999994</v>
      </c>
      <c r="N278" s="200">
        <f>N272+N273-N276</f>
        <v>-31260.192000000039</v>
      </c>
      <c r="O278" s="200">
        <f>O272+O273-O276</f>
        <v>-288859.49300000002</v>
      </c>
      <c r="P278" s="200">
        <f>P272+P273-P276</f>
        <v>-209524.62100000004</v>
      </c>
      <c r="Q278" s="203"/>
      <c r="R278" s="200">
        <f>R272+R273-R276</f>
        <v>26932.168000000005</v>
      </c>
      <c r="S278" s="200">
        <f>S272+S273-S276</f>
        <v>76777.733999999997</v>
      </c>
      <c r="T278" s="200">
        <f>T272+T273-T276</f>
        <v>61229.194000000076</v>
      </c>
      <c r="U278" s="200">
        <f>U272+U273-U276</f>
        <v>77319.749000000011</v>
      </c>
      <c r="V278" s="203">
        <f>V272+V273-V276</f>
        <v>83665.640000000014</v>
      </c>
      <c r="W278" s="203">
        <f t="shared" ref="W278:AB278" si="929">W272+W273-W276</f>
        <v>106850.37900000002</v>
      </c>
      <c r="X278" s="200">
        <f t="shared" si="929"/>
        <v>69439.655000000028</v>
      </c>
      <c r="Y278" s="200">
        <f t="shared" si="929"/>
        <v>97847.438000000024</v>
      </c>
      <c r="Z278" s="203">
        <f t="shared" si="929"/>
        <v>146524.38</v>
      </c>
      <c r="AA278" s="203">
        <f t="shared" si="929"/>
        <v>154857.04999999999</v>
      </c>
      <c r="AB278" s="200">
        <f t="shared" si="929"/>
        <v>48935.688000000024</v>
      </c>
      <c r="AC278" s="200">
        <f t="shared" ref="AC278:AH278" si="930">AC272+AC273-AC276</f>
        <v>70847.726999999955</v>
      </c>
      <c r="AD278" s="203">
        <f t="shared" si="930"/>
        <v>422585.68</v>
      </c>
      <c r="AE278" s="203">
        <f t="shared" si="930"/>
        <v>417977.39299999998</v>
      </c>
      <c r="AF278" s="203">
        <f t="shared" si="930"/>
        <v>480545.3459999999</v>
      </c>
      <c r="AG278" s="200">
        <f t="shared" si="930"/>
        <v>506694.72900000005</v>
      </c>
      <c r="AH278" s="203">
        <f t="shared" si="930"/>
        <v>-52501.315999999992</v>
      </c>
      <c r="AI278" s="203">
        <f t="shared" ref="AI278:AN278" si="931">AI272+AI273-AI276</f>
        <v>228019.28900000005</v>
      </c>
      <c r="AJ278" s="203">
        <f t="shared" si="931"/>
        <v>140767.75599999999</v>
      </c>
      <c r="AK278" s="200">
        <f t="shared" si="931"/>
        <v>209760.57300000003</v>
      </c>
      <c r="AL278" s="203">
        <f t="shared" si="931"/>
        <v>235681.49100000004</v>
      </c>
      <c r="AM278" s="203">
        <f t="shared" si="931"/>
        <v>-151000.48499999987</v>
      </c>
      <c r="AN278" s="203">
        <f t="shared" si="931"/>
        <v>537417.11499999999</v>
      </c>
      <c r="AO278" s="200">
        <f t="shared" ref="AO278:AT278" si="932">AO272+AO273-AO276</f>
        <v>402597.49700000009</v>
      </c>
      <c r="AP278" s="203">
        <f t="shared" si="932"/>
        <v>217186.69899999991</v>
      </c>
      <c r="AQ278" s="203">
        <f t="shared" si="932"/>
        <v>468840.549</v>
      </c>
      <c r="AR278" s="203">
        <f t="shared" si="932"/>
        <v>248618.14400000009</v>
      </c>
      <c r="AS278" s="200">
        <f t="shared" si="932"/>
        <v>192954.18499999994</v>
      </c>
      <c r="AT278" s="203">
        <f t="shared" si="932"/>
        <v>229021.78200000001</v>
      </c>
      <c r="AU278" s="203">
        <f t="shared" ref="AU278:AZ278" si="933">AU272+AU273-AU276</f>
        <v>-38007.743000000075</v>
      </c>
      <c r="AV278" s="203">
        <f t="shared" si="933"/>
        <v>-167789.17799999996</v>
      </c>
      <c r="AW278" s="200">
        <f t="shared" si="933"/>
        <v>-31260.192000000039</v>
      </c>
      <c r="AX278" s="203">
        <f t="shared" si="933"/>
        <v>-102175.57299999986</v>
      </c>
      <c r="AY278" s="203">
        <f t="shared" si="933"/>
        <v>-258316.48699999996</v>
      </c>
      <c r="AZ278" s="203">
        <f t="shared" si="933"/>
        <v>-267027.8</v>
      </c>
      <c r="BA278" s="200">
        <f t="shared" ref="BA278:BF278" si="934">BA272+BA273-BA276</f>
        <v>-288859.49300000002</v>
      </c>
      <c r="BB278" s="203">
        <f t="shared" si="934"/>
        <v>-184350.20799999998</v>
      </c>
      <c r="BC278" s="203">
        <f t="shared" si="934"/>
        <v>-277883.18699999998</v>
      </c>
      <c r="BD278" s="203">
        <f t="shared" si="934"/>
        <v>-243753.76699999999</v>
      </c>
      <c r="BE278" s="200">
        <f t="shared" si="934"/>
        <v>-209524.62100000004</v>
      </c>
      <c r="BF278" s="203">
        <f t="shared" si="934"/>
        <v>-192046.19299999997</v>
      </c>
      <c r="BG278" s="142"/>
      <c r="BH278" s="203"/>
      <c r="BI278" s="203"/>
      <c r="BJ278" s="203"/>
      <c r="BK278" s="200"/>
      <c r="BL278" s="203">
        <f>BL272+BL273-BL276</f>
        <v>422585.68</v>
      </c>
      <c r="BM278" s="203"/>
      <c r="BN278" s="6">
        <f t="shared" ref="BN278:BS278" si="935">BN272+BN273-BN276</f>
        <v>76777.733999999997</v>
      </c>
      <c r="BO278" s="6">
        <f t="shared" si="935"/>
        <v>106850.37900000002</v>
      </c>
      <c r="BP278" s="6">
        <f t="shared" si="935"/>
        <v>154857.04999999999</v>
      </c>
      <c r="BQ278" s="6">
        <f t="shared" si="935"/>
        <v>417977.39299999998</v>
      </c>
      <c r="BR278" s="6">
        <f t="shared" si="935"/>
        <v>228019.28900000005</v>
      </c>
      <c r="BS278" s="6">
        <f t="shared" si="935"/>
        <v>-151000.48499999987</v>
      </c>
      <c r="BT278" s="6">
        <f>BT272+BT273-BT276</f>
        <v>468840.549</v>
      </c>
      <c r="BU278" s="6">
        <f>BU272+BU273-BU276</f>
        <v>-38007.743000000075</v>
      </c>
      <c r="BV278" s="6">
        <f>BV272+BV273-BV276</f>
        <v>-258316.48699999996</v>
      </c>
      <c r="BW278" s="6">
        <f>BW272+BW273-BW276</f>
        <v>-277883.18699999998</v>
      </c>
      <c r="BX278" s="6"/>
      <c r="BY278" s="6"/>
      <c r="BZ278" s="6"/>
      <c r="CA278" s="6"/>
      <c r="CJ278" s="6"/>
      <c r="CK278" s="6"/>
      <c r="CL278" s="6"/>
    </row>
    <row r="279" spans="2:90" ht="13.5" customHeight="1">
      <c r="B279" s="1" t="s">
        <v>453</v>
      </c>
      <c r="C279" s="200">
        <f>SUM(C272:C273)</f>
        <v>307662.82739999995</v>
      </c>
      <c r="D279" s="200">
        <f>SUM(D272:D273)</f>
        <v>383932.26300000004</v>
      </c>
      <c r="E279" s="200">
        <f>SUM(E272:E273)</f>
        <v>380711.12700000004</v>
      </c>
      <c r="F279" s="200">
        <f t="shared" ref="F279:K279" si="936">SUM(F272:F273)</f>
        <v>323647.81400000001</v>
      </c>
      <c r="G279" s="200">
        <f t="shared" si="936"/>
        <v>323647.81400000001</v>
      </c>
      <c r="H279" s="200">
        <f t="shared" si="936"/>
        <v>346832.1</v>
      </c>
      <c r="I279" s="200">
        <f t="shared" si="936"/>
        <v>778683.34899999993</v>
      </c>
      <c r="J279" s="200">
        <f t="shared" si="936"/>
        <v>811049.94900000002</v>
      </c>
      <c r="K279" s="200">
        <f t="shared" si="936"/>
        <v>546566.20400000003</v>
      </c>
      <c r="L279" s="200">
        <f>SUM(L272:L273)</f>
        <v>993601.22800000012</v>
      </c>
      <c r="M279" s="200">
        <f>SUM(M272:M273)</f>
        <v>831849.28099999996</v>
      </c>
      <c r="N279" s="200">
        <f>SUM(N272:N273)</f>
        <v>664375.652</v>
      </c>
      <c r="O279" s="200">
        <f>SUM(O272:O273)</f>
        <v>334652.26300000004</v>
      </c>
      <c r="P279" s="200">
        <f>SUM(P272:P273)</f>
        <v>515463.81299999997</v>
      </c>
      <c r="Q279" s="203"/>
      <c r="R279" s="200">
        <f t="shared" ref="R279:Z279" si="937">SUM(R272:R273)</f>
        <v>377375.62800000003</v>
      </c>
      <c r="S279" s="200">
        <f t="shared" si="937"/>
        <v>373999.36300000001</v>
      </c>
      <c r="T279" s="200">
        <f t="shared" si="937"/>
        <v>345194.55500000005</v>
      </c>
      <c r="U279" s="200">
        <f t="shared" si="937"/>
        <v>380711.12700000004</v>
      </c>
      <c r="V279" s="203">
        <f t="shared" si="937"/>
        <v>329163.26</v>
      </c>
      <c r="W279" s="203">
        <f t="shared" si="937"/>
        <v>318592.739</v>
      </c>
      <c r="X279" s="200">
        <f t="shared" si="937"/>
        <v>293455.79700000002</v>
      </c>
      <c r="Y279" s="200">
        <f t="shared" si="937"/>
        <v>323647.81400000001</v>
      </c>
      <c r="Z279" s="203">
        <f t="shared" si="937"/>
        <v>349795.96100000001</v>
      </c>
      <c r="AA279" s="203">
        <f t="shared" ref="AA279:AF279" si="938">SUM(AA272:AA274)</f>
        <v>361577.89199999999</v>
      </c>
      <c r="AB279" s="203">
        <f t="shared" si="938"/>
        <v>323453.826</v>
      </c>
      <c r="AC279" s="203">
        <f t="shared" si="938"/>
        <v>346832.1</v>
      </c>
      <c r="AD279" s="203">
        <f t="shared" si="938"/>
        <v>726287.77800000005</v>
      </c>
      <c r="AE279" s="203">
        <f t="shared" si="938"/>
        <v>713732.26399999997</v>
      </c>
      <c r="AF279" s="203">
        <f t="shared" si="938"/>
        <v>743875.81599999988</v>
      </c>
      <c r="AG279" s="203">
        <f t="shared" ref="AG279:AM279" si="939">SUM(AG272:AG274)</f>
        <v>846574.51600000006</v>
      </c>
      <c r="AH279" s="203">
        <f t="shared" si="939"/>
        <v>789267.14300000004</v>
      </c>
      <c r="AI279" s="203">
        <f t="shared" si="939"/>
        <v>688936.69700000004</v>
      </c>
      <c r="AJ279" s="203">
        <f t="shared" si="939"/>
        <v>566778.95699999994</v>
      </c>
      <c r="AK279" s="203">
        <f t="shared" si="939"/>
        <v>573803.26</v>
      </c>
      <c r="AL279" s="203">
        <f t="shared" si="939"/>
        <v>599141.85200000007</v>
      </c>
      <c r="AM279" s="203">
        <f t="shared" si="939"/>
        <v>834389.92600000009</v>
      </c>
      <c r="AN279" s="203">
        <f t="shared" ref="AN279:AS279" si="940">SUM(AN272:AN274)</f>
        <v>951750.978</v>
      </c>
      <c r="AO279" s="203">
        <f t="shared" si="940"/>
        <v>991620.33600000013</v>
      </c>
      <c r="AP279" s="203">
        <f t="shared" si="940"/>
        <v>985788.16099999996</v>
      </c>
      <c r="AQ279" s="203">
        <f t="shared" si="940"/>
        <v>1061462.733</v>
      </c>
      <c r="AR279" s="203">
        <f t="shared" si="940"/>
        <v>904844.77100000007</v>
      </c>
      <c r="AS279" s="203">
        <f t="shared" si="940"/>
        <v>856732.26500000001</v>
      </c>
      <c r="AT279" s="203">
        <f t="shared" ref="AT279:AY279" si="941">SUM(AT272:AT274)</f>
        <v>688025.62</v>
      </c>
      <c r="AU279" s="203">
        <f t="shared" si="941"/>
        <v>522406.03099999996</v>
      </c>
      <c r="AV279" s="203">
        <f t="shared" si="941"/>
        <v>557167.147</v>
      </c>
      <c r="AW279" s="203">
        <f t="shared" si="941"/>
        <v>690947.11699999997</v>
      </c>
      <c r="AX279" s="203">
        <f t="shared" si="941"/>
        <v>678673.51700000011</v>
      </c>
      <c r="AY279" s="203">
        <f t="shared" si="941"/>
        <v>464232.34</v>
      </c>
      <c r="AZ279" s="203">
        <f t="shared" ref="AZ279:BE279" si="942">SUM(AZ272:AZ274)</f>
        <v>361847.09100000001</v>
      </c>
      <c r="BA279" s="203">
        <f t="shared" si="942"/>
        <v>356183.78200000001</v>
      </c>
      <c r="BB279" s="203">
        <f t="shared" si="942"/>
        <v>423447.875</v>
      </c>
      <c r="BC279" s="203">
        <f t="shared" si="942"/>
        <v>457481.64899999998</v>
      </c>
      <c r="BD279" s="203">
        <f t="shared" si="942"/>
        <v>485123.58700000006</v>
      </c>
      <c r="BE279" s="203">
        <f t="shared" si="942"/>
        <v>539051.81999999995</v>
      </c>
      <c r="BF279" s="203">
        <f>SUM(BF272:BF274)</f>
        <v>566040.06000000006</v>
      </c>
      <c r="BG279" s="142"/>
      <c r="BH279" s="203"/>
      <c r="BI279" s="203"/>
      <c r="BJ279" s="203"/>
      <c r="BK279" s="203"/>
      <c r="BL279" s="203">
        <f>SUM(BL272:BL274)</f>
        <v>726287.77800000005</v>
      </c>
      <c r="BM279" s="203"/>
      <c r="BN279" s="203">
        <f t="shared" ref="BN279:BS279" si="943">SUM(BN272:BN274)</f>
        <v>373999.36300000001</v>
      </c>
      <c r="BO279" s="203">
        <f t="shared" si="943"/>
        <v>318592.739</v>
      </c>
      <c r="BP279" s="203">
        <f t="shared" si="943"/>
        <v>361577.89199999999</v>
      </c>
      <c r="BQ279" s="203">
        <f t="shared" si="943"/>
        <v>713732.26399999997</v>
      </c>
      <c r="BR279" s="203">
        <f t="shared" si="943"/>
        <v>688936.69700000004</v>
      </c>
      <c r="BS279" s="203">
        <f t="shared" si="943"/>
        <v>834389.92600000009</v>
      </c>
      <c r="BT279" s="203">
        <f>SUM(BT272:BT274)</f>
        <v>1061462.733</v>
      </c>
      <c r="BU279" s="203">
        <f>SUM(BU272:BU274)</f>
        <v>522406.03099999996</v>
      </c>
      <c r="BV279" s="203">
        <f>SUM(BV272:BV274)</f>
        <v>464232.34</v>
      </c>
      <c r="BW279" s="203">
        <f>SUM(BW272:BW274)</f>
        <v>457481.64899999998</v>
      </c>
      <c r="BX279" s="6"/>
      <c r="BY279" s="6"/>
      <c r="BZ279" s="6"/>
      <c r="CA279" s="6"/>
      <c r="CJ279" s="6"/>
      <c r="CK279" s="6"/>
      <c r="CL279" s="6"/>
    </row>
    <row r="280" spans="2:90" ht="13.5" customHeight="1">
      <c r="C280" s="29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432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142"/>
      <c r="BH280" s="29"/>
      <c r="BI280" s="29"/>
      <c r="BJ280" s="29"/>
      <c r="BK280" s="29"/>
      <c r="BL280" s="29"/>
      <c r="BM280" s="29"/>
      <c r="BN280" s="29"/>
      <c r="BO280" s="29"/>
      <c r="BP280" s="29"/>
      <c r="BQ280" s="29"/>
      <c r="BR280" s="29"/>
      <c r="BS280" s="29"/>
      <c r="BT280" s="29"/>
      <c r="BU280" s="29"/>
      <c r="BV280" s="29"/>
      <c r="BW280" s="29"/>
      <c r="BX280" s="29"/>
      <c r="BY280" s="29"/>
      <c r="BZ280" s="29"/>
      <c r="CA280" s="29"/>
      <c r="CJ280" s="6"/>
      <c r="CK280" s="6"/>
      <c r="CL280" s="6"/>
    </row>
    <row r="281" spans="2:90" ht="13.5" customHeight="1">
      <c r="B281" s="17" t="s">
        <v>466</v>
      </c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62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46"/>
      <c r="AW281" s="46"/>
      <c r="AX281" s="46"/>
      <c r="AY281" s="46"/>
      <c r="AZ281" s="46"/>
      <c r="BA281" s="46"/>
      <c r="BB281" s="46"/>
      <c r="BC281" s="46"/>
      <c r="BD281" s="46"/>
      <c r="BE281" s="46"/>
      <c r="BF281" s="46"/>
      <c r="BG281" s="142"/>
      <c r="BH281" s="46"/>
      <c r="BI281" s="46"/>
      <c r="BJ281" s="46"/>
      <c r="BK281" s="46"/>
      <c r="BL281" s="46"/>
      <c r="BM281" s="62"/>
      <c r="BN281" s="46"/>
      <c r="BO281" s="46"/>
      <c r="BP281" s="46"/>
      <c r="BQ281" s="46"/>
      <c r="BR281" s="46"/>
      <c r="BS281" s="46"/>
      <c r="BT281" s="46"/>
      <c r="BU281" s="46"/>
      <c r="BV281" s="46"/>
      <c r="BW281" s="46"/>
      <c r="BX281" s="62"/>
      <c r="BY281" s="62"/>
      <c r="BZ281" s="62"/>
      <c r="CA281" s="62"/>
      <c r="CJ281" s="6"/>
      <c r="CK281" s="6"/>
      <c r="CL281" s="6"/>
    </row>
    <row r="282" spans="2:90" ht="13.5" customHeight="1">
      <c r="B282" s="1" t="s">
        <v>467</v>
      </c>
      <c r="C282" s="148">
        <f>C254+C278</f>
        <v>2701541.3524000002</v>
      </c>
      <c r="D282" s="148">
        <f>D254+D278</f>
        <v>3154477.4029999999</v>
      </c>
      <c r="E282" s="148">
        <f>E254+E278</f>
        <v>3531779.247</v>
      </c>
      <c r="F282" s="148">
        <f t="shared" ref="F282:K282" si="944">F254+F278</f>
        <v>3618016.4079999998</v>
      </c>
      <c r="G282" s="148">
        <f t="shared" si="944"/>
        <v>3618016.4079999998</v>
      </c>
      <c r="H282" s="148">
        <f t="shared" si="944"/>
        <v>3455146.3430000003</v>
      </c>
      <c r="I282" s="148">
        <f t="shared" si="944"/>
        <v>3462522.4750000001</v>
      </c>
      <c r="J282" s="148">
        <f t="shared" si="944"/>
        <v>3463961.1090000002</v>
      </c>
      <c r="K282" s="148">
        <f t="shared" si="944"/>
        <v>2754099.1979999999</v>
      </c>
      <c r="L282" s="148">
        <f>L254+L278</f>
        <v>3549718.2710000002</v>
      </c>
      <c r="M282" s="148">
        <f>M254+M278</f>
        <v>4215191.95</v>
      </c>
      <c r="N282" s="148">
        <f>N254+N278</f>
        <v>3509259.767</v>
      </c>
      <c r="O282" s="148">
        <f>O254+O278</f>
        <v>2681295.1029999992</v>
      </c>
      <c r="P282" s="148">
        <f>P254+P278</f>
        <v>1630581.1899999997</v>
      </c>
      <c r="Q282" s="146"/>
      <c r="R282" s="148">
        <f t="shared" ref="R282:W282" si="945">R254+R278</f>
        <v>3061613.9149999996</v>
      </c>
      <c r="S282" s="148">
        <f t="shared" si="945"/>
        <v>3279881.9050000003</v>
      </c>
      <c r="T282" s="148">
        <f t="shared" si="945"/>
        <v>3380334.6799999997</v>
      </c>
      <c r="U282" s="148">
        <f t="shared" si="945"/>
        <v>3531779.247</v>
      </c>
      <c r="V282" s="146">
        <f t="shared" si="945"/>
        <v>3543777.8690000004</v>
      </c>
      <c r="W282" s="146">
        <f t="shared" si="945"/>
        <v>3646193.22</v>
      </c>
      <c r="X282" s="146">
        <f t="shared" ref="X282:AC282" si="946">X254+X278</f>
        <v>3631430.5830000006</v>
      </c>
      <c r="Y282" s="148">
        <f t="shared" si="946"/>
        <v>3618016.4079999998</v>
      </c>
      <c r="Z282" s="146">
        <f t="shared" si="946"/>
        <v>3649187.5569999996</v>
      </c>
      <c r="AA282" s="146">
        <f t="shared" si="946"/>
        <v>3902019.8309999998</v>
      </c>
      <c r="AB282" s="146">
        <f t="shared" si="946"/>
        <v>3980391.7569999998</v>
      </c>
      <c r="AC282" s="148">
        <f t="shared" si="946"/>
        <v>3455146.3430000003</v>
      </c>
      <c r="AD282" s="146">
        <f t="shared" ref="AD282:AI282" si="947">AD254+AD278</f>
        <v>3362173.179</v>
      </c>
      <c r="AE282" s="146">
        <f t="shared" si="947"/>
        <v>3503206.0730000003</v>
      </c>
      <c r="AF282" s="146">
        <f t="shared" si="947"/>
        <v>3691402.4780000001</v>
      </c>
      <c r="AG282" s="148">
        <f t="shared" si="947"/>
        <v>3463961.1090000002</v>
      </c>
      <c r="AH282" s="146">
        <f t="shared" si="947"/>
        <v>3413160.7929999996</v>
      </c>
      <c r="AI282" s="146">
        <f t="shared" si="947"/>
        <v>3503700.8289999999</v>
      </c>
      <c r="AJ282" s="146">
        <f t="shared" ref="AJ282:AO282" si="948">AJ254+AJ278</f>
        <v>3321050.8569999998</v>
      </c>
      <c r="AK282" s="148">
        <f t="shared" si="948"/>
        <v>2754099.1979999999</v>
      </c>
      <c r="AL282" s="146">
        <f t="shared" si="948"/>
        <v>2940323.4580000001</v>
      </c>
      <c r="AM282" s="146">
        <f t="shared" si="948"/>
        <v>2448611.7060000007</v>
      </c>
      <c r="AN282" s="146">
        <f t="shared" si="948"/>
        <v>3536992.6780000003</v>
      </c>
      <c r="AO282" s="148">
        <f t="shared" si="948"/>
        <v>3521339.9640000002</v>
      </c>
      <c r="AP282" s="146">
        <f t="shared" ref="AP282:AU282" si="949">AP254+AP278</f>
        <v>3623099.9130000002</v>
      </c>
      <c r="AQ282" s="146">
        <f t="shared" si="949"/>
        <v>4446833.2539999997</v>
      </c>
      <c r="AR282" s="146">
        <f t="shared" si="949"/>
        <v>4623672.0590000004</v>
      </c>
      <c r="AS282" s="148">
        <f t="shared" si="949"/>
        <v>4215191.95</v>
      </c>
      <c r="AT282" s="146">
        <f t="shared" si="949"/>
        <v>4160403.9679999999</v>
      </c>
      <c r="AU282" s="146">
        <f t="shared" si="949"/>
        <v>4013771.7219999991</v>
      </c>
      <c r="AV282" s="146">
        <f t="shared" ref="AV282:BA282" si="950">AV254+AV278</f>
        <v>3780996.6719999998</v>
      </c>
      <c r="AW282" s="148">
        <f t="shared" si="950"/>
        <v>3509259.767</v>
      </c>
      <c r="AX282" s="146">
        <f t="shared" si="950"/>
        <v>3817343.0989999999</v>
      </c>
      <c r="AY282" s="146">
        <f t="shared" si="950"/>
        <v>3520968.3319999995</v>
      </c>
      <c r="AZ282" s="146">
        <f t="shared" si="950"/>
        <v>3085483.0310000004</v>
      </c>
      <c r="BA282" s="148">
        <f t="shared" si="950"/>
        <v>2681295.1029999992</v>
      </c>
      <c r="BB282" s="146">
        <f>BB254+BB278</f>
        <v>2733059.4009999991</v>
      </c>
      <c r="BC282" s="146">
        <f>BC254+BC278</f>
        <v>2161332.679</v>
      </c>
      <c r="BD282" s="146">
        <f>BD254+BD278</f>
        <v>2199691.6800000002</v>
      </c>
      <c r="BE282" s="148">
        <f>BE254+BE278</f>
        <v>1630581.1899999997</v>
      </c>
      <c r="BF282" s="146">
        <f>BF254+BF278</f>
        <v>1552714.8220000002</v>
      </c>
      <c r="BG282" s="142"/>
      <c r="BH282" s="146"/>
      <c r="BI282" s="146"/>
      <c r="BJ282" s="146"/>
      <c r="BK282" s="148"/>
      <c r="BL282" s="146">
        <f>BL254+BL278</f>
        <v>3355841.2429999998</v>
      </c>
      <c r="BM282" s="146"/>
      <c r="BN282" s="8">
        <f t="shared" ref="BN282:BS282" si="951">BN254+BN278</f>
        <v>3279881.9050000003</v>
      </c>
      <c r="BO282" s="8">
        <f t="shared" si="951"/>
        <v>3646193.22</v>
      </c>
      <c r="BP282" s="8">
        <f t="shared" si="951"/>
        <v>3902019.8309999998</v>
      </c>
      <c r="BQ282" s="8">
        <f t="shared" si="951"/>
        <v>3503206.0730000003</v>
      </c>
      <c r="BR282" s="8">
        <f t="shared" si="951"/>
        <v>3503700.8289999999</v>
      </c>
      <c r="BS282" s="8">
        <f t="shared" si="951"/>
        <v>2448611.7060000007</v>
      </c>
      <c r="BT282" s="8">
        <f>BT254+BT278</f>
        <v>4446833.2539999997</v>
      </c>
      <c r="BU282" s="8">
        <f>BU254+BU278</f>
        <v>4013771.7219999991</v>
      </c>
      <c r="BV282" s="8">
        <f>BV254+BV278</f>
        <v>3520968.3319999995</v>
      </c>
      <c r="BW282" s="8">
        <f>BW254+BW278</f>
        <v>2161332.679</v>
      </c>
      <c r="BX282" s="8"/>
      <c r="BY282" s="8"/>
      <c r="BZ282" s="8"/>
      <c r="CA282" s="8"/>
      <c r="CJ282" s="6"/>
      <c r="CK282" s="6"/>
      <c r="CL282" s="6"/>
    </row>
    <row r="283" spans="2:90" ht="13.5" customHeight="1">
      <c r="B283" s="1" t="s">
        <v>468</v>
      </c>
      <c r="C283" s="148">
        <f>C279+C255</f>
        <v>3259976.4123999998</v>
      </c>
      <c r="D283" s="148">
        <f>D279+D255</f>
        <v>3734650.3760000002</v>
      </c>
      <c r="E283" s="148">
        <f>E279+E255</f>
        <v>4036490.2590000001</v>
      </c>
      <c r="F283" s="148">
        <f t="shared" ref="F283:K283" si="952">F279+F255</f>
        <v>4075843.9689999996</v>
      </c>
      <c r="G283" s="148">
        <f t="shared" si="952"/>
        <v>4075843.9689999996</v>
      </c>
      <c r="H283" s="148">
        <f t="shared" si="952"/>
        <v>4083231.2210000004</v>
      </c>
      <c r="I283" s="148">
        <f t="shared" si="952"/>
        <v>4083231.2209999999</v>
      </c>
      <c r="J283" s="148">
        <f t="shared" si="952"/>
        <v>4068281.682</v>
      </c>
      <c r="K283" s="148">
        <f t="shared" si="952"/>
        <v>4307098.7489999998</v>
      </c>
      <c r="L283" s="148">
        <f>L279+L255</f>
        <v>4645609.233</v>
      </c>
      <c r="M283" s="148">
        <f>M279+M255</f>
        <v>5478159.807</v>
      </c>
      <c r="N283" s="148">
        <f>N279+N255</f>
        <v>5282714.7549999999</v>
      </c>
      <c r="O283" s="148">
        <f>O279+O255</f>
        <v>4943192.05</v>
      </c>
      <c r="P283" s="148">
        <f>P279+P255</f>
        <v>3940290.8659999999</v>
      </c>
      <c r="Q283" s="146"/>
      <c r="R283" s="148">
        <f t="shared" ref="R283:W283" si="953">R279+R255</f>
        <v>3605263.5749999997</v>
      </c>
      <c r="S283" s="148">
        <f t="shared" si="953"/>
        <v>3754238.534</v>
      </c>
      <c r="T283" s="148">
        <f t="shared" si="953"/>
        <v>3823992.2179999999</v>
      </c>
      <c r="U283" s="148">
        <f t="shared" si="953"/>
        <v>4036490.2590000001</v>
      </c>
      <c r="V283" s="146">
        <f t="shared" si="953"/>
        <v>3983767.0650000004</v>
      </c>
      <c r="W283" s="146">
        <f t="shared" si="953"/>
        <v>4034766.8510000003</v>
      </c>
      <c r="X283" s="146">
        <f t="shared" ref="X283:AC283" si="954">X279+X255</f>
        <v>4064384.38</v>
      </c>
      <c r="Y283" s="148">
        <f t="shared" si="954"/>
        <v>4075843.9689999996</v>
      </c>
      <c r="Z283" s="146">
        <f t="shared" si="954"/>
        <v>4071177.483</v>
      </c>
      <c r="AA283" s="146">
        <f t="shared" si="954"/>
        <v>4322103.6689999998</v>
      </c>
      <c r="AB283" s="146">
        <f t="shared" si="954"/>
        <v>4461420.409</v>
      </c>
      <c r="AC283" s="148">
        <f t="shared" si="954"/>
        <v>4083231.2210000004</v>
      </c>
      <c r="AD283" s="146">
        <f t="shared" ref="AD283:AI283" si="955">AD279+AD255</f>
        <v>3959508.6939999997</v>
      </c>
      <c r="AE283" s="146">
        <f t="shared" si="955"/>
        <v>3991906.1570000001</v>
      </c>
      <c r="AF283" s="146">
        <f t="shared" si="955"/>
        <v>4183870.2719999999</v>
      </c>
      <c r="AG283" s="148">
        <f t="shared" si="955"/>
        <v>4103806.2489999998</v>
      </c>
      <c r="AH283" s="146">
        <f t="shared" si="955"/>
        <v>5164767.324</v>
      </c>
      <c r="AI283" s="146">
        <f t="shared" si="955"/>
        <v>5395603.0589999994</v>
      </c>
      <c r="AJ283" s="146">
        <f t="shared" ref="AJ283:AO283" si="956">AJ279+AJ255</f>
        <v>4960683.5120000001</v>
      </c>
      <c r="AK283" s="148">
        <f t="shared" si="956"/>
        <v>4334335.8049999997</v>
      </c>
      <c r="AL283" s="146">
        <f t="shared" si="956"/>
        <v>4323577.8969999999</v>
      </c>
      <c r="AM283" s="146">
        <f t="shared" si="956"/>
        <v>4248877.1070000008</v>
      </c>
      <c r="AN283" s="146">
        <f t="shared" si="956"/>
        <v>4478920.5810000002</v>
      </c>
      <c r="AO283" s="148">
        <f t="shared" si="956"/>
        <v>4643628.341</v>
      </c>
      <c r="AP283" s="146">
        <f t="shared" ref="AP283:AU283" si="957">AP279+AP255</f>
        <v>4744445.5660000006</v>
      </c>
      <c r="AQ283" s="146">
        <f t="shared" si="957"/>
        <v>5586474.2110000001</v>
      </c>
      <c r="AR283" s="146">
        <f t="shared" si="957"/>
        <v>5938118.227</v>
      </c>
      <c r="AS283" s="148">
        <f t="shared" si="957"/>
        <v>5503042.7910000002</v>
      </c>
      <c r="AT283" s="146">
        <f t="shared" si="957"/>
        <v>5144024.5269999998</v>
      </c>
      <c r="AU283" s="146">
        <f t="shared" si="957"/>
        <v>4977482.3059999999</v>
      </c>
      <c r="AV283" s="146">
        <f t="shared" ref="AV283:BA283" si="958">AV279+AV255</f>
        <v>5155792.18</v>
      </c>
      <c r="AW283" s="148">
        <f t="shared" si="958"/>
        <v>5309286.22</v>
      </c>
      <c r="AX283" s="146">
        <f t="shared" si="958"/>
        <v>5547120.2709999997</v>
      </c>
      <c r="AY283" s="146">
        <f t="shared" si="958"/>
        <v>5226386.9339999994</v>
      </c>
      <c r="AZ283" s="146">
        <f t="shared" si="958"/>
        <v>5074114.784</v>
      </c>
      <c r="BA283" s="148">
        <f t="shared" si="958"/>
        <v>4964723.5689999992</v>
      </c>
      <c r="BB283" s="146">
        <f>BB279+BB255</f>
        <v>4415786.7529999996</v>
      </c>
      <c r="BC283" s="146">
        <f>BC279+BC255</f>
        <v>4364559.5609999998</v>
      </c>
      <c r="BD283" s="146">
        <f>BD279+BD255</f>
        <v>4269099.3780000005</v>
      </c>
      <c r="BE283" s="148">
        <f>BE279+BE255</f>
        <v>3963878.8729999997</v>
      </c>
      <c r="BF283" s="146">
        <f>BF279+BF255</f>
        <v>4139364.3670000001</v>
      </c>
      <c r="BG283" s="142"/>
      <c r="BH283" s="146"/>
      <c r="BI283" s="146"/>
      <c r="BJ283" s="146"/>
      <c r="BK283" s="148"/>
      <c r="BL283" s="146">
        <f>BL279+BL255</f>
        <v>3959508.6939999997</v>
      </c>
      <c r="BM283" s="146"/>
      <c r="BN283" s="8">
        <f t="shared" ref="BN283:BS283" si="959">BN279+BN255</f>
        <v>3754238.534</v>
      </c>
      <c r="BO283" s="8">
        <f t="shared" si="959"/>
        <v>4034766.8510000003</v>
      </c>
      <c r="BP283" s="8">
        <f t="shared" si="959"/>
        <v>4322103.6689999998</v>
      </c>
      <c r="BQ283" s="8">
        <f t="shared" si="959"/>
        <v>3991906.1570000001</v>
      </c>
      <c r="BR283" s="8">
        <f t="shared" si="959"/>
        <v>5395603.0589999994</v>
      </c>
      <c r="BS283" s="8">
        <f t="shared" si="959"/>
        <v>4248877.1070000008</v>
      </c>
      <c r="BT283" s="8">
        <f>BT279+BT255</f>
        <v>5586474.2110000001</v>
      </c>
      <c r="BU283" s="8">
        <f>BU279+BU255</f>
        <v>4977482.3059999999</v>
      </c>
      <c r="BV283" s="8">
        <f>BV279+BV255</f>
        <v>5226386.9339999994</v>
      </c>
      <c r="BW283" s="8">
        <f>BW279+BW255</f>
        <v>4364559.5609999998</v>
      </c>
      <c r="BX283" s="8"/>
      <c r="BY283" s="8"/>
      <c r="BZ283" s="8"/>
      <c r="CA283" s="8"/>
      <c r="CJ283" s="6"/>
      <c r="CK283" s="6"/>
      <c r="CL283" s="6"/>
    </row>
    <row r="284" spans="2:90" ht="13.5" customHeight="1">
      <c r="C284" s="148"/>
      <c r="D284" s="148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6"/>
      <c r="R284" s="148"/>
      <c r="S284" s="148"/>
      <c r="T284" s="148"/>
      <c r="U284" s="148"/>
      <c r="V284" s="146"/>
      <c r="W284" s="146"/>
      <c r="X284" s="146"/>
      <c r="Y284" s="148"/>
      <c r="Z284" s="146"/>
      <c r="AA284" s="146"/>
      <c r="AB284" s="146"/>
      <c r="AC284" s="148"/>
      <c r="AD284" s="146"/>
      <c r="AE284" s="146"/>
      <c r="AF284" s="146"/>
      <c r="AG284" s="148"/>
      <c r="AH284" s="146"/>
      <c r="AI284" s="146"/>
      <c r="AJ284" s="146"/>
      <c r="AK284" s="148"/>
      <c r="AL284" s="146"/>
      <c r="AM284" s="146"/>
      <c r="AN284" s="146"/>
      <c r="AO284" s="148"/>
      <c r="AP284" s="146"/>
      <c r="AQ284" s="146"/>
      <c r="AR284" s="146"/>
      <c r="AS284" s="148"/>
      <c r="AT284" s="146"/>
      <c r="AU284" s="146"/>
      <c r="AV284" s="146"/>
      <c r="AW284" s="148"/>
      <c r="AX284" s="146"/>
      <c r="AY284" s="146"/>
      <c r="AZ284" s="146"/>
      <c r="BA284" s="148"/>
      <c r="BB284" s="146"/>
      <c r="BC284" s="146"/>
      <c r="BD284" s="146"/>
      <c r="BE284" s="148"/>
      <c r="BF284" s="146"/>
      <c r="BG284" s="142"/>
      <c r="BH284" s="146"/>
      <c r="BI284" s="146"/>
      <c r="BJ284" s="146"/>
      <c r="BK284" s="148"/>
      <c r="BL284" s="146"/>
      <c r="BM284" s="146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J284" s="6"/>
      <c r="CK284" s="6"/>
      <c r="CL284" s="6"/>
    </row>
    <row r="285" spans="2:90" ht="13.5" customHeight="1">
      <c r="B285" s="1" t="s">
        <v>458</v>
      </c>
      <c r="C285" s="148">
        <f t="shared" ref="C285:E286" si="960">C278+C259</f>
        <v>2802117.8674000003</v>
      </c>
      <c r="D285" s="148">
        <f t="shared" si="960"/>
        <v>3243307.2319999998</v>
      </c>
      <c r="E285" s="148">
        <f t="shared" si="960"/>
        <v>3639101.4240000001</v>
      </c>
      <c r="F285" s="148">
        <f t="shared" ref="F285:H286" si="961">F278+F259</f>
        <v>3706643.577</v>
      </c>
      <c r="G285" s="148">
        <f t="shared" si="961"/>
        <v>3706643.577</v>
      </c>
      <c r="H285" s="148">
        <f t="shared" si="961"/>
        <v>3515397.7150000003</v>
      </c>
      <c r="I285" s="148">
        <f t="shared" ref="I285:K286" si="962">I278+I259</f>
        <v>3522773.8470000001</v>
      </c>
      <c r="J285" s="148">
        <f t="shared" si="962"/>
        <v>4447217.1380000003</v>
      </c>
      <c r="K285" s="148">
        <f t="shared" si="962"/>
        <v>3687647.2589999996</v>
      </c>
      <c r="L285" s="148">
        <f t="shared" ref="L285:N286" si="963">L278+L259</f>
        <v>4624310.1560000004</v>
      </c>
      <c r="M285" s="148">
        <f>M278+M259</f>
        <v>5394674.5690000001</v>
      </c>
      <c r="N285" s="148">
        <f t="shared" si="963"/>
        <v>4714836.2510000002</v>
      </c>
      <c r="O285" s="148">
        <f>O278+O259</f>
        <v>4080495.4939999999</v>
      </c>
      <c r="P285" s="148">
        <f>P278+P259</f>
        <v>3078665.1059999997</v>
      </c>
      <c r="Q285" s="146"/>
      <c r="R285" s="148">
        <f t="shared" ref="R285:W286" si="964">R278+R259</f>
        <v>3141633.6049999995</v>
      </c>
      <c r="S285" s="148">
        <f t="shared" si="964"/>
        <v>3368711.7340000002</v>
      </c>
      <c r="T285" s="148">
        <f t="shared" si="964"/>
        <v>3450829.9449999998</v>
      </c>
      <c r="U285" s="148">
        <f t="shared" si="964"/>
        <v>3639101.4240000001</v>
      </c>
      <c r="V285" s="146">
        <f t="shared" si="964"/>
        <v>3609257.2660000003</v>
      </c>
      <c r="W285" s="146">
        <f t="shared" si="964"/>
        <v>3747818.7250000001</v>
      </c>
      <c r="X285" s="146">
        <f t="shared" ref="X285:AD286" si="965">X278+X259</f>
        <v>3724713.3820000002</v>
      </c>
      <c r="Y285" s="148">
        <f t="shared" si="965"/>
        <v>3706643.577</v>
      </c>
      <c r="Z285" s="146">
        <f t="shared" si="965"/>
        <v>3730888.3669999996</v>
      </c>
      <c r="AA285" s="146">
        <f t="shared" si="965"/>
        <v>3973534.7909999997</v>
      </c>
      <c r="AB285" s="146">
        <f t="shared" si="965"/>
        <v>4051287.0819999999</v>
      </c>
      <c r="AC285" s="148">
        <f t="shared" si="965"/>
        <v>3515397.7150000003</v>
      </c>
      <c r="AD285" s="146">
        <f t="shared" si="965"/>
        <v>4397716.551</v>
      </c>
      <c r="AE285" s="146">
        <f t="shared" ref="AE285:AH286" si="966">AE278+AE259</f>
        <v>4472734.6059999997</v>
      </c>
      <c r="AF285" s="146">
        <f t="shared" si="966"/>
        <v>4655167.8770000003</v>
      </c>
      <c r="AG285" s="148">
        <f t="shared" si="966"/>
        <v>4447217.1380000003</v>
      </c>
      <c r="AH285" s="146">
        <f t="shared" si="966"/>
        <v>4386301.7470000004</v>
      </c>
      <c r="AI285" s="146">
        <f t="shared" ref="AI285:AM286" si="967">AI278+AI259</f>
        <v>4497293.24</v>
      </c>
      <c r="AJ285" s="146">
        <f t="shared" si="967"/>
        <v>4275852.0409999993</v>
      </c>
      <c r="AK285" s="148">
        <f t="shared" si="967"/>
        <v>3687647.2589999996</v>
      </c>
      <c r="AL285" s="146">
        <f t="shared" si="967"/>
        <v>3873893.02</v>
      </c>
      <c r="AM285" s="146">
        <f t="shared" si="967"/>
        <v>3385632.4320000005</v>
      </c>
      <c r="AN285" s="146">
        <f t="shared" ref="AN285:AQ286" si="968">AN278+AN259</f>
        <v>4512046.9730000002</v>
      </c>
      <c r="AO285" s="148">
        <f t="shared" si="968"/>
        <v>4595931.8490000004</v>
      </c>
      <c r="AP285" s="146">
        <f t="shared" si="968"/>
        <v>4721310</v>
      </c>
      <c r="AQ285" s="146">
        <f t="shared" si="968"/>
        <v>5622876.6039999994</v>
      </c>
      <c r="AR285" s="146">
        <f t="shared" ref="AR285:AU286" si="969">AR278+AR259</f>
        <v>5819997.4460000005</v>
      </c>
      <c r="AS285" s="148">
        <f t="shared" si="969"/>
        <v>5394674.5690000001</v>
      </c>
      <c r="AT285" s="146">
        <f t="shared" si="969"/>
        <v>5301960.311999999</v>
      </c>
      <c r="AU285" s="146">
        <f t="shared" si="969"/>
        <v>5173584.6639999999</v>
      </c>
      <c r="AV285" s="146">
        <f t="shared" ref="AV285:AY286" si="970">AV278+AV259</f>
        <v>4984137.5019999994</v>
      </c>
      <c r="AW285" s="148">
        <f t="shared" si="970"/>
        <v>4714836.2510000002</v>
      </c>
      <c r="AX285" s="146">
        <f t="shared" si="970"/>
        <v>5074595.0279999999</v>
      </c>
      <c r="AY285" s="146">
        <f t="shared" si="970"/>
        <v>4837689.9519999996</v>
      </c>
      <c r="AZ285" s="146">
        <f t="shared" ref="AZ285:BC286" si="971">AZ278+AZ259</f>
        <v>4382627.8660000004</v>
      </c>
      <c r="BA285" s="148">
        <f t="shared" si="971"/>
        <v>4080495.4939999999</v>
      </c>
      <c r="BB285" s="146">
        <f t="shared" si="971"/>
        <v>4114274.598999999</v>
      </c>
      <c r="BC285" s="146">
        <f t="shared" si="971"/>
        <v>3600044.2609999999</v>
      </c>
      <c r="BD285" s="146">
        <f t="shared" ref="BD285:BF286" si="972">BD278+BD259</f>
        <v>3609319.2420000001</v>
      </c>
      <c r="BE285" s="148">
        <f t="shared" si="972"/>
        <v>3078665.1059999997</v>
      </c>
      <c r="BF285" s="146">
        <f t="shared" si="972"/>
        <v>3003824.0420000004</v>
      </c>
      <c r="BG285" s="142"/>
      <c r="BH285" s="146"/>
      <c r="BI285" s="146"/>
      <c r="BJ285" s="146"/>
      <c r="BK285" s="148"/>
      <c r="BL285" s="146">
        <f>BL278+BL259</f>
        <v>4391384.6149999993</v>
      </c>
      <c r="BM285" s="146"/>
      <c r="BN285" s="8">
        <f t="shared" ref="BN285:BP286" si="973">BN278+BN259</f>
        <v>3368711.7340000002</v>
      </c>
      <c r="BO285" s="8">
        <f t="shared" si="973"/>
        <v>3747818.7250000001</v>
      </c>
      <c r="BP285" s="8">
        <f t="shared" si="973"/>
        <v>3973534.7909999997</v>
      </c>
      <c r="BQ285" s="8">
        <f t="shared" ref="BQ285:BS286" si="974">BQ278+BQ259</f>
        <v>4472734.6059999997</v>
      </c>
      <c r="BR285" s="8">
        <f t="shared" si="974"/>
        <v>4497293.24</v>
      </c>
      <c r="BS285" s="8">
        <f t="shared" si="974"/>
        <v>3385632.4320000005</v>
      </c>
      <c r="BT285" s="8">
        <f t="shared" ref="BT285:BV286" si="975">BT278+BT259</f>
        <v>5622876.6039999994</v>
      </c>
      <c r="BU285" s="8">
        <f t="shared" si="975"/>
        <v>5173584.6639999999</v>
      </c>
      <c r="BV285" s="8">
        <f t="shared" si="975"/>
        <v>4837689.9519999996</v>
      </c>
      <c r="BW285" s="8">
        <f>BW278+BW259</f>
        <v>3600044.2609999999</v>
      </c>
      <c r="BX285" s="8"/>
      <c r="BY285" s="8"/>
      <c r="BZ285" s="8"/>
      <c r="CA285" s="8"/>
      <c r="CJ285" s="6"/>
      <c r="CK285" s="6"/>
      <c r="CL285" s="6"/>
    </row>
    <row r="286" spans="2:90" ht="13.5" customHeight="1">
      <c r="B286" s="1" t="s">
        <v>459</v>
      </c>
      <c r="C286" s="148">
        <f t="shared" si="960"/>
        <v>3360552.9273999999</v>
      </c>
      <c r="D286" s="148">
        <f t="shared" si="960"/>
        <v>3823480.2050000001</v>
      </c>
      <c r="E286" s="148">
        <f t="shared" si="960"/>
        <v>4143812.4360000002</v>
      </c>
      <c r="F286" s="148">
        <f t="shared" si="961"/>
        <v>4164471.1380000003</v>
      </c>
      <c r="G286" s="148">
        <f t="shared" si="961"/>
        <v>4164471.1380000003</v>
      </c>
      <c r="H286" s="148">
        <f t="shared" si="961"/>
        <v>4143482.5930000003</v>
      </c>
      <c r="I286" s="148">
        <f t="shared" si="962"/>
        <v>4143482.5929999999</v>
      </c>
      <c r="J286" s="148">
        <f t="shared" si="962"/>
        <v>5051537.7110000001</v>
      </c>
      <c r="K286" s="148">
        <f t="shared" si="962"/>
        <v>5240646.8099999996</v>
      </c>
      <c r="L286" s="148">
        <f t="shared" si="963"/>
        <v>5720201.1179999998</v>
      </c>
      <c r="M286" s="148">
        <f>M279+M260</f>
        <v>6657642.4260000009</v>
      </c>
      <c r="N286" s="148">
        <f t="shared" si="963"/>
        <v>6488291.2390000001</v>
      </c>
      <c r="O286" s="148">
        <f>O279+O260</f>
        <v>6342392.4409999996</v>
      </c>
      <c r="P286" s="148">
        <f>P279+P260</f>
        <v>5388374.7819999997</v>
      </c>
      <c r="Q286" s="146"/>
      <c r="R286" s="148">
        <f t="shared" si="964"/>
        <v>3685283.2649999997</v>
      </c>
      <c r="S286" s="148">
        <f t="shared" si="964"/>
        <v>3843068.3629999999</v>
      </c>
      <c r="T286" s="148">
        <f t="shared" si="964"/>
        <v>3894487.483</v>
      </c>
      <c r="U286" s="148">
        <f t="shared" si="964"/>
        <v>4143812.4360000002</v>
      </c>
      <c r="V286" s="146">
        <f t="shared" si="964"/>
        <v>4049246.4620000003</v>
      </c>
      <c r="W286" s="146">
        <f t="shared" si="964"/>
        <v>4136392.3560000001</v>
      </c>
      <c r="X286" s="146">
        <f t="shared" si="965"/>
        <v>4157667.1790000005</v>
      </c>
      <c r="Y286" s="148">
        <f t="shared" si="965"/>
        <v>4164471.1380000003</v>
      </c>
      <c r="Z286" s="146">
        <f t="shared" si="965"/>
        <v>4152878.2930000001</v>
      </c>
      <c r="AA286" s="146">
        <f t="shared" si="965"/>
        <v>4393618.6289999997</v>
      </c>
      <c r="AB286" s="146">
        <f t="shared" si="965"/>
        <v>4532315.7340000002</v>
      </c>
      <c r="AC286" s="148">
        <f t="shared" si="965"/>
        <v>4143482.5930000003</v>
      </c>
      <c r="AD286" s="146">
        <f t="shared" si="965"/>
        <v>4995052.0659999996</v>
      </c>
      <c r="AE286" s="146">
        <f t="shared" si="966"/>
        <v>4961434.6899999995</v>
      </c>
      <c r="AF286" s="146">
        <f t="shared" si="966"/>
        <v>5147635.6710000001</v>
      </c>
      <c r="AG286" s="148">
        <f t="shared" si="966"/>
        <v>5087062.2779999999</v>
      </c>
      <c r="AH286" s="146">
        <f t="shared" si="966"/>
        <v>6137908.2779999999</v>
      </c>
      <c r="AI286" s="146">
        <f t="shared" si="967"/>
        <v>6389195.4699999997</v>
      </c>
      <c r="AJ286" s="146">
        <f t="shared" si="967"/>
        <v>5915484.6960000005</v>
      </c>
      <c r="AK286" s="148">
        <f t="shared" si="967"/>
        <v>5267883.8659999995</v>
      </c>
      <c r="AL286" s="146">
        <f t="shared" si="967"/>
        <v>5257147.4589999998</v>
      </c>
      <c r="AM286" s="146">
        <f t="shared" si="967"/>
        <v>5185897.8330000006</v>
      </c>
      <c r="AN286" s="146">
        <f t="shared" si="968"/>
        <v>5453974.8760000002</v>
      </c>
      <c r="AO286" s="148">
        <f t="shared" si="968"/>
        <v>5718220.2259999998</v>
      </c>
      <c r="AP286" s="146">
        <f t="shared" si="968"/>
        <v>5842655.6530000009</v>
      </c>
      <c r="AQ286" s="146">
        <f t="shared" si="968"/>
        <v>6762517.5609999998</v>
      </c>
      <c r="AR286" s="146">
        <f t="shared" si="969"/>
        <v>7134443.6140000001</v>
      </c>
      <c r="AS286" s="148">
        <f t="shared" si="969"/>
        <v>6682525.4100000001</v>
      </c>
      <c r="AT286" s="146">
        <f t="shared" si="969"/>
        <v>6285580.8710000003</v>
      </c>
      <c r="AU286" s="146">
        <f t="shared" si="969"/>
        <v>6137295.2479999997</v>
      </c>
      <c r="AV286" s="146">
        <f t="shared" si="970"/>
        <v>6358933.0099999998</v>
      </c>
      <c r="AW286" s="148">
        <f t="shared" si="970"/>
        <v>6514862.7039999999</v>
      </c>
      <c r="AX286" s="146">
        <f t="shared" si="970"/>
        <v>6804372.2000000002</v>
      </c>
      <c r="AY286" s="146">
        <f t="shared" si="970"/>
        <v>6543108.5539999995</v>
      </c>
      <c r="AZ286" s="146">
        <f t="shared" si="971"/>
        <v>6371259.6189999999</v>
      </c>
      <c r="BA286" s="148">
        <f t="shared" si="971"/>
        <v>6363923.959999999</v>
      </c>
      <c r="BB286" s="146">
        <f t="shared" si="971"/>
        <v>5797001.9509999994</v>
      </c>
      <c r="BC286" s="146">
        <f t="shared" si="971"/>
        <v>5803271.1430000002</v>
      </c>
      <c r="BD286" s="146">
        <f t="shared" si="972"/>
        <v>5678726.9400000004</v>
      </c>
      <c r="BE286" s="148">
        <f t="shared" si="972"/>
        <v>5411962.7889999999</v>
      </c>
      <c r="BF286" s="146">
        <f t="shared" si="972"/>
        <v>5590473.5869999994</v>
      </c>
      <c r="BG286" s="142"/>
      <c r="BH286" s="146"/>
      <c r="BI286" s="146"/>
      <c r="BJ286" s="146"/>
      <c r="BK286" s="148"/>
      <c r="BL286" s="146">
        <f>BL279+BL260</f>
        <v>4995052.0659999996</v>
      </c>
      <c r="BM286" s="146"/>
      <c r="BN286" s="8">
        <f t="shared" si="973"/>
        <v>3843068.3629999999</v>
      </c>
      <c r="BO286" s="8">
        <f t="shared" si="973"/>
        <v>4136392.3560000001</v>
      </c>
      <c r="BP286" s="8">
        <f t="shared" si="973"/>
        <v>4393618.6289999997</v>
      </c>
      <c r="BQ286" s="8">
        <f t="shared" si="974"/>
        <v>4961434.6899999995</v>
      </c>
      <c r="BR286" s="8">
        <f t="shared" si="974"/>
        <v>6389195.4699999997</v>
      </c>
      <c r="BS286" s="8">
        <f t="shared" si="974"/>
        <v>5185897.8330000006</v>
      </c>
      <c r="BT286" s="8">
        <f t="shared" si="975"/>
        <v>6762517.5609999998</v>
      </c>
      <c r="BU286" s="8">
        <f t="shared" si="975"/>
        <v>6137295.2479999997</v>
      </c>
      <c r="BV286" s="8">
        <f t="shared" si="975"/>
        <v>6543108.5539999995</v>
      </c>
      <c r="BW286" s="8">
        <f>BW279+BW260</f>
        <v>5803271.1430000002</v>
      </c>
      <c r="BX286" s="8"/>
      <c r="BY286" s="8"/>
      <c r="BZ286" s="8"/>
      <c r="CA286" s="8"/>
      <c r="CJ286" s="6"/>
      <c r="CK286" s="6"/>
      <c r="CL286" s="6"/>
    </row>
    <row r="287" spans="2:90" ht="13.5" customHeight="1">
      <c r="C287" s="29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BG287" s="142"/>
      <c r="BH287" s="29"/>
      <c r="BI287" s="29"/>
      <c r="BJ287" s="29"/>
      <c r="BK287" s="29"/>
      <c r="BL287" s="29"/>
      <c r="BM287" s="29"/>
      <c r="BN287" s="29"/>
      <c r="BO287" s="29"/>
      <c r="BP287" s="29"/>
      <c r="BQ287" s="29"/>
      <c r="BR287" s="29"/>
      <c r="BS287" s="29"/>
      <c r="BT287" s="29"/>
      <c r="BU287" s="29"/>
      <c r="BV287" s="29"/>
      <c r="BW287" s="29"/>
      <c r="BX287" s="29"/>
      <c r="BY287" s="29"/>
      <c r="BZ287" s="29"/>
      <c r="CA287" s="29"/>
      <c r="CJ287" s="6"/>
      <c r="CK287" s="6"/>
      <c r="CL287" s="6"/>
    </row>
    <row r="288" spans="2:90" ht="13.5" customHeight="1"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142"/>
      <c r="BH288" s="29"/>
      <c r="BI288" s="29"/>
      <c r="BJ288" s="29"/>
      <c r="BK288" s="29"/>
      <c r="BL288" s="29"/>
      <c r="BM288" s="29"/>
      <c r="BN288" s="29"/>
      <c r="BO288" s="29"/>
      <c r="BP288" s="29"/>
      <c r="BQ288" s="29"/>
      <c r="BR288" s="29"/>
      <c r="BS288" s="29"/>
      <c r="BT288" s="29"/>
      <c r="BU288" s="29"/>
      <c r="BV288" s="29"/>
      <c r="BW288" s="29"/>
      <c r="BX288" s="29"/>
      <c r="BY288" s="29"/>
      <c r="BZ288" s="29"/>
      <c r="CA288" s="29"/>
      <c r="CJ288" s="6"/>
      <c r="CK288" s="6"/>
      <c r="CL288" s="6"/>
    </row>
    <row r="289" spans="1:90" ht="13.5" customHeight="1">
      <c r="B289" s="5" t="s">
        <v>469</v>
      </c>
      <c r="C289" s="149">
        <v>9911681.1999999993</v>
      </c>
      <c r="D289" s="149">
        <v>10994044.4</v>
      </c>
      <c r="E289" s="149">
        <v>12901447.800000001</v>
      </c>
      <c r="F289" s="149">
        <v>14933739.300000001</v>
      </c>
      <c r="G289" s="149">
        <v>14933739.300000001</v>
      </c>
      <c r="H289" s="172">
        <v>12769015.58</v>
      </c>
      <c r="I289" s="172">
        <v>12769015.58</v>
      </c>
      <c r="J289" s="172">
        <v>8131165.4000000004</v>
      </c>
      <c r="K289" s="172">
        <v>6598261.4000000004</v>
      </c>
      <c r="L289" s="172">
        <v>6309744</v>
      </c>
      <c r="M289" s="172">
        <v>4642184</v>
      </c>
      <c r="N289" s="172">
        <v>5519458.2000000002</v>
      </c>
      <c r="O289" s="172">
        <v>9559199.8100000005</v>
      </c>
      <c r="P289" s="172">
        <v>14405785.859999999</v>
      </c>
      <c r="Q289" s="172"/>
      <c r="R289" s="172">
        <f>4397.4*2430</f>
        <v>10685682</v>
      </c>
      <c r="S289" s="203">
        <f>BN289</f>
        <v>12289423.300000001</v>
      </c>
      <c r="T289" s="172">
        <f>4821.8*2430</f>
        <v>11716974</v>
      </c>
      <c r="U289" s="203">
        <f>E289</f>
        <v>12901447.800000001</v>
      </c>
      <c r="V289" s="172">
        <f>5549.9*2430</f>
        <v>13486257</v>
      </c>
      <c r="W289" s="203">
        <f>BO289</f>
        <v>13253463</v>
      </c>
      <c r="X289" s="172">
        <v>15195687.699999999</v>
      </c>
      <c r="Y289" s="6">
        <f>F289</f>
        <v>14933739.300000001</v>
      </c>
      <c r="Z289" s="172">
        <v>14176620.6</v>
      </c>
      <c r="AA289" s="203">
        <v>15097154.1</v>
      </c>
      <c r="AB289" s="172">
        <v>12789371</v>
      </c>
      <c r="AC289" s="6">
        <f>H289</f>
        <v>12769015.58</v>
      </c>
      <c r="AD289" s="172">
        <v>12694753.800000001</v>
      </c>
      <c r="AE289" s="181">
        <f>BQ289</f>
        <v>11101386.6</v>
      </c>
      <c r="AF289" s="172">
        <v>10223541.9</v>
      </c>
      <c r="AG289" s="6">
        <f>J289</f>
        <v>8131165.4000000004</v>
      </c>
      <c r="AH289" s="172">
        <v>8130000</v>
      </c>
      <c r="AI289" s="181">
        <f>BR289</f>
        <v>6522996.0354000004</v>
      </c>
      <c r="AJ289" s="172">
        <v>6395045</v>
      </c>
      <c r="AK289" s="6">
        <f>K289</f>
        <v>6598261.4000000004</v>
      </c>
      <c r="AL289" s="172">
        <v>8208939.5999999996</v>
      </c>
      <c r="AM289" s="181">
        <f>BS289</f>
        <v>9725636.5600000005</v>
      </c>
      <c r="AN289" s="172">
        <v>7099000</v>
      </c>
      <c r="AO289" s="6">
        <f>L289</f>
        <v>6309744</v>
      </c>
      <c r="AP289" s="172">
        <v>6309493.3574721003</v>
      </c>
      <c r="AQ289" s="181">
        <f>BT289</f>
        <v>5394015.9500000002</v>
      </c>
      <c r="AR289" s="172">
        <v>4650000</v>
      </c>
      <c r="AS289" s="6">
        <f>M289</f>
        <v>4642184</v>
      </c>
      <c r="AT289" s="172">
        <v>4586177.8</v>
      </c>
      <c r="AU289" s="181">
        <f>BU289</f>
        <v>4829525.9000000004</v>
      </c>
      <c r="AV289" s="172">
        <v>4569799</v>
      </c>
      <c r="AW289" s="6">
        <f>N289</f>
        <v>5519458.2000000002</v>
      </c>
      <c r="AX289" s="172">
        <v>6455757.2000000002</v>
      </c>
      <c r="AY289" s="181">
        <f>BV289</f>
        <v>8066430</v>
      </c>
      <c r="AZ289" s="172">
        <v>8525100</v>
      </c>
      <c r="BA289" s="6">
        <f>O289</f>
        <v>9559199.8100000005</v>
      </c>
      <c r="BB289" s="172">
        <v>9985200</v>
      </c>
      <c r="BC289" s="6">
        <f>BW289</f>
        <v>12418780</v>
      </c>
      <c r="BD289" s="172">
        <f>16209.6*1000</f>
        <v>16209600</v>
      </c>
      <c r="BE289" s="6">
        <f>P289</f>
        <v>14405785.859999999</v>
      </c>
      <c r="BF289" s="172">
        <v>15288900</v>
      </c>
      <c r="BG289" s="142"/>
      <c r="BH289" s="172"/>
      <c r="BI289" s="172"/>
      <c r="BJ289" s="172"/>
      <c r="BK289" s="6"/>
      <c r="BL289" s="172">
        <v>12694753.800000001</v>
      </c>
      <c r="BM289" s="172"/>
      <c r="BN289" s="172">
        <v>12289423.300000001</v>
      </c>
      <c r="BO289" s="149">
        <f>5454.1*2430</f>
        <v>13253463</v>
      </c>
      <c r="BP289" s="149">
        <f>+AA289</f>
        <v>15097154.1</v>
      </c>
      <c r="BQ289" s="149">
        <v>11101386.6</v>
      </c>
      <c r="BR289" s="149">
        <v>6522996.0354000004</v>
      </c>
      <c r="BS289" s="149">
        <v>9725636.5600000005</v>
      </c>
      <c r="BT289" s="149">
        <v>5394015.9500000002</v>
      </c>
      <c r="BU289" s="149">
        <v>4829525.9000000004</v>
      </c>
      <c r="BV289" s="149">
        <v>8066430</v>
      </c>
      <c r="BW289" s="149">
        <v>12418780</v>
      </c>
      <c r="BX289" s="172"/>
      <c r="BY289" s="203"/>
      <c r="BZ289" s="203"/>
      <c r="CA289" s="172"/>
      <c r="CJ289" s="6"/>
      <c r="CK289" s="6"/>
      <c r="CL289" s="6"/>
    </row>
    <row r="290" spans="1:90" ht="13.5" customHeight="1" outlineLevel="1">
      <c r="B290" s="1" t="s">
        <v>470</v>
      </c>
      <c r="C290" s="180">
        <v>4138265</v>
      </c>
      <c r="D290" s="180">
        <v>4812239.7249999996</v>
      </c>
      <c r="E290" s="180">
        <v>5048357.12</v>
      </c>
      <c r="F290" s="180">
        <v>5293457.5039999997</v>
      </c>
      <c r="G290" s="180">
        <v>5293457.5039999997</v>
      </c>
      <c r="H290" s="180">
        <v>5987357.2230000002</v>
      </c>
      <c r="I290" s="180">
        <v>5987357.2230000002</v>
      </c>
      <c r="J290" s="180">
        <v>6232612.0760000004</v>
      </c>
      <c r="K290" s="180">
        <v>5985255.6909999996</v>
      </c>
      <c r="L290" s="180">
        <v>6645064.7300000004</v>
      </c>
      <c r="M290" s="180">
        <v>6501101.6569999997</v>
      </c>
      <c r="N290" s="180">
        <f>7456511.244</f>
        <v>7456511.2439999999</v>
      </c>
      <c r="O290" s="180">
        <v>8441553.7750000004</v>
      </c>
      <c r="P290" s="180">
        <v>10169859.527000001</v>
      </c>
      <c r="Q290" s="180"/>
      <c r="R290" s="180">
        <v>4512132.93</v>
      </c>
      <c r="S290" s="181">
        <f>BN290</f>
        <v>4612221.3849999998</v>
      </c>
      <c r="T290" s="181">
        <v>4778012.2130000005</v>
      </c>
      <c r="U290" s="181">
        <f>E290</f>
        <v>5048357.12</v>
      </c>
      <c r="V290" s="180">
        <v>5228856.3210000005</v>
      </c>
      <c r="W290" s="181">
        <f>BO290</f>
        <v>5296901</v>
      </c>
      <c r="X290" s="180">
        <v>5336735.1710000001</v>
      </c>
      <c r="Y290" s="6">
        <f>F290</f>
        <v>5293457.5039999997</v>
      </c>
      <c r="Z290" s="180">
        <v>5352545.608</v>
      </c>
      <c r="AA290" s="181">
        <f>BP290</f>
        <v>5472158.6739999996</v>
      </c>
      <c r="AB290" s="180">
        <v>5502158.8439999996</v>
      </c>
      <c r="AC290" s="6">
        <f>H290</f>
        <v>5987357.2230000002</v>
      </c>
      <c r="AD290" s="180">
        <v>5899763.8590000002</v>
      </c>
      <c r="AE290" s="181">
        <f>BQ290</f>
        <v>5975580.0180000002</v>
      </c>
      <c r="AF290" s="180">
        <v>6809845.8339999998</v>
      </c>
      <c r="AG290" s="6">
        <f>J290</f>
        <v>6232612.0760000004</v>
      </c>
      <c r="AH290" s="180">
        <v>6390981.375</v>
      </c>
      <c r="AI290" s="181">
        <f>BR290</f>
        <v>6141290.8949999996</v>
      </c>
      <c r="AJ290" s="180">
        <v>6016799.5199999996</v>
      </c>
      <c r="AK290" s="6">
        <f>K290</f>
        <v>5985255.6909999996</v>
      </c>
      <c r="AL290" s="180">
        <v>6063286.4440000001</v>
      </c>
      <c r="AM290" s="181">
        <f>BS290</f>
        <v>6194141.1880000001</v>
      </c>
      <c r="AN290" s="180">
        <v>6482817.2199999997</v>
      </c>
      <c r="AO290" s="6">
        <f>L290</f>
        <v>6645064.7300000004</v>
      </c>
      <c r="AP290" s="180">
        <v>6721013.5959999999</v>
      </c>
      <c r="AQ290" s="181">
        <f>BT290</f>
        <v>7037133.7580000004</v>
      </c>
      <c r="AR290" s="180">
        <v>6855913.7980000004</v>
      </c>
      <c r="AS290" s="6">
        <f>M290</f>
        <v>6501101.6569999997</v>
      </c>
      <c r="AT290" s="180">
        <v>6208605.1540000001</v>
      </c>
      <c r="AU290" s="181">
        <f>BU290</f>
        <v>7061869.9069999997</v>
      </c>
      <c r="AV290" s="180">
        <v>6645064.7300000004</v>
      </c>
      <c r="AW290" s="6">
        <f>N290</f>
        <v>7456511.2439999999</v>
      </c>
      <c r="AX290" s="180">
        <v>7917596.1330000004</v>
      </c>
      <c r="AY290" s="181">
        <f>BV290</f>
        <v>7957159.0130000003</v>
      </c>
      <c r="AZ290" s="180">
        <v>8052910.4790000003</v>
      </c>
      <c r="BA290" s="6">
        <f>O290</f>
        <v>8441553.7750000004</v>
      </c>
      <c r="BB290" s="180">
        <v>8625725.9639999997</v>
      </c>
      <c r="BC290" s="6">
        <f>BW290</f>
        <v>9169210.8780000005</v>
      </c>
      <c r="BD290" s="180">
        <v>9481373.5899999999</v>
      </c>
      <c r="BE290" s="6">
        <f>P290</f>
        <v>10169859.527000001</v>
      </c>
      <c r="BF290" s="180">
        <v>10243726.515000001</v>
      </c>
      <c r="BG290" s="142"/>
      <c r="BH290" s="180"/>
      <c r="BI290" s="180"/>
      <c r="BJ290" s="180"/>
      <c r="BK290" s="6"/>
      <c r="BL290" s="180">
        <v>5899763.8590000002</v>
      </c>
      <c r="BM290" s="180"/>
      <c r="BN290" s="172">
        <v>4612221.3849999998</v>
      </c>
      <c r="BO290" s="180">
        <v>5296901</v>
      </c>
      <c r="BP290" s="180">
        <v>5472158.6739999996</v>
      </c>
      <c r="BQ290" s="180">
        <v>5975580.0180000002</v>
      </c>
      <c r="BR290" s="180">
        <v>6141290.8949999996</v>
      </c>
      <c r="BS290" s="180">
        <v>6194141.1880000001</v>
      </c>
      <c r="BT290" s="180">
        <v>7037133.7580000004</v>
      </c>
      <c r="BU290" s="180">
        <v>7061869.9069999997</v>
      </c>
      <c r="BV290" s="180">
        <v>7957159.0130000003</v>
      </c>
      <c r="BW290" s="180">
        <v>9169210.8780000005</v>
      </c>
      <c r="BX290" s="180"/>
      <c r="BY290" s="180"/>
      <c r="BZ290" s="180"/>
      <c r="CA290" s="180"/>
      <c r="CJ290" s="6"/>
      <c r="CK290" s="6"/>
      <c r="CL290" s="6"/>
    </row>
    <row r="291" spans="1:90" s="5" customFormat="1" ht="13.5" customHeight="1" outlineLevel="1">
      <c r="B291" s="5" t="s">
        <v>471</v>
      </c>
      <c r="C291" s="148">
        <f>C283+C290</f>
        <v>7398241.4123999998</v>
      </c>
      <c r="D291" s="146">
        <f>D283+D290</f>
        <v>8546890.1009999998</v>
      </c>
      <c r="E291" s="146">
        <f>E283+E290</f>
        <v>9084847.3790000007</v>
      </c>
      <c r="F291" s="146">
        <f t="shared" ref="F291:K291" si="976">F283+F290</f>
        <v>9369301.4729999993</v>
      </c>
      <c r="G291" s="146">
        <f t="shared" si="976"/>
        <v>9369301.4729999993</v>
      </c>
      <c r="H291" s="146">
        <f t="shared" si="976"/>
        <v>10070588.444</v>
      </c>
      <c r="I291" s="146">
        <f t="shared" si="976"/>
        <v>10070588.444</v>
      </c>
      <c r="J291" s="146">
        <f t="shared" si="976"/>
        <v>10300893.758000001</v>
      </c>
      <c r="K291" s="146">
        <f t="shared" si="976"/>
        <v>10292354.439999999</v>
      </c>
      <c r="L291" s="146">
        <f>L283+L290</f>
        <v>11290673.963</v>
      </c>
      <c r="M291" s="146">
        <f>M283+M290</f>
        <v>11979261.464</v>
      </c>
      <c r="N291" s="146">
        <f>N283+N290</f>
        <v>12739225.999</v>
      </c>
      <c r="O291" s="146">
        <f>O283+O290</f>
        <v>13384745.824999999</v>
      </c>
      <c r="P291" s="146">
        <f>P283+P290</f>
        <v>14110150.393000001</v>
      </c>
      <c r="Q291" s="146"/>
      <c r="R291" s="146">
        <f>R283+R290</f>
        <v>8117396.504999999</v>
      </c>
      <c r="S291" s="146">
        <f>S283+S290</f>
        <v>8366459.9189999998</v>
      </c>
      <c r="T291" s="146">
        <f>T283+T290</f>
        <v>8602004.4309999999</v>
      </c>
      <c r="U291" s="146">
        <f>U283+U290</f>
        <v>9084847.3790000007</v>
      </c>
      <c r="V291" s="146">
        <f>V283+V290</f>
        <v>9212623.3859999999</v>
      </c>
      <c r="W291" s="146">
        <f t="shared" ref="W291:AB291" si="977">W283+W290</f>
        <v>9331667.8509999998</v>
      </c>
      <c r="X291" s="146">
        <f t="shared" si="977"/>
        <v>9401119.550999999</v>
      </c>
      <c r="Y291" s="146">
        <f t="shared" si="977"/>
        <v>9369301.4729999993</v>
      </c>
      <c r="Z291" s="146">
        <f t="shared" si="977"/>
        <v>9423723.091</v>
      </c>
      <c r="AA291" s="146">
        <f t="shared" si="977"/>
        <v>9794262.3429999985</v>
      </c>
      <c r="AB291" s="146">
        <f t="shared" si="977"/>
        <v>9963579.2529999986</v>
      </c>
      <c r="AC291" s="146">
        <f t="shared" ref="AC291:AH291" si="978">AC283+AC290</f>
        <v>10070588.444</v>
      </c>
      <c r="AD291" s="146">
        <f t="shared" si="978"/>
        <v>9859272.5529999994</v>
      </c>
      <c r="AE291" s="146">
        <f t="shared" si="978"/>
        <v>9967486.1750000007</v>
      </c>
      <c r="AF291" s="146">
        <f t="shared" si="978"/>
        <v>10993716.105999999</v>
      </c>
      <c r="AG291" s="146">
        <f t="shared" si="978"/>
        <v>10336418.324999999</v>
      </c>
      <c r="AH291" s="146">
        <f t="shared" si="978"/>
        <v>11555748.699000001</v>
      </c>
      <c r="AI291" s="146">
        <f t="shared" ref="AI291:AN291" si="979">AI283+AI290</f>
        <v>11536893.954</v>
      </c>
      <c r="AJ291" s="146">
        <f t="shared" si="979"/>
        <v>10977483.032</v>
      </c>
      <c r="AK291" s="146">
        <f t="shared" si="979"/>
        <v>10319591.495999999</v>
      </c>
      <c r="AL291" s="146">
        <f t="shared" si="979"/>
        <v>10386864.341</v>
      </c>
      <c r="AM291" s="146">
        <f t="shared" si="979"/>
        <v>10443018.295000002</v>
      </c>
      <c r="AN291" s="146">
        <f t="shared" si="979"/>
        <v>10961737.800999999</v>
      </c>
      <c r="AO291" s="146">
        <f t="shared" ref="AO291:AT291" si="980">AO283+AO290</f>
        <v>11288693.071</v>
      </c>
      <c r="AP291" s="146">
        <f t="shared" si="980"/>
        <v>11465459.162</v>
      </c>
      <c r="AQ291" s="146">
        <f t="shared" si="980"/>
        <v>12623607.969000001</v>
      </c>
      <c r="AR291" s="146">
        <f t="shared" si="980"/>
        <v>12794032.025</v>
      </c>
      <c r="AS291" s="146">
        <f t="shared" si="980"/>
        <v>12004144.447999999</v>
      </c>
      <c r="AT291" s="146">
        <f t="shared" si="980"/>
        <v>11352629.681</v>
      </c>
      <c r="AU291" s="146">
        <f t="shared" ref="AU291:AZ291" si="981">AU283+AU290</f>
        <v>12039352.213</v>
      </c>
      <c r="AV291" s="146">
        <f t="shared" si="981"/>
        <v>11800856.91</v>
      </c>
      <c r="AW291" s="146">
        <f t="shared" si="981"/>
        <v>12765797.464</v>
      </c>
      <c r="AX291" s="146">
        <f t="shared" si="981"/>
        <v>13464716.403999999</v>
      </c>
      <c r="AY291" s="146">
        <f t="shared" si="981"/>
        <v>13183545.947000001</v>
      </c>
      <c r="AZ291" s="146">
        <f t="shared" si="981"/>
        <v>13127025.263</v>
      </c>
      <c r="BA291" s="146">
        <f t="shared" ref="BA291:BF291" si="982">BA283+BA290</f>
        <v>13406277.344000001</v>
      </c>
      <c r="BB291" s="146">
        <f t="shared" si="982"/>
        <v>13041512.717</v>
      </c>
      <c r="BC291" s="146">
        <f t="shared" si="982"/>
        <v>13533770.438999999</v>
      </c>
      <c r="BD291" s="146">
        <f t="shared" si="982"/>
        <v>13750472.968</v>
      </c>
      <c r="BE291" s="146">
        <f t="shared" si="982"/>
        <v>14133738.4</v>
      </c>
      <c r="BF291" s="146">
        <f t="shared" si="982"/>
        <v>14383090.882000001</v>
      </c>
      <c r="BG291" s="142"/>
      <c r="BH291" s="146"/>
      <c r="BI291" s="146"/>
      <c r="BJ291" s="146"/>
      <c r="BK291" s="146"/>
      <c r="BL291" s="146">
        <f>BL283+BL290</f>
        <v>9859272.5529999994</v>
      </c>
      <c r="BM291" s="146"/>
      <c r="BN291" s="146">
        <f t="shared" ref="BN291:BS291" si="983">BN283+BN290</f>
        <v>8366459.9189999998</v>
      </c>
      <c r="BO291" s="146">
        <f t="shared" si="983"/>
        <v>9331667.8509999998</v>
      </c>
      <c r="BP291" s="146">
        <f t="shared" si="983"/>
        <v>9794262.3429999985</v>
      </c>
      <c r="BQ291" s="146">
        <f t="shared" si="983"/>
        <v>9967486.1750000007</v>
      </c>
      <c r="BR291" s="146">
        <f t="shared" si="983"/>
        <v>11536893.954</v>
      </c>
      <c r="BS291" s="146">
        <f t="shared" si="983"/>
        <v>10443018.295000002</v>
      </c>
      <c r="BT291" s="146">
        <f>BT283+BT290</f>
        <v>12623607.969000001</v>
      </c>
      <c r="BU291" s="146">
        <f>BU283+BU290</f>
        <v>12039352.213</v>
      </c>
      <c r="BV291" s="146">
        <f>BV283+BV290</f>
        <v>13183545.947000001</v>
      </c>
      <c r="BW291" s="146">
        <f>BW283+BW290</f>
        <v>13533770.438999999</v>
      </c>
      <c r="BX291" s="146"/>
      <c r="BY291" s="146"/>
      <c r="BZ291" s="146"/>
      <c r="CA291" s="146"/>
      <c r="CJ291" s="6"/>
      <c r="CK291" s="6"/>
      <c r="CL291" s="6"/>
    </row>
    <row r="292" spans="1:90" s="5" customFormat="1" ht="13.5" customHeight="1" outlineLevel="1">
      <c r="B292" s="5" t="s">
        <v>472</v>
      </c>
      <c r="C292" s="182">
        <f t="shared" ref="C292:H292" si="984">C289+C254</f>
        <v>12652774.916999999</v>
      </c>
      <c r="D292" s="148">
        <f t="shared" si="984"/>
        <v>14137454.287</v>
      </c>
      <c r="E292" s="148">
        <f t="shared" si="984"/>
        <v>16355907.298</v>
      </c>
      <c r="F292" s="148">
        <f t="shared" si="984"/>
        <v>18453908.27</v>
      </c>
      <c r="G292" s="148">
        <f t="shared" si="984"/>
        <v>18453908.27</v>
      </c>
      <c r="H292" s="148">
        <f t="shared" si="984"/>
        <v>16153314.196</v>
      </c>
      <c r="I292" s="148">
        <f t="shared" ref="I292:N292" si="985">I289+I254</f>
        <v>15756072.07</v>
      </c>
      <c r="J292" s="148">
        <f t="shared" si="985"/>
        <v>11088431.780000001</v>
      </c>
      <c r="K292" s="148">
        <f t="shared" si="985"/>
        <v>9142600.0250000004</v>
      </c>
      <c r="L292" s="148">
        <f t="shared" si="985"/>
        <v>9428486.4670000002</v>
      </c>
      <c r="M292" s="148">
        <f>M289+M254</f>
        <v>8664421.7650000006</v>
      </c>
      <c r="N292" s="148">
        <f t="shared" si="985"/>
        <v>9059978.159</v>
      </c>
      <c r="O292" s="148">
        <f>O289+O254</f>
        <v>12529354.405999999</v>
      </c>
      <c r="P292" s="148">
        <f>P289+P254</f>
        <v>16245891.671</v>
      </c>
      <c r="Q292" s="146"/>
      <c r="R292" s="148">
        <f t="shared" ref="R292:W292" si="986">R289+R254</f>
        <v>13720363.747</v>
      </c>
      <c r="S292" s="146">
        <f t="shared" si="986"/>
        <v>15492527.471000001</v>
      </c>
      <c r="T292" s="146">
        <f t="shared" si="986"/>
        <v>15036079.486</v>
      </c>
      <c r="U292" s="146">
        <f t="shared" si="986"/>
        <v>16355907.298</v>
      </c>
      <c r="V292" s="146">
        <f t="shared" si="986"/>
        <v>16946369.229000002</v>
      </c>
      <c r="W292" s="146">
        <f t="shared" si="986"/>
        <v>16792805.840999998</v>
      </c>
      <c r="X292" s="146">
        <f t="shared" ref="X292:AC292" si="987">X289+X254</f>
        <v>18757678.627999999</v>
      </c>
      <c r="Y292" s="146">
        <f t="shared" si="987"/>
        <v>18453908.27</v>
      </c>
      <c r="Z292" s="146">
        <f t="shared" si="987"/>
        <v>17679283.776999999</v>
      </c>
      <c r="AA292" s="146">
        <f t="shared" si="987"/>
        <v>18844316.881000001</v>
      </c>
      <c r="AB292" s="146">
        <f t="shared" si="987"/>
        <v>16720827.069</v>
      </c>
      <c r="AC292" s="148">
        <f t="shared" si="987"/>
        <v>16153314.196</v>
      </c>
      <c r="AD292" s="146">
        <f t="shared" ref="AD292:AI292" si="988">AD289+AD254</f>
        <v>15634341.299000001</v>
      </c>
      <c r="AE292" s="146">
        <f t="shared" si="988"/>
        <v>14186615.279999999</v>
      </c>
      <c r="AF292" s="146">
        <f t="shared" si="988"/>
        <v>13434399.032000002</v>
      </c>
      <c r="AG292" s="148">
        <f t="shared" si="988"/>
        <v>11088431.780000001</v>
      </c>
      <c r="AH292" s="146">
        <f t="shared" si="988"/>
        <v>11595662.108999999</v>
      </c>
      <c r="AI292" s="146">
        <f t="shared" si="988"/>
        <v>9798677.5754000004</v>
      </c>
      <c r="AJ292" s="146">
        <f t="shared" ref="AJ292:AO292" si="989">AJ289+AJ254</f>
        <v>9575328.1009999998</v>
      </c>
      <c r="AK292" s="148">
        <f t="shared" si="989"/>
        <v>9142600.0250000004</v>
      </c>
      <c r="AL292" s="146">
        <f t="shared" si="989"/>
        <v>10913581.567</v>
      </c>
      <c r="AM292" s="146">
        <f t="shared" si="989"/>
        <v>12325248.751000002</v>
      </c>
      <c r="AN292" s="146">
        <f t="shared" si="989"/>
        <v>10098575.563000001</v>
      </c>
      <c r="AO292" s="148">
        <f t="shared" si="989"/>
        <v>9428486.4670000002</v>
      </c>
      <c r="AP292" s="146">
        <f t="shared" ref="AP292:AU292" si="990">AP289+AP254</f>
        <v>9715406.5714721009</v>
      </c>
      <c r="AQ292" s="146">
        <f t="shared" si="990"/>
        <v>9372008.6550000012</v>
      </c>
      <c r="AR292" s="146">
        <f t="shared" si="990"/>
        <v>9025053.9149999991</v>
      </c>
      <c r="AS292" s="148">
        <f t="shared" si="990"/>
        <v>8664421.7650000006</v>
      </c>
      <c r="AT292" s="146">
        <f t="shared" si="990"/>
        <v>8517559.9859999996</v>
      </c>
      <c r="AU292" s="146">
        <f t="shared" si="990"/>
        <v>8881305.3650000002</v>
      </c>
      <c r="AV292" s="146">
        <f t="shared" ref="AV292:BA292" si="991">AV289+AV254</f>
        <v>8518584.8499999996</v>
      </c>
      <c r="AW292" s="148">
        <f t="shared" si="991"/>
        <v>9059978.159</v>
      </c>
      <c r="AX292" s="146">
        <f t="shared" si="991"/>
        <v>10375275.872</v>
      </c>
      <c r="AY292" s="146">
        <f t="shared" si="991"/>
        <v>11845714.819</v>
      </c>
      <c r="AZ292" s="146">
        <f t="shared" si="991"/>
        <v>11877610.831</v>
      </c>
      <c r="BA292" s="148">
        <f t="shared" si="991"/>
        <v>12529354.405999999</v>
      </c>
      <c r="BB292" s="146">
        <f>BB289+BB254</f>
        <v>12902609.608999999</v>
      </c>
      <c r="BC292" s="146">
        <f>BC289+BC254</f>
        <v>14857995.866</v>
      </c>
      <c r="BD292" s="146">
        <f>BD289+BD254</f>
        <v>18653045.447000001</v>
      </c>
      <c r="BE292" s="148">
        <f>BE289+BE254</f>
        <v>16245891.671</v>
      </c>
      <c r="BF292" s="146">
        <f>BF289+BF254</f>
        <v>17033661.015000001</v>
      </c>
      <c r="BG292" s="142"/>
      <c r="BH292" s="146"/>
      <c r="BI292" s="146"/>
      <c r="BJ292" s="146"/>
      <c r="BK292" s="148"/>
      <c r="BL292" s="146">
        <f>BL289+BL254</f>
        <v>15628009.363</v>
      </c>
      <c r="BM292" s="146"/>
      <c r="BN292" s="146">
        <f t="shared" ref="BN292:BS292" si="992">BN289+BN254</f>
        <v>15492527.471000001</v>
      </c>
      <c r="BO292" s="146">
        <f t="shared" si="992"/>
        <v>16792805.840999998</v>
      </c>
      <c r="BP292" s="146">
        <f t="shared" si="992"/>
        <v>18844316.881000001</v>
      </c>
      <c r="BQ292" s="146">
        <f t="shared" si="992"/>
        <v>14186615.279999999</v>
      </c>
      <c r="BR292" s="146">
        <f t="shared" si="992"/>
        <v>9798677.5754000004</v>
      </c>
      <c r="BS292" s="146">
        <f t="shared" si="992"/>
        <v>12325248.751000002</v>
      </c>
      <c r="BT292" s="146">
        <f>BT289+BT254</f>
        <v>9372008.6550000012</v>
      </c>
      <c r="BU292" s="146">
        <f>BU289+BU254</f>
        <v>8881305.3650000002</v>
      </c>
      <c r="BV292" s="146">
        <f>BV289+BV254</f>
        <v>11845714.819</v>
      </c>
      <c r="BW292" s="146">
        <f>BW289+BW254</f>
        <v>14857995.866</v>
      </c>
      <c r="BX292" s="146"/>
      <c r="BY292" s="146"/>
      <c r="BZ292" s="146"/>
      <c r="CA292" s="146"/>
      <c r="CJ292" s="6"/>
      <c r="CK292" s="6"/>
      <c r="CL292" s="6"/>
    </row>
    <row r="293" spans="1:90" s="5" customFormat="1" ht="13.5" customHeight="1" outlineLevel="1">
      <c r="C293" s="182"/>
      <c r="D293" s="148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6"/>
      <c r="R293" s="148"/>
      <c r="S293" s="146"/>
      <c r="T293" s="146"/>
      <c r="U293" s="146"/>
      <c r="V293" s="146"/>
      <c r="W293" s="146"/>
      <c r="X293" s="146"/>
      <c r="Y293" s="146"/>
      <c r="Z293" s="146"/>
      <c r="AA293" s="146"/>
      <c r="AB293" s="146"/>
      <c r="AC293" s="146"/>
      <c r="AD293" s="146"/>
      <c r="AE293" s="146"/>
      <c r="AF293" s="146"/>
      <c r="AG293" s="146"/>
      <c r="AH293" s="146"/>
      <c r="AI293" s="146"/>
      <c r="AJ293" s="146"/>
      <c r="AK293" s="146"/>
      <c r="AL293" s="146"/>
      <c r="AM293" s="146"/>
      <c r="AN293" s="146"/>
      <c r="AO293" s="146"/>
      <c r="AP293" s="146"/>
      <c r="AQ293" s="146"/>
      <c r="AR293" s="146"/>
      <c r="AS293" s="146"/>
      <c r="AT293" s="146"/>
      <c r="AU293" s="146"/>
      <c r="AV293" s="146"/>
      <c r="AW293" s="146"/>
      <c r="AX293" s="146"/>
      <c r="AY293" s="146"/>
      <c r="AZ293" s="146"/>
      <c r="BA293" s="146"/>
      <c r="BB293" s="146"/>
      <c r="BC293" s="146"/>
      <c r="BD293" s="146"/>
      <c r="BE293" s="146"/>
      <c r="BF293" s="146"/>
      <c r="BG293" s="142"/>
      <c r="BH293" s="146"/>
      <c r="BI293" s="146"/>
      <c r="BJ293" s="146"/>
      <c r="BK293" s="146"/>
      <c r="BL293" s="146"/>
      <c r="BM293" s="146"/>
      <c r="BN293" s="146"/>
      <c r="BO293" s="146"/>
      <c r="BP293" s="146"/>
      <c r="BQ293" s="146"/>
      <c r="BR293" s="146"/>
      <c r="BS293" s="146"/>
      <c r="BT293" s="146"/>
      <c r="BU293" s="146"/>
      <c r="BV293" s="146"/>
      <c r="BW293" s="146"/>
      <c r="BX293" s="146"/>
      <c r="BY293" s="146"/>
      <c r="BZ293" s="146"/>
      <c r="CA293" s="146"/>
      <c r="CJ293" s="6"/>
      <c r="CK293" s="6"/>
      <c r="CL293" s="6"/>
    </row>
    <row r="294" spans="1:90" s="5" customFormat="1" ht="13.5" customHeight="1" outlineLevel="1">
      <c r="B294" s="5" t="s">
        <v>473</v>
      </c>
      <c r="C294" s="182"/>
      <c r="D294" s="148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6"/>
      <c r="R294" s="148"/>
      <c r="S294" s="146"/>
      <c r="T294" s="146"/>
      <c r="U294" s="146"/>
      <c r="V294" s="146"/>
      <c r="W294" s="146"/>
      <c r="X294" s="146"/>
      <c r="Y294" s="146"/>
      <c r="Z294" s="146"/>
      <c r="AA294" s="146"/>
      <c r="AB294" s="146"/>
      <c r="AC294" s="146"/>
      <c r="AD294" s="146"/>
      <c r="AE294" s="146"/>
      <c r="AF294" s="146"/>
      <c r="AG294" s="146"/>
      <c r="AH294" s="146"/>
      <c r="AI294" s="146"/>
      <c r="AJ294" s="146"/>
      <c r="AK294" s="146"/>
      <c r="AL294" s="146"/>
      <c r="AM294" s="146"/>
      <c r="AN294" s="146"/>
      <c r="AO294" s="146"/>
      <c r="AP294" s="146"/>
      <c r="AQ294" s="146"/>
      <c r="AR294" s="146"/>
      <c r="AS294" s="146"/>
      <c r="AT294" s="146"/>
      <c r="AU294" s="146"/>
      <c r="AV294" s="146"/>
      <c r="AW294" s="146"/>
      <c r="AX294" s="146"/>
      <c r="AY294" s="146"/>
      <c r="AZ294" s="146"/>
      <c r="BA294" s="146"/>
      <c r="BB294" s="146"/>
      <c r="BC294" s="146"/>
      <c r="BD294" s="146"/>
      <c r="BE294" s="146"/>
      <c r="BF294" s="146"/>
      <c r="BG294" s="142"/>
      <c r="BH294" s="146"/>
      <c r="BI294" s="146"/>
      <c r="BJ294" s="146"/>
      <c r="BK294" s="146"/>
      <c r="BL294" s="146"/>
      <c r="BM294" s="146"/>
      <c r="BN294" s="146"/>
      <c r="BO294" s="146"/>
      <c r="BP294" s="146"/>
      <c r="BQ294" s="146"/>
      <c r="BR294" s="146"/>
      <c r="BS294" s="146"/>
      <c r="BT294" s="146"/>
      <c r="BU294" s="146"/>
      <c r="BV294" s="146"/>
      <c r="BW294" s="146"/>
      <c r="BX294" s="146"/>
      <c r="BY294" s="146"/>
      <c r="BZ294" s="146"/>
      <c r="CA294" s="146"/>
      <c r="CJ294" s="6"/>
      <c r="CK294" s="6"/>
      <c r="CL294" s="6"/>
    </row>
    <row r="295" spans="1:90" s="5" customFormat="1" ht="13.5" customHeight="1" outlineLevel="1">
      <c r="B295" s="5" t="str">
        <f>+B259</f>
        <v xml:space="preserve">Net debt including Finance leases </v>
      </c>
      <c r="C295" s="182">
        <f>+C282</f>
        <v>2701541.3524000002</v>
      </c>
      <c r="D295" s="182">
        <f>+D282</f>
        <v>3154477.4029999999</v>
      </c>
      <c r="E295" s="182">
        <f>+E282</f>
        <v>3531779.247</v>
      </c>
      <c r="F295" s="182">
        <f t="shared" ref="F295:K295" si="993">+F282</f>
        <v>3618016.4079999998</v>
      </c>
      <c r="G295" s="182">
        <f t="shared" si="993"/>
        <v>3618016.4079999998</v>
      </c>
      <c r="H295" s="182">
        <f t="shared" si="993"/>
        <v>3455146.3430000003</v>
      </c>
      <c r="I295" s="182">
        <f t="shared" si="993"/>
        <v>3462522.4750000001</v>
      </c>
      <c r="J295" s="182">
        <f t="shared" si="993"/>
        <v>3463961.1090000002</v>
      </c>
      <c r="K295" s="182">
        <f t="shared" si="993"/>
        <v>2754099.1979999999</v>
      </c>
      <c r="L295" s="182">
        <f>+L282</f>
        <v>3549718.2710000002</v>
      </c>
      <c r="M295" s="182">
        <f>+M282</f>
        <v>4215191.95</v>
      </c>
      <c r="N295" s="182">
        <f>+N282</f>
        <v>3509259.767</v>
      </c>
      <c r="O295" s="182">
        <f>+O282</f>
        <v>2681295.1029999992</v>
      </c>
      <c r="P295" s="182">
        <f>+P282</f>
        <v>1630581.1899999997</v>
      </c>
      <c r="Q295" s="182"/>
      <c r="R295" s="182">
        <f t="shared" ref="R295:X295" si="994">+R282</f>
        <v>3061613.9149999996</v>
      </c>
      <c r="S295" s="182">
        <f t="shared" si="994"/>
        <v>3279881.9050000003</v>
      </c>
      <c r="T295" s="182">
        <f t="shared" si="994"/>
        <v>3380334.6799999997</v>
      </c>
      <c r="U295" s="182">
        <f t="shared" si="994"/>
        <v>3531779.247</v>
      </c>
      <c r="V295" s="146">
        <f t="shared" si="994"/>
        <v>3543777.8690000004</v>
      </c>
      <c r="W295" s="146">
        <f t="shared" si="994"/>
        <v>3646193.22</v>
      </c>
      <c r="X295" s="146">
        <f t="shared" si="994"/>
        <v>3631430.5830000006</v>
      </c>
      <c r="Y295" s="182">
        <f t="shared" ref="Y295:AD295" si="995">+Y282</f>
        <v>3618016.4079999998</v>
      </c>
      <c r="Z295" s="182">
        <f t="shared" si="995"/>
        <v>3649187.5569999996</v>
      </c>
      <c r="AA295" s="182">
        <f t="shared" si="995"/>
        <v>3902019.8309999998</v>
      </c>
      <c r="AB295" s="146">
        <f t="shared" si="995"/>
        <v>3980391.7569999998</v>
      </c>
      <c r="AC295" s="146">
        <f t="shared" si="995"/>
        <v>3455146.3430000003</v>
      </c>
      <c r="AD295" s="182">
        <f t="shared" si="995"/>
        <v>3362173.179</v>
      </c>
      <c r="AE295" s="182">
        <f t="shared" ref="AE295:AJ295" si="996">+AE282</f>
        <v>3503206.0730000003</v>
      </c>
      <c r="AF295" s="182">
        <f t="shared" si="996"/>
        <v>3691402.4780000001</v>
      </c>
      <c r="AG295" s="146">
        <f t="shared" si="996"/>
        <v>3463961.1090000002</v>
      </c>
      <c r="AH295" s="182">
        <f t="shared" si="996"/>
        <v>3413160.7929999996</v>
      </c>
      <c r="AI295" s="182">
        <f t="shared" si="996"/>
        <v>3503700.8289999999</v>
      </c>
      <c r="AJ295" s="182">
        <f t="shared" si="996"/>
        <v>3321050.8569999998</v>
      </c>
      <c r="AK295" s="146">
        <f t="shared" ref="AK295:AP295" si="997">+AK282</f>
        <v>2754099.1979999999</v>
      </c>
      <c r="AL295" s="182">
        <f t="shared" si="997"/>
        <v>2940323.4580000001</v>
      </c>
      <c r="AM295" s="182">
        <f t="shared" si="997"/>
        <v>2448611.7060000007</v>
      </c>
      <c r="AN295" s="182">
        <f t="shared" si="997"/>
        <v>3536992.6780000003</v>
      </c>
      <c r="AO295" s="146">
        <f t="shared" si="997"/>
        <v>3521339.9640000002</v>
      </c>
      <c r="AP295" s="182">
        <f t="shared" si="997"/>
        <v>3623099.9130000002</v>
      </c>
      <c r="AQ295" s="182">
        <f t="shared" ref="AQ295:AV295" si="998">+AQ282</f>
        <v>4446833.2539999997</v>
      </c>
      <c r="AR295" s="182">
        <f t="shared" si="998"/>
        <v>4623672.0590000004</v>
      </c>
      <c r="AS295" s="146">
        <f t="shared" si="998"/>
        <v>4215191.95</v>
      </c>
      <c r="AT295" s="182">
        <f t="shared" si="998"/>
        <v>4160403.9679999999</v>
      </c>
      <c r="AU295" s="182">
        <f t="shared" si="998"/>
        <v>4013771.7219999991</v>
      </c>
      <c r="AV295" s="182">
        <f t="shared" si="998"/>
        <v>3780996.6719999998</v>
      </c>
      <c r="AW295" s="146">
        <f t="shared" ref="AW295:BB295" si="999">+AW282</f>
        <v>3509259.767</v>
      </c>
      <c r="AX295" s="182">
        <f t="shared" si="999"/>
        <v>3817343.0989999999</v>
      </c>
      <c r="AY295" s="182">
        <f t="shared" si="999"/>
        <v>3520968.3319999995</v>
      </c>
      <c r="AZ295" s="182">
        <f t="shared" si="999"/>
        <v>3085483.0310000004</v>
      </c>
      <c r="BA295" s="146">
        <f t="shared" si="999"/>
        <v>2681295.1029999992</v>
      </c>
      <c r="BB295" s="182">
        <f t="shared" si="999"/>
        <v>2733059.4009999991</v>
      </c>
      <c r="BC295" s="182">
        <f>+BC282</f>
        <v>2161332.679</v>
      </c>
      <c r="BD295" s="182">
        <f>+BD282</f>
        <v>2199691.6800000002</v>
      </c>
      <c r="BE295" s="146">
        <f>+BE282</f>
        <v>1630581.1899999997</v>
      </c>
      <c r="BF295" s="182">
        <f>+BF282</f>
        <v>1552714.8220000002</v>
      </c>
      <c r="BG295" s="142"/>
      <c r="BH295" s="182"/>
      <c r="BI295" s="182"/>
      <c r="BJ295" s="182"/>
      <c r="BK295" s="146"/>
      <c r="BL295" s="182">
        <f>+BL282</f>
        <v>3355841.2429999998</v>
      </c>
      <c r="BM295" s="182"/>
      <c r="BN295" s="182">
        <f t="shared" ref="BN295:BS295" si="1000">+BN282</f>
        <v>3279881.9050000003</v>
      </c>
      <c r="BO295" s="182">
        <f t="shared" si="1000"/>
        <v>3646193.22</v>
      </c>
      <c r="BP295" s="182">
        <f t="shared" si="1000"/>
        <v>3902019.8309999998</v>
      </c>
      <c r="BQ295" s="182">
        <f t="shared" si="1000"/>
        <v>3503206.0730000003</v>
      </c>
      <c r="BR295" s="182">
        <f t="shared" si="1000"/>
        <v>3503700.8289999999</v>
      </c>
      <c r="BS295" s="182">
        <f t="shared" si="1000"/>
        <v>2448611.7060000007</v>
      </c>
      <c r="BT295" s="182">
        <f>+BT282</f>
        <v>4446833.2539999997</v>
      </c>
      <c r="BU295" s="182">
        <f>+BU282</f>
        <v>4013771.7219999991</v>
      </c>
      <c r="BV295" s="182">
        <f>+BV282</f>
        <v>3520968.3319999995</v>
      </c>
      <c r="BW295" s="182">
        <f>+BW282</f>
        <v>2161332.679</v>
      </c>
      <c r="BX295" s="182"/>
      <c r="BY295" s="182"/>
      <c r="BZ295" s="182"/>
      <c r="CA295" s="182"/>
      <c r="CJ295" s="6"/>
      <c r="CK295" s="6"/>
      <c r="CL295" s="6"/>
    </row>
    <row r="296" spans="1:90" s="5" customFormat="1" ht="13.5" customHeight="1" outlineLevel="1">
      <c r="B296" s="5" t="s">
        <v>474</v>
      </c>
      <c r="C296" s="235">
        <v>-76041.493000000002</v>
      </c>
      <c r="D296" s="236">
        <v>-176471.236</v>
      </c>
      <c r="E296" s="236">
        <v>-88125.471000000005</v>
      </c>
      <c r="F296" s="236">
        <v>-62785.055</v>
      </c>
      <c r="G296" s="236">
        <v>-64135.673000000003</v>
      </c>
      <c r="H296" s="236">
        <v>-113161.845</v>
      </c>
      <c r="I296" s="236">
        <v>-113161.845</v>
      </c>
      <c r="J296" s="236">
        <v>-201878.51199999999</v>
      </c>
      <c r="K296" s="236">
        <v>-201647.96599999999</v>
      </c>
      <c r="L296" s="236">
        <v>484207.28899999999</v>
      </c>
      <c r="M296" s="236">
        <v>343894.75099999999</v>
      </c>
      <c r="N296" s="236">
        <f>327009.514</f>
        <v>327009.51400000002</v>
      </c>
      <c r="O296" s="236">
        <v>503532.97100000002</v>
      </c>
      <c r="P296" s="236">
        <v>185438.52600000001</v>
      </c>
      <c r="Q296" s="161"/>
      <c r="R296" s="236">
        <v>-151481.63200000001</v>
      </c>
      <c r="S296" s="161">
        <f>BN296</f>
        <v>-158015</v>
      </c>
      <c r="T296" s="161">
        <v>-92009.546000000002</v>
      </c>
      <c r="U296" s="161">
        <f>E296</f>
        <v>-88125.471000000005</v>
      </c>
      <c r="V296" s="161">
        <v>-63236.4</v>
      </c>
      <c r="W296" s="161">
        <v>-92643.652000000002</v>
      </c>
      <c r="X296" s="161">
        <v>-75049.569000000003</v>
      </c>
      <c r="Y296" s="6">
        <f>F296</f>
        <v>-62785.055</v>
      </c>
      <c r="Z296" s="161">
        <v>-50798.8</v>
      </c>
      <c r="AA296" s="146">
        <f>BP296</f>
        <v>-80316.285000000003</v>
      </c>
      <c r="AB296" s="161">
        <v>-86710.895999999993</v>
      </c>
      <c r="AC296" s="6">
        <f>H296</f>
        <v>-113161.845</v>
      </c>
      <c r="AD296" s="161">
        <v>-95610.767000000007</v>
      </c>
      <c r="AE296" s="146">
        <f>BQ296</f>
        <v>-93664.04</v>
      </c>
      <c r="AF296" s="161">
        <v>-156506.10399999999</v>
      </c>
      <c r="AG296" s="6">
        <f>J296</f>
        <v>-201878.51199999999</v>
      </c>
      <c r="AH296" s="161">
        <v>-395061.32900000003</v>
      </c>
      <c r="AI296" s="6">
        <f>BR296</f>
        <v>-354446.51</v>
      </c>
      <c r="AJ296" s="161">
        <v>-291382.32900000003</v>
      </c>
      <c r="AK296" s="6">
        <f>K296</f>
        <v>-201647.96599999999</v>
      </c>
      <c r="AL296" s="161">
        <v>-219697.155</v>
      </c>
      <c r="AM296" s="6">
        <f>BS296</f>
        <v>-254923.08600000001</v>
      </c>
      <c r="AN296" s="161">
        <v>-429344.95500000002</v>
      </c>
      <c r="AO296" s="6">
        <f>L296</f>
        <v>484207.28899999999</v>
      </c>
      <c r="AP296" s="161">
        <v>363887.473</v>
      </c>
      <c r="AQ296" s="6">
        <f>BT296</f>
        <v>565643.27099999995</v>
      </c>
      <c r="AR296" s="161">
        <v>549604.348</v>
      </c>
      <c r="AS296" s="6">
        <f>M296</f>
        <v>343894.75099999999</v>
      </c>
      <c r="AT296" s="161">
        <v>314586.36800000002</v>
      </c>
      <c r="AU296" s="6">
        <f>BU296</f>
        <v>221483.53200000001</v>
      </c>
      <c r="AV296" s="161">
        <v>345350.03499999997</v>
      </c>
      <c r="AW296" s="6">
        <f>N296</f>
        <v>327009.51400000002</v>
      </c>
      <c r="AX296" s="161">
        <v>486239.20400000003</v>
      </c>
      <c r="AY296" s="6">
        <f>BV296</f>
        <v>431679.44799999997</v>
      </c>
      <c r="AZ296" s="161">
        <v>361014.24</v>
      </c>
      <c r="BA296" s="6">
        <f>O296</f>
        <v>503532.97100000002</v>
      </c>
      <c r="BB296" s="236">
        <v>311900.728</v>
      </c>
      <c r="BC296" s="6">
        <f>BW296</f>
        <v>240471.75399999999</v>
      </c>
      <c r="BD296" s="161">
        <v>264911.86900000001</v>
      </c>
      <c r="BE296" s="6">
        <f>P296</f>
        <v>185438.52600000001</v>
      </c>
      <c r="BF296" s="161">
        <v>221407.40400000001</v>
      </c>
      <c r="BG296" s="142"/>
      <c r="BH296" s="161"/>
      <c r="BI296" s="161"/>
      <c r="BJ296" s="161"/>
      <c r="BK296" s="6"/>
      <c r="BL296" s="161">
        <v>-95610.767000000007</v>
      </c>
      <c r="BM296" s="161"/>
      <c r="BN296" s="161">
        <v>-158015</v>
      </c>
      <c r="BO296" s="161">
        <v>-92643.652000000002</v>
      </c>
      <c r="BP296" s="161">
        <v>-80316.285000000003</v>
      </c>
      <c r="BQ296" s="161">
        <v>-93664.04</v>
      </c>
      <c r="BR296" s="161">
        <v>-354446.51</v>
      </c>
      <c r="BS296" s="161">
        <v>-254923.08600000001</v>
      </c>
      <c r="BT296" s="161">
        <v>565643.27099999995</v>
      </c>
      <c r="BU296" s="236">
        <v>221483.53200000001</v>
      </c>
      <c r="BV296" s="236">
        <v>431679.44799999997</v>
      </c>
      <c r="BW296" s="236">
        <v>240471.75399999999</v>
      </c>
      <c r="BX296" s="161"/>
      <c r="BY296" s="161"/>
      <c r="BZ296" s="161"/>
      <c r="CA296" s="161"/>
      <c r="CJ296" s="6"/>
      <c r="CK296" s="6"/>
      <c r="CL296" s="6"/>
    </row>
    <row r="297" spans="1:90" s="5" customFormat="1" ht="13.5" customHeight="1" outlineLevel="1">
      <c r="B297" s="5" t="s">
        <v>475</v>
      </c>
      <c r="C297" s="182">
        <f>+C295+C296</f>
        <v>2625499.8594000004</v>
      </c>
      <c r="D297" s="182">
        <f>+D295+D296</f>
        <v>2978006.1669999999</v>
      </c>
      <c r="E297" s="182">
        <f>+E295+E296</f>
        <v>3443653.7760000001</v>
      </c>
      <c r="F297" s="182">
        <f t="shared" ref="F297:K297" si="1001">+F295+F296</f>
        <v>3555231.3529999997</v>
      </c>
      <c r="G297" s="182">
        <f t="shared" si="1001"/>
        <v>3553880.7349999999</v>
      </c>
      <c r="H297" s="182">
        <f t="shared" si="1001"/>
        <v>3341984.4980000001</v>
      </c>
      <c r="I297" s="182">
        <f t="shared" si="1001"/>
        <v>3349360.63</v>
      </c>
      <c r="J297" s="182">
        <f t="shared" si="1001"/>
        <v>3262082.5970000001</v>
      </c>
      <c r="K297" s="182">
        <f t="shared" si="1001"/>
        <v>2552451.2319999998</v>
      </c>
      <c r="L297" s="182">
        <f>+L295+L296</f>
        <v>4033925.56</v>
      </c>
      <c r="M297" s="182">
        <f>+M295+M296</f>
        <v>4559086.7010000004</v>
      </c>
      <c r="N297" s="182">
        <f>+N295+N296</f>
        <v>3836269.281</v>
      </c>
      <c r="O297" s="182">
        <f>+O295+O296</f>
        <v>3184828.0739999991</v>
      </c>
      <c r="P297" s="182">
        <f>+P295+P296</f>
        <v>1816019.7159999998</v>
      </c>
      <c r="Q297" s="182"/>
      <c r="R297" s="182">
        <f t="shared" ref="R297:X297" si="1002">+R295+R296</f>
        <v>2910132.2829999994</v>
      </c>
      <c r="S297" s="182">
        <f t="shared" si="1002"/>
        <v>3121866.9050000003</v>
      </c>
      <c r="T297" s="182">
        <f t="shared" si="1002"/>
        <v>3288325.1339999996</v>
      </c>
      <c r="U297" s="182">
        <f t="shared" si="1002"/>
        <v>3443653.7760000001</v>
      </c>
      <c r="V297" s="146">
        <f t="shared" si="1002"/>
        <v>3480541.4690000005</v>
      </c>
      <c r="W297" s="146">
        <f t="shared" si="1002"/>
        <v>3553549.568</v>
      </c>
      <c r="X297" s="146">
        <f t="shared" si="1002"/>
        <v>3556381.0140000004</v>
      </c>
      <c r="Y297" s="182">
        <f t="shared" ref="Y297:AD297" si="1003">+Y295+Y296</f>
        <v>3555231.3529999997</v>
      </c>
      <c r="Z297" s="182">
        <f t="shared" si="1003"/>
        <v>3598388.7569999998</v>
      </c>
      <c r="AA297" s="182">
        <f t="shared" si="1003"/>
        <v>3821703.5459999996</v>
      </c>
      <c r="AB297" s="146">
        <f t="shared" si="1003"/>
        <v>3893680.8609999996</v>
      </c>
      <c r="AC297" s="146">
        <f t="shared" si="1003"/>
        <v>3341984.4980000001</v>
      </c>
      <c r="AD297" s="182">
        <f t="shared" si="1003"/>
        <v>3266562.412</v>
      </c>
      <c r="AE297" s="182">
        <f t="shared" ref="AE297:AJ297" si="1004">+AE295+AE296</f>
        <v>3409542.0330000003</v>
      </c>
      <c r="AF297" s="182">
        <f t="shared" si="1004"/>
        <v>3534896.3740000003</v>
      </c>
      <c r="AG297" s="146">
        <f t="shared" si="1004"/>
        <v>3262082.5970000001</v>
      </c>
      <c r="AH297" s="182">
        <f t="shared" si="1004"/>
        <v>3018099.4639999997</v>
      </c>
      <c r="AI297" s="182">
        <f t="shared" si="1004"/>
        <v>3149254.3190000001</v>
      </c>
      <c r="AJ297" s="182">
        <f t="shared" si="1004"/>
        <v>3029668.5279999999</v>
      </c>
      <c r="AK297" s="146">
        <f t="shared" ref="AK297:AP297" si="1005">+AK295+AK296</f>
        <v>2552451.2319999998</v>
      </c>
      <c r="AL297" s="182">
        <f t="shared" si="1005"/>
        <v>2720626.3030000003</v>
      </c>
      <c r="AM297" s="182">
        <f t="shared" si="1005"/>
        <v>2193688.6200000006</v>
      </c>
      <c r="AN297" s="182">
        <f t="shared" si="1005"/>
        <v>3107647.7230000002</v>
      </c>
      <c r="AO297" s="146">
        <f t="shared" si="1005"/>
        <v>4005547.253</v>
      </c>
      <c r="AP297" s="182">
        <f t="shared" si="1005"/>
        <v>3986987.3859999999</v>
      </c>
      <c r="AQ297" s="182">
        <f t="shared" ref="AQ297:AV297" si="1006">+AQ295+AQ296</f>
        <v>5012476.5249999994</v>
      </c>
      <c r="AR297" s="182">
        <f t="shared" si="1006"/>
        <v>5173276.4070000006</v>
      </c>
      <c r="AS297" s="146">
        <f t="shared" si="1006"/>
        <v>4559086.7010000004</v>
      </c>
      <c r="AT297" s="182">
        <f t="shared" si="1006"/>
        <v>4474990.3360000001</v>
      </c>
      <c r="AU297" s="182">
        <f t="shared" si="1006"/>
        <v>4235255.2539999988</v>
      </c>
      <c r="AV297" s="182">
        <f t="shared" si="1006"/>
        <v>4126346.7069999999</v>
      </c>
      <c r="AW297" s="146">
        <f t="shared" ref="AW297:BB297" si="1007">+AW295+AW296</f>
        <v>3836269.281</v>
      </c>
      <c r="AX297" s="182">
        <f t="shared" si="1007"/>
        <v>4303582.3030000003</v>
      </c>
      <c r="AY297" s="182">
        <f t="shared" si="1007"/>
        <v>3952647.7799999993</v>
      </c>
      <c r="AZ297" s="182">
        <f t="shared" si="1007"/>
        <v>3446497.2710000006</v>
      </c>
      <c r="BA297" s="146">
        <f t="shared" si="1007"/>
        <v>3184828.0739999991</v>
      </c>
      <c r="BB297" s="182">
        <f t="shared" si="1007"/>
        <v>3044960.1289999993</v>
      </c>
      <c r="BC297" s="182">
        <f>+BC295+BC296</f>
        <v>2401804.4330000002</v>
      </c>
      <c r="BD297" s="182">
        <f>+BD295+BD296</f>
        <v>2464603.5490000001</v>
      </c>
      <c r="BE297" s="146">
        <f>+BE295+BE296</f>
        <v>1816019.7159999998</v>
      </c>
      <c r="BF297" s="182">
        <f>+BF295+BF296</f>
        <v>1774122.2260000003</v>
      </c>
      <c r="BG297" s="142"/>
      <c r="BH297" s="182"/>
      <c r="BI297" s="182"/>
      <c r="BJ297" s="182"/>
      <c r="BK297" s="146"/>
      <c r="BL297" s="182">
        <f>+BL295+BL296</f>
        <v>3260230.4759999998</v>
      </c>
      <c r="BM297" s="182"/>
      <c r="BN297" s="146">
        <f t="shared" ref="BN297:BS297" si="1008">+BN295+BN296</f>
        <v>3121866.9050000003</v>
      </c>
      <c r="BO297" s="146">
        <f t="shared" si="1008"/>
        <v>3553549.568</v>
      </c>
      <c r="BP297" s="146">
        <f t="shared" si="1008"/>
        <v>3821703.5459999996</v>
      </c>
      <c r="BQ297" s="146">
        <f t="shared" si="1008"/>
        <v>3409542.0330000003</v>
      </c>
      <c r="BR297" s="146">
        <f t="shared" si="1008"/>
        <v>3149254.3190000001</v>
      </c>
      <c r="BS297" s="146">
        <f t="shared" si="1008"/>
        <v>2193688.6200000006</v>
      </c>
      <c r="BT297" s="146">
        <f>+BT295+BT296</f>
        <v>5012476.5249999994</v>
      </c>
      <c r="BU297" s="146">
        <f>+BU295+BU296</f>
        <v>4235255.2539999988</v>
      </c>
      <c r="BV297" s="146">
        <f>+BV295+BV296</f>
        <v>3952647.7799999993</v>
      </c>
      <c r="BW297" s="146">
        <f>+BW295+BW296</f>
        <v>2401804.4330000002</v>
      </c>
      <c r="BX297" s="146"/>
      <c r="BY297" s="146"/>
      <c r="BZ297" s="146"/>
      <c r="CA297" s="146"/>
      <c r="CJ297" s="6"/>
      <c r="CK297" s="6"/>
      <c r="CL297" s="6"/>
    </row>
    <row r="298" spans="1:90" ht="13.5" customHeight="1">
      <c r="BG298" s="142"/>
      <c r="CJ298" s="6"/>
      <c r="CK298" s="6"/>
      <c r="CL298" s="6"/>
    </row>
    <row r="299" spans="1:90" ht="13.5" customHeight="1">
      <c r="A299" s="28"/>
      <c r="B299" s="17" t="s">
        <v>476</v>
      </c>
      <c r="C299" s="46">
        <v>41975</v>
      </c>
      <c r="D299" s="46">
        <v>42341</v>
      </c>
      <c r="E299" s="46">
        <v>42708</v>
      </c>
      <c r="F299" s="253">
        <f t="shared" ref="F299:K299" si="1009">F3</f>
        <v>43073</v>
      </c>
      <c r="G299" s="253">
        <f t="shared" si="1009"/>
        <v>43073</v>
      </c>
      <c r="H299" s="253">
        <f t="shared" si="1009"/>
        <v>43438</v>
      </c>
      <c r="I299" s="253">
        <f t="shared" si="1009"/>
        <v>43438</v>
      </c>
      <c r="J299" s="253">
        <f t="shared" si="1009"/>
        <v>43803</v>
      </c>
      <c r="K299" s="253">
        <f t="shared" si="1009"/>
        <v>44169</v>
      </c>
      <c r="L299" s="253">
        <f>L3</f>
        <v>44534</v>
      </c>
      <c r="M299" s="253">
        <f>M3</f>
        <v>44899</v>
      </c>
      <c r="N299" s="253">
        <f>N3</f>
        <v>45264</v>
      </c>
      <c r="O299" s="253">
        <f>O3</f>
        <v>45630</v>
      </c>
      <c r="P299" s="253">
        <f>P3</f>
        <v>45995</v>
      </c>
      <c r="Q299" s="329"/>
      <c r="R299" s="46">
        <v>42437</v>
      </c>
      <c r="S299" s="46">
        <v>42527</v>
      </c>
      <c r="T299" s="46">
        <v>42622</v>
      </c>
      <c r="U299" s="46">
        <v>42714</v>
      </c>
      <c r="V299" s="46">
        <v>42801</v>
      </c>
      <c r="W299" s="46">
        <v>42892</v>
      </c>
      <c r="X299" s="46">
        <v>42987</v>
      </c>
      <c r="Y299" s="46">
        <f t="shared" ref="Y299:AD299" si="1010">Y3</f>
        <v>43079</v>
      </c>
      <c r="Z299" s="46">
        <f t="shared" si="1010"/>
        <v>43166</v>
      </c>
      <c r="AA299" s="46">
        <f t="shared" si="1010"/>
        <v>43257</v>
      </c>
      <c r="AB299" s="46">
        <f t="shared" si="1010"/>
        <v>43352</v>
      </c>
      <c r="AC299" s="46">
        <f t="shared" si="1010"/>
        <v>43444</v>
      </c>
      <c r="AD299" s="253">
        <f t="shared" si="1010"/>
        <v>43531</v>
      </c>
      <c r="AE299" s="253">
        <f t="shared" ref="AE299:AJ299" si="1011">AE3</f>
        <v>43622</v>
      </c>
      <c r="AF299" s="253">
        <f t="shared" si="1011"/>
        <v>43738</v>
      </c>
      <c r="AG299" s="120">
        <f t="shared" si="1011"/>
        <v>43809</v>
      </c>
      <c r="AH299" s="253">
        <f t="shared" si="1011"/>
        <v>43897</v>
      </c>
      <c r="AI299" s="253">
        <f t="shared" si="1011"/>
        <v>43988</v>
      </c>
      <c r="AJ299" s="253">
        <f t="shared" si="1011"/>
        <v>44104</v>
      </c>
      <c r="AK299" s="120">
        <f t="shared" ref="AK299:AP299" si="1012">AK3</f>
        <v>44175</v>
      </c>
      <c r="AL299" s="253">
        <f t="shared" si="1012"/>
        <v>44262</v>
      </c>
      <c r="AM299" s="253">
        <f t="shared" si="1012"/>
        <v>44348</v>
      </c>
      <c r="AN299" s="253">
        <f t="shared" si="1012"/>
        <v>44469</v>
      </c>
      <c r="AO299" s="253">
        <f t="shared" si="1012"/>
        <v>44540</v>
      </c>
      <c r="AP299" s="253">
        <f t="shared" si="1012"/>
        <v>44651</v>
      </c>
      <c r="AQ299" s="253">
        <f t="shared" ref="AQ299:AV299" si="1013">AQ3</f>
        <v>44713</v>
      </c>
      <c r="AR299" s="253">
        <f t="shared" si="1013"/>
        <v>44834</v>
      </c>
      <c r="AS299" s="253">
        <f t="shared" si="1013"/>
        <v>44905</v>
      </c>
      <c r="AT299" s="253">
        <f t="shared" si="1013"/>
        <v>45016</v>
      </c>
      <c r="AU299" s="253">
        <f t="shared" si="1013"/>
        <v>45078</v>
      </c>
      <c r="AV299" s="253">
        <f t="shared" si="1013"/>
        <v>45199</v>
      </c>
      <c r="AW299" s="253">
        <f t="shared" ref="AW299:BB299" si="1014">AW3</f>
        <v>45270</v>
      </c>
      <c r="AX299" s="253">
        <f t="shared" si="1014"/>
        <v>45382</v>
      </c>
      <c r="AY299" s="253">
        <f t="shared" si="1014"/>
        <v>45444</v>
      </c>
      <c r="AZ299" s="253">
        <f t="shared" si="1014"/>
        <v>45565</v>
      </c>
      <c r="BA299" s="253">
        <f t="shared" si="1014"/>
        <v>45636</v>
      </c>
      <c r="BB299" s="253">
        <f t="shared" si="1014"/>
        <v>45747</v>
      </c>
      <c r="BC299" s="253">
        <f>BC3</f>
        <v>45809</v>
      </c>
      <c r="BD299" s="253">
        <f>BD3</f>
        <v>45930</v>
      </c>
      <c r="BE299" s="253">
        <f>BE3</f>
        <v>46001</v>
      </c>
      <c r="BF299" s="253">
        <f>BF3</f>
        <v>46112</v>
      </c>
      <c r="BG299" s="142"/>
      <c r="BH299" s="46"/>
      <c r="BI299" s="46"/>
      <c r="BJ299" s="46"/>
      <c r="BK299" s="46"/>
      <c r="BL299" s="253">
        <f>BL3</f>
        <v>43531</v>
      </c>
      <c r="BM299" s="329"/>
      <c r="BN299" s="46">
        <v>42530</v>
      </c>
      <c r="BO299" s="46">
        <v>42896</v>
      </c>
      <c r="BP299" s="46">
        <f t="shared" ref="BP299:BU299" si="1015">BP3</f>
        <v>43261</v>
      </c>
      <c r="BQ299" s="253">
        <f t="shared" si="1015"/>
        <v>43646</v>
      </c>
      <c r="BR299" s="253">
        <f t="shared" si="1015"/>
        <v>44012</v>
      </c>
      <c r="BS299" s="253">
        <f t="shared" si="1015"/>
        <v>44377</v>
      </c>
      <c r="BT299" s="253">
        <f t="shared" si="1015"/>
        <v>44742</v>
      </c>
      <c r="BU299" s="253">
        <f t="shared" si="1015"/>
        <v>45107</v>
      </c>
      <c r="BV299" s="253">
        <f>BV3</f>
        <v>45473</v>
      </c>
      <c r="BW299" s="253">
        <f>BW3</f>
        <v>45838</v>
      </c>
      <c r="BX299" s="62"/>
      <c r="BY299" s="62"/>
      <c r="BZ299" s="62"/>
      <c r="CA299" s="62"/>
      <c r="CJ299" s="6"/>
      <c r="CK299" s="6"/>
      <c r="CL299" s="6"/>
    </row>
    <row r="300" spans="1:90" ht="13.5" customHeight="1">
      <c r="B300" s="5"/>
      <c r="BG300" s="142"/>
      <c r="BN300" s="240"/>
      <c r="CJ300" s="261"/>
      <c r="CK300" s="261"/>
      <c r="CL300" s="261"/>
    </row>
    <row r="301" spans="1:90" s="5" customFormat="1" ht="13.5" customHeight="1">
      <c r="B301" s="5" t="s">
        <v>477</v>
      </c>
      <c r="C301" s="499">
        <f t="shared" ref="C301:H301" si="1016">+C254/C204</f>
        <v>3.0602605285662929</v>
      </c>
      <c r="D301" s="499">
        <f t="shared" si="1016"/>
        <v>3.2246219918651233</v>
      </c>
      <c r="E301" s="499">
        <f t="shared" si="1016"/>
        <v>3.3820663674056815</v>
      </c>
      <c r="F301" s="499">
        <f t="shared" si="1016"/>
        <v>3.2463165401677641</v>
      </c>
      <c r="G301" s="499">
        <f t="shared" si="1016"/>
        <v>3.239141402066553</v>
      </c>
      <c r="H301" s="499">
        <f t="shared" si="1016"/>
        <v>3.1510533109249277</v>
      </c>
      <c r="I301" s="499">
        <f t="shared" ref="I301:O301" si="1017">+I254/I204</f>
        <v>3.4477283509679997</v>
      </c>
      <c r="J301" s="499">
        <f t="shared" si="1017"/>
        <v>3.7375429653129428</v>
      </c>
      <c r="K301" s="499">
        <f t="shared" si="1017"/>
        <v>4.0869470759825015</v>
      </c>
      <c r="L301" s="499">
        <f t="shared" si="1017"/>
        <v>2.5286474348265786</v>
      </c>
      <c r="M301" s="499">
        <f t="shared" si="1017"/>
        <v>5.3178992951295232</v>
      </c>
      <c r="N301" s="499">
        <f t="shared" si="1017"/>
        <v>5.2203779744670173</v>
      </c>
      <c r="O301" s="499">
        <f t="shared" si="1017"/>
        <v>2.5812413540030894</v>
      </c>
      <c r="P301" s="499">
        <f>+P254/P204</f>
        <v>1.2243461238357114</v>
      </c>
      <c r="Q301" s="499"/>
      <c r="R301" s="499">
        <f t="shared" ref="R301:W301" si="1018">+R254/R204</f>
        <v>3.065575485545978</v>
      </c>
      <c r="S301" s="499">
        <f t="shared" si="1018"/>
        <v>3.1807049154234575</v>
      </c>
      <c r="T301" s="499">
        <f t="shared" si="1018"/>
        <v>3.2500049213635429</v>
      </c>
      <c r="U301" s="499">
        <f t="shared" si="1018"/>
        <v>3.3820662813147355</v>
      </c>
      <c r="V301" s="499">
        <f t="shared" si="1018"/>
        <v>3.280125973342138</v>
      </c>
      <c r="W301" s="499">
        <f t="shared" si="1018"/>
        <v>3.3137951004144308</v>
      </c>
      <c r="X301" s="499">
        <f t="shared" ref="X301:AC301" si="1019">+X254/X204</f>
        <v>3.3466935031204539</v>
      </c>
      <c r="Y301" s="499">
        <f t="shared" si="1019"/>
        <v>3.2463165401677641</v>
      </c>
      <c r="Z301" s="499">
        <f t="shared" si="1019"/>
        <v>3.2042192952282016</v>
      </c>
      <c r="AA301" s="499">
        <f t="shared" si="1019"/>
        <v>3.4037783170267697</v>
      </c>
      <c r="AB301" s="499">
        <f t="shared" si="1019"/>
        <v>3.5365343098881579</v>
      </c>
      <c r="AC301" s="499">
        <f t="shared" si="1019"/>
        <v>3.1510533109249286</v>
      </c>
      <c r="AD301" s="499">
        <f t="shared" ref="AD301:AI301" si="1020">+AD254/AD204</f>
        <v>2.7852053411176509</v>
      </c>
      <c r="AE301" s="499">
        <f t="shared" si="1020"/>
        <v>2.9457152631527856</v>
      </c>
      <c r="AF301" s="499">
        <f t="shared" si="1020"/>
        <v>3.0851616340488266</v>
      </c>
      <c r="AG301" s="499">
        <f t="shared" si="1020"/>
        <v>3.7375429653129437</v>
      </c>
      <c r="AH301" s="499">
        <f t="shared" si="1020"/>
        <v>4.6516452210283523</v>
      </c>
      <c r="AI301" s="499">
        <f t="shared" si="1020"/>
        <v>6.5937016869033203</v>
      </c>
      <c r="AJ301" s="499">
        <f t="shared" ref="AJ301:AO301" si="1021">+AJ254/AJ204</f>
        <v>6.8748302178882694</v>
      </c>
      <c r="AK301" s="499">
        <f t="shared" si="1021"/>
        <v>4.0869470759825015</v>
      </c>
      <c r="AL301" s="499">
        <f t="shared" si="1021"/>
        <v>3.7235182581872692</v>
      </c>
      <c r="AM301" s="499">
        <f t="shared" si="1021"/>
        <v>2.5035614487329125</v>
      </c>
      <c r="AN301" s="499">
        <f t="shared" si="1021"/>
        <v>2.4681768136491757</v>
      </c>
      <c r="AO301" s="499">
        <f t="shared" si="1021"/>
        <v>2.5286474348265795</v>
      </c>
      <c r="AP301" s="499">
        <f t="shared" ref="AP301:AU301" si="1022">+AP254/AP204</f>
        <v>2.8543158437375018</v>
      </c>
      <c r="AQ301" s="499">
        <f t="shared" si="1022"/>
        <v>3.610248267554121</v>
      </c>
      <c r="AR301" s="499">
        <f t="shared" si="1022"/>
        <v>4.7356861110409216</v>
      </c>
      <c r="AS301" s="499">
        <f t="shared" si="1022"/>
        <v>5.3178992951295259</v>
      </c>
      <c r="AT301" s="499">
        <f t="shared" si="1022"/>
        <v>5.8670525129531477</v>
      </c>
      <c r="AU301" s="499">
        <f t="shared" si="1022"/>
        <v>6.4937437603197052</v>
      </c>
      <c r="AV301" s="499">
        <f t="shared" ref="AV301:BA301" si="1023">+AV254/AV204</f>
        <v>6.3666012480243834</v>
      </c>
      <c r="AW301" s="499">
        <f t="shared" si="1023"/>
        <v>5.2203779744670165</v>
      </c>
      <c r="AX301" s="499">
        <f t="shared" si="1023"/>
        <v>4.9664964772141156</v>
      </c>
      <c r="AY301" s="499">
        <f t="shared" si="1023"/>
        <v>4.1617578343302641</v>
      </c>
      <c r="AZ301" s="499">
        <f t="shared" si="1023"/>
        <v>3.2924117688374657</v>
      </c>
      <c r="BA301" s="499">
        <f t="shared" si="1023"/>
        <v>2.5812413540030894</v>
      </c>
      <c r="BB301" s="499">
        <f>+BB254/BB204</f>
        <v>2.3192861340290349</v>
      </c>
      <c r="BC301" s="499">
        <f>+BC254/BC204</f>
        <v>1.8107467119811052</v>
      </c>
      <c r="BD301" s="499">
        <f>+BD254/BD204</f>
        <v>1.7320604635480636</v>
      </c>
      <c r="BE301" s="499">
        <f>+BE254/BE204</f>
        <v>1.2243461238357114</v>
      </c>
      <c r="BF301" s="499">
        <f>+BF254/BF204</f>
        <v>1.1477535968652062</v>
      </c>
      <c r="BG301" s="500"/>
      <c r="BH301" s="499"/>
      <c r="BI301" s="499"/>
      <c r="BJ301" s="499"/>
      <c r="BK301" s="499"/>
      <c r="BL301" s="499">
        <f>+BL254/BL204</f>
        <v>5.6359989709827678</v>
      </c>
      <c r="BM301" s="499"/>
      <c r="BN301" s="499">
        <f t="shared" ref="BN301:BS301" si="1024">+BN254/BN204</f>
        <v>3.1807049154234575</v>
      </c>
      <c r="BO301" s="499">
        <f t="shared" si="1024"/>
        <v>3.3137928448107981</v>
      </c>
      <c r="BP301" s="499">
        <f t="shared" si="1024"/>
        <v>3.40378046587159</v>
      </c>
      <c r="BQ301" s="499">
        <f t="shared" si="1024"/>
        <v>2.9457152631527856</v>
      </c>
      <c r="BR301" s="499">
        <f t="shared" si="1024"/>
        <v>6.5937016869033194</v>
      </c>
      <c r="BS301" s="499">
        <f t="shared" si="1024"/>
        <v>2.5035614487329125</v>
      </c>
      <c r="BT301" s="499">
        <f>+BT254/BT204</f>
        <v>3.6102482675541196</v>
      </c>
      <c r="BU301" s="499">
        <f>+BU254/BU204</f>
        <v>6.4937437603197026</v>
      </c>
      <c r="BV301" s="499">
        <f>+BV254/BV204</f>
        <v>4.1617578343302641</v>
      </c>
      <c r="BW301" s="499">
        <f>+BW254/BW204</f>
        <v>1.8107467119811054</v>
      </c>
      <c r="BX301" s="221"/>
      <c r="BY301" s="221"/>
      <c r="BZ301" s="221"/>
      <c r="CA301" s="221"/>
      <c r="CJ301" s="261"/>
      <c r="CK301" s="261"/>
      <c r="CL301" s="261"/>
    </row>
    <row r="302" spans="1:90" ht="13.5" customHeight="1">
      <c r="B302" s="1" t="s">
        <v>478</v>
      </c>
      <c r="C302" s="30">
        <f t="shared" ref="C302:H302" si="1025">+C255/C204</f>
        <v>3.2960743648027364</v>
      </c>
      <c r="D302" s="30">
        <f t="shared" si="1025"/>
        <v>3.437286165067218</v>
      </c>
      <c r="E302" s="30">
        <f t="shared" si="1025"/>
        <v>3.5791670610580524</v>
      </c>
      <c r="F302" s="30">
        <f t="shared" si="1025"/>
        <v>3.4602931119895612</v>
      </c>
      <c r="G302" s="30">
        <f t="shared" si="1025"/>
        <v>3.4526450343477202</v>
      </c>
      <c r="H302" s="30">
        <f t="shared" si="1025"/>
        <v>3.4788871069183571</v>
      </c>
      <c r="I302" s="30">
        <f t="shared" ref="I302:N302" si="1026">+I255/I204</f>
        <v>3.8141841051775258</v>
      </c>
      <c r="J302" s="30">
        <f t="shared" si="1026"/>
        <v>4.1166543644499942</v>
      </c>
      <c r="K302" s="30">
        <f t="shared" si="1026"/>
        <v>6.040507870262271</v>
      </c>
      <c r="L302" s="30">
        <f t="shared" si="1026"/>
        <v>2.9610141816847166</v>
      </c>
      <c r="M302" s="30">
        <f>+M255/M204</f>
        <v>6.1430012134472323</v>
      </c>
      <c r="N302" s="30">
        <f t="shared" si="1026"/>
        <v>6.8095861656236929</v>
      </c>
      <c r="O302" s="30">
        <f>+O255/O204</f>
        <v>4.0050957265973208</v>
      </c>
      <c r="P302" s="30">
        <f>+P255/P204</f>
        <v>2.2787677219873923</v>
      </c>
      <c r="Q302" s="30"/>
      <c r="R302" s="30">
        <f t="shared" ref="R302:W302" si="1027">+R255/R204</f>
        <v>3.2607485678505763</v>
      </c>
      <c r="S302" s="30">
        <f t="shared" si="1027"/>
        <v>3.3566012132380982</v>
      </c>
      <c r="T302" s="30">
        <f t="shared" si="1027"/>
        <v>3.4063724617573037</v>
      </c>
      <c r="U302" s="30">
        <f t="shared" si="1027"/>
        <v>3.5791669699498825</v>
      </c>
      <c r="V302" s="30">
        <f t="shared" si="1027"/>
        <v>3.4645005912192643</v>
      </c>
      <c r="W302" s="30">
        <f t="shared" si="1027"/>
        <v>3.4793576428875115</v>
      </c>
      <c r="X302" s="30">
        <f t="shared" ref="X302:AC302" si="1028">+X255/X204</f>
        <v>3.5430023390158722</v>
      </c>
      <c r="Y302" s="30">
        <f t="shared" si="1028"/>
        <v>3.4602931119895612</v>
      </c>
      <c r="Z302" s="30">
        <f t="shared" si="1028"/>
        <v>3.4043017770012929</v>
      </c>
      <c r="AA302" s="30">
        <f t="shared" si="1028"/>
        <v>3.597589043137488</v>
      </c>
      <c r="AB302" s="30">
        <f t="shared" si="1028"/>
        <v>3.7223004752212492</v>
      </c>
      <c r="AC302" s="30">
        <f t="shared" si="1028"/>
        <v>3.4788871069183576</v>
      </c>
      <c r="AD302" s="30">
        <f t="shared" ref="AD302:AI302" si="1029">+AD255/AD204</f>
        <v>3.0634176282624419</v>
      </c>
      <c r="AE302" s="30">
        <f t="shared" si="1029"/>
        <v>3.1299355326487781</v>
      </c>
      <c r="AF302" s="30">
        <f t="shared" si="1029"/>
        <v>3.3053289139592477</v>
      </c>
      <c r="AG302" s="30">
        <f t="shared" si="1029"/>
        <v>4.116654364449996</v>
      </c>
      <c r="AH302" s="30">
        <f t="shared" si="1029"/>
        <v>5.8728386860628428</v>
      </c>
      <c r="AI302" s="30">
        <f t="shared" si="1029"/>
        <v>9.4741669945151354</v>
      </c>
      <c r="AJ302" s="30">
        <f t="shared" ref="AJ302:AO302" si="1030">+AJ255/AJ204</f>
        <v>9.4983203852929279</v>
      </c>
      <c r="AK302" s="30">
        <f t="shared" si="1030"/>
        <v>6.040507870262271</v>
      </c>
      <c r="AL302" s="30">
        <f t="shared" si="1030"/>
        <v>5.1274829660321846</v>
      </c>
      <c r="AM302" s="30">
        <f t="shared" si="1030"/>
        <v>3.2883283526440104</v>
      </c>
      <c r="AN302" s="30">
        <f t="shared" si="1030"/>
        <v>2.9023033589545109</v>
      </c>
      <c r="AO302" s="30">
        <f t="shared" si="1030"/>
        <v>2.961014181684718</v>
      </c>
      <c r="AP302" s="30">
        <f t="shared" ref="AP302:AU302" si="1031">+AP255/AP204</f>
        <v>3.1499321057781904</v>
      </c>
      <c r="AQ302" s="30">
        <f t="shared" si="1031"/>
        <v>4.1066980410945755</v>
      </c>
      <c r="AR302" s="30">
        <f t="shared" si="1031"/>
        <v>5.4481621625113483</v>
      </c>
      <c r="AS302" s="30">
        <f t="shared" si="1031"/>
        <v>6.1430012134472358</v>
      </c>
      <c r="AT302" s="30">
        <f t="shared" si="1031"/>
        <v>6.6499715235345036</v>
      </c>
      <c r="AU302" s="30">
        <f t="shared" si="1031"/>
        <v>7.1401032589343076</v>
      </c>
      <c r="AV302" s="30">
        <f t="shared" ref="AV302:BA302" si="1032">+AV255/AV204</f>
        <v>7.4143326547561372</v>
      </c>
      <c r="AW302" s="30">
        <f t="shared" si="1032"/>
        <v>6.8095861656236911</v>
      </c>
      <c r="AX302" s="30">
        <f t="shared" si="1032"/>
        <v>6.1689012546297404</v>
      </c>
      <c r="AY302" s="30">
        <f t="shared" si="1032"/>
        <v>5.244096473024082</v>
      </c>
      <c r="AZ302" s="30">
        <f t="shared" si="1032"/>
        <v>4.6277928372025512</v>
      </c>
      <c r="BA302" s="30">
        <f t="shared" si="1032"/>
        <v>4.0050957265973208</v>
      </c>
      <c r="BB302" s="30">
        <f>+BB255/BB204</f>
        <v>3.1738348202891782</v>
      </c>
      <c r="BC302" s="30">
        <f>+BC255/BC204</f>
        <v>2.900410980931198</v>
      </c>
      <c r="BD302" s="30">
        <f>+BD255/BD204</f>
        <v>2.6823086517691799</v>
      </c>
      <c r="BE302" s="30">
        <f>+BE255/BE204</f>
        <v>2.2787677219873923</v>
      </c>
      <c r="BF302" s="30">
        <f>+BF255/BF204</f>
        <v>2.3506347235326781</v>
      </c>
      <c r="BG302" s="142"/>
      <c r="BH302" s="30"/>
      <c r="BI302" s="30"/>
      <c r="BJ302" s="30"/>
      <c r="BK302" s="30"/>
      <c r="BL302" s="30">
        <f>+BL255/BL204</f>
        <v>6.2123566679266409</v>
      </c>
      <c r="BM302" s="30"/>
      <c r="BN302" s="30">
        <f t="shared" ref="BN302:BS302" si="1033">+BN255/BN204</f>
        <v>3.3566012132380982</v>
      </c>
      <c r="BO302" s="30">
        <f t="shared" si="1033"/>
        <v>3.4793552745902869</v>
      </c>
      <c r="BP302" s="30">
        <f t="shared" si="1033"/>
        <v>3.5975913143372726</v>
      </c>
      <c r="BQ302" s="30">
        <f t="shared" si="1033"/>
        <v>3.1299355326487781</v>
      </c>
      <c r="BR302" s="30">
        <f t="shared" si="1033"/>
        <v>9.4741669945151337</v>
      </c>
      <c r="BS302" s="30">
        <f t="shared" si="1033"/>
        <v>3.2883283526440104</v>
      </c>
      <c r="BT302" s="30">
        <f>+BT255/BT204</f>
        <v>4.1066980410945737</v>
      </c>
      <c r="BU302" s="30">
        <f>+BU255/BU204</f>
        <v>7.140103258934305</v>
      </c>
      <c r="BV302" s="30">
        <f>+BV255/BV204</f>
        <v>5.244096473024082</v>
      </c>
      <c r="BW302" s="30">
        <f>+BW255/BW204</f>
        <v>2.9004109809311984</v>
      </c>
      <c r="BX302" s="30"/>
      <c r="BY302" s="30"/>
      <c r="BZ302" s="30"/>
      <c r="CA302" s="30"/>
      <c r="CJ302" s="261"/>
      <c r="CK302" s="261"/>
      <c r="CL302" s="261"/>
    </row>
    <row r="303" spans="1:90" ht="13.5" customHeight="1"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142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30"/>
      <c r="BT303" s="30"/>
      <c r="BU303" s="30"/>
      <c r="BV303" s="30"/>
      <c r="BW303" s="30"/>
      <c r="BX303" s="30"/>
      <c r="BY303" s="30"/>
      <c r="BZ303" s="30"/>
      <c r="CA303" s="30"/>
      <c r="CJ303" s="261"/>
      <c r="CK303" s="261"/>
      <c r="CL303" s="261"/>
    </row>
    <row r="304" spans="1:90" s="5" customFormat="1" ht="13.5" customHeight="1">
      <c r="B304" s="5" t="s">
        <v>479</v>
      </c>
      <c r="C304" s="499">
        <f t="shared" ref="C304:H304" si="1034">C259/C204</f>
        <v>3.1725479476524665</v>
      </c>
      <c r="D304" s="499">
        <f t="shared" si="1034"/>
        <v>3.3157467991362464</v>
      </c>
      <c r="E304" s="499">
        <f t="shared" si="1034"/>
        <v>3.4871394549664436</v>
      </c>
      <c r="F304" s="499">
        <f t="shared" si="1034"/>
        <v>3.3280489362785519</v>
      </c>
      <c r="G304" s="499">
        <f t="shared" si="1034"/>
        <v>3.3206931499804746</v>
      </c>
      <c r="H304" s="499">
        <f t="shared" si="1034"/>
        <v>3.2071521682570756</v>
      </c>
      <c r="I304" s="499">
        <f t="shared" ref="I304:N304" si="1035">I259/I204</f>
        <v>3.5172718511075365</v>
      </c>
      <c r="J304" s="499">
        <f t="shared" si="1035"/>
        <v>4.9802317129835156</v>
      </c>
      <c r="K304" s="499">
        <f t="shared" si="1035"/>
        <v>5.5864964994375192</v>
      </c>
      <c r="L304" s="499">
        <f t="shared" si="1035"/>
        <v>3.3999165576357195</v>
      </c>
      <c r="M304" s="499">
        <f>M259/M204</f>
        <v>6.8773222220329071</v>
      </c>
      <c r="N304" s="499">
        <f t="shared" si="1035"/>
        <v>6.9979600800588111</v>
      </c>
      <c r="O304" s="499">
        <f>O259/O204</f>
        <v>3.7972298808799221</v>
      </c>
      <c r="P304" s="499">
        <f>P259/P204</f>
        <v>2.1878537215753928</v>
      </c>
      <c r="Q304" s="499"/>
      <c r="R304" s="499">
        <f t="shared" ref="R304:W304" si="1036">R259/R204</f>
        <v>3.1464097938774831</v>
      </c>
      <c r="S304" s="499">
        <f t="shared" si="1036"/>
        <v>3.2689135588683307</v>
      </c>
      <c r="T304" s="499">
        <f t="shared" si="1036"/>
        <v>3.3190325431577929</v>
      </c>
      <c r="U304" s="499">
        <f t="shared" si="1036"/>
        <v>3.4871393662008483</v>
      </c>
      <c r="V304" s="499">
        <f t="shared" si="1036"/>
        <v>3.34219929831072</v>
      </c>
      <c r="W304" s="499">
        <f t="shared" si="1036"/>
        <v>3.4089444305796297</v>
      </c>
      <c r="X304" s="499">
        <f t="shared" ref="X304:AC304" si="1037">X259/X204</f>
        <v>3.4343380097114573</v>
      </c>
      <c r="Y304" s="499">
        <f t="shared" si="1037"/>
        <v>3.3280489362785519</v>
      </c>
      <c r="Z304" s="499">
        <f t="shared" si="1037"/>
        <v>3.2789588001731196</v>
      </c>
      <c r="AA304" s="499">
        <f t="shared" si="1037"/>
        <v>3.4687397516955021</v>
      </c>
      <c r="AB304" s="499">
        <f t="shared" si="1037"/>
        <v>3.600308073316461</v>
      </c>
      <c r="AC304" s="499">
        <f t="shared" si="1037"/>
        <v>3.2071521682570765</v>
      </c>
      <c r="AD304" s="499">
        <f t="shared" ref="AD304:AI304" si="1038">AD259/AD204</f>
        <v>3.7663637286922822</v>
      </c>
      <c r="AE304" s="499">
        <f t="shared" si="1038"/>
        <v>3.8714019120012035</v>
      </c>
      <c r="AF304" s="499">
        <f t="shared" si="1038"/>
        <v>4.0111984868210602</v>
      </c>
      <c r="AG304" s="499">
        <f t="shared" si="1038"/>
        <v>4.9802317129835174</v>
      </c>
      <c r="AH304" s="499">
        <f t="shared" si="1038"/>
        <v>5.9578044268856223</v>
      </c>
      <c r="AI304" s="499">
        <f t="shared" si="1038"/>
        <v>8.5937288191211358</v>
      </c>
      <c r="AJ304" s="499">
        <f t="shared" ref="AJ304:AO304" si="1039">AJ259/AJ204</f>
        <v>8.9388276116343484</v>
      </c>
      <c r="AK304" s="499">
        <f t="shared" si="1039"/>
        <v>5.5864964994375192</v>
      </c>
      <c r="AL304" s="499">
        <f t="shared" si="1039"/>
        <v>5.0087764741760816</v>
      </c>
      <c r="AM304" s="499">
        <f t="shared" si="1039"/>
        <v>3.4059610352554408</v>
      </c>
      <c r="AN304" s="499">
        <f t="shared" si="1039"/>
        <v>3.270492458787015</v>
      </c>
      <c r="AO304" s="499">
        <f t="shared" si="1039"/>
        <v>3.3999165576357209</v>
      </c>
      <c r="AP304" s="499">
        <f t="shared" ref="AP304:AU304" si="1040">AP259/AP204</f>
        <v>3.7746676713153491</v>
      </c>
      <c r="AQ304" s="499">
        <f t="shared" si="1040"/>
        <v>4.6775726147228376</v>
      </c>
      <c r="AR304" s="499">
        <f t="shared" si="1040"/>
        <v>6.0306236431425244</v>
      </c>
      <c r="AS304" s="499">
        <f t="shared" si="1040"/>
        <v>6.8773222220329098</v>
      </c>
      <c r="AT304" s="499">
        <f t="shared" si="1040"/>
        <v>7.5706698922538544</v>
      </c>
      <c r="AU304" s="499">
        <f t="shared" si="1040"/>
        <v>8.3525635999257943</v>
      </c>
      <c r="AV304" s="499">
        <f t="shared" ref="AV304:BA304" si="1041">AV259/AV204</f>
        <v>8.3064172321773579</v>
      </c>
      <c r="AW304" s="499">
        <f t="shared" si="1041"/>
        <v>6.9979600800588093</v>
      </c>
      <c r="AX304" s="499">
        <f t="shared" si="1041"/>
        <v>6.5595842512195333</v>
      </c>
      <c r="AY304" s="499">
        <f t="shared" si="1041"/>
        <v>5.611734954370931</v>
      </c>
      <c r="AZ304" s="499">
        <f t="shared" si="1041"/>
        <v>4.5663032298732054</v>
      </c>
      <c r="BA304" s="499">
        <f t="shared" si="1041"/>
        <v>3.7972298808799221</v>
      </c>
      <c r="BB304" s="499">
        <f>BB259/BB204</f>
        <v>3.4173264115921191</v>
      </c>
      <c r="BC304" s="499">
        <f>BC259/BC204</f>
        <v>2.8787711959591187</v>
      </c>
      <c r="BD304" s="499">
        <f>BD259/BD204</f>
        <v>2.7312888979154164</v>
      </c>
      <c r="BE304" s="499">
        <f>BE259/BE204</f>
        <v>2.1878537215753928</v>
      </c>
      <c r="BF304" s="499">
        <f>BF259/BF204</f>
        <v>2.1023346611946749</v>
      </c>
      <c r="BG304" s="500"/>
      <c r="BH304" s="499"/>
      <c r="BI304" s="499"/>
      <c r="BJ304" s="499"/>
      <c r="BK304" s="499"/>
      <c r="BL304" s="499">
        <f>BL259/BL204</f>
        <v>7.6257067389042588</v>
      </c>
      <c r="BM304" s="499"/>
      <c r="BN304" s="499">
        <f t="shared" ref="BN304:BS304" si="1042">BN259/BN204</f>
        <v>3.2689135588683307</v>
      </c>
      <c r="BO304" s="499">
        <f t="shared" si="1042"/>
        <v>3.4089421102106239</v>
      </c>
      <c r="BP304" s="499">
        <f t="shared" si="1042"/>
        <v>3.4687419415512308</v>
      </c>
      <c r="BQ304" s="499">
        <f t="shared" si="1042"/>
        <v>3.8714019120012035</v>
      </c>
      <c r="BR304" s="499">
        <f t="shared" si="1042"/>
        <v>8.5937288191211341</v>
      </c>
      <c r="BS304" s="499">
        <f t="shared" si="1042"/>
        <v>3.4059610352554408</v>
      </c>
      <c r="BT304" s="499">
        <f>BT259/BT204</f>
        <v>4.6775726147228358</v>
      </c>
      <c r="BU304" s="499">
        <f>BU259/BU204</f>
        <v>8.3525635999257908</v>
      </c>
      <c r="BV304" s="499">
        <f>BV259/BV204</f>
        <v>5.611734954370931</v>
      </c>
      <c r="BW304" s="499">
        <f>BW259/BW204</f>
        <v>2.8787711959591196</v>
      </c>
      <c r="BX304" s="221"/>
      <c r="BY304" s="221"/>
      <c r="BZ304" s="221"/>
      <c r="CA304" s="221"/>
      <c r="CJ304" s="345"/>
      <c r="CK304" s="345"/>
      <c r="CL304" s="345"/>
    </row>
    <row r="305" spans="1:90" ht="13.5" customHeight="1">
      <c r="B305" s="1" t="s">
        <v>480</v>
      </c>
      <c r="C305" s="30">
        <f t="shared" ref="C305:H305" si="1043">C260/C204</f>
        <v>3.40836178388891</v>
      </c>
      <c r="D305" s="30">
        <f t="shared" si="1043"/>
        <v>3.528410972338341</v>
      </c>
      <c r="E305" s="30">
        <f t="shared" si="1043"/>
        <v>3.6842401486188145</v>
      </c>
      <c r="F305" s="30">
        <f t="shared" si="1043"/>
        <v>3.5420255081003491</v>
      </c>
      <c r="G305" s="30">
        <f t="shared" si="1043"/>
        <v>3.5341967822616422</v>
      </c>
      <c r="H305" s="30">
        <f t="shared" si="1043"/>
        <v>3.5349859642505046</v>
      </c>
      <c r="I305" s="30">
        <f t="shared" ref="I305:N305" si="1044">I260/I204</f>
        <v>3.8837276053170626</v>
      </c>
      <c r="J305" s="30">
        <f t="shared" si="1044"/>
        <v>5.3593431121205679</v>
      </c>
      <c r="K305" s="30">
        <f t="shared" si="1044"/>
        <v>7.5400572937172887</v>
      </c>
      <c r="L305" s="30">
        <f t="shared" si="1044"/>
        <v>3.832283304493858</v>
      </c>
      <c r="M305" s="30">
        <f>M260/M204</f>
        <v>7.7024241403506162</v>
      </c>
      <c r="N305" s="30">
        <f t="shared" si="1044"/>
        <v>8.5871682712154858</v>
      </c>
      <c r="O305" s="30">
        <f>O260/O204</f>
        <v>5.2210842534741522</v>
      </c>
      <c r="P305" s="30">
        <f>P260/P204</f>
        <v>3.2422753197270731</v>
      </c>
      <c r="Q305" s="30"/>
      <c r="R305" s="30">
        <f t="shared" ref="R305:W305" si="1045">R260/R204</f>
        <v>3.3415828761820814</v>
      </c>
      <c r="S305" s="30">
        <f t="shared" si="1045"/>
        <v>3.4448098566829715</v>
      </c>
      <c r="T305" s="30">
        <f t="shared" si="1045"/>
        <v>3.4754000835515537</v>
      </c>
      <c r="U305" s="30">
        <f t="shared" si="1045"/>
        <v>3.6842400548359953</v>
      </c>
      <c r="V305" s="30">
        <f t="shared" si="1045"/>
        <v>3.526573916187846</v>
      </c>
      <c r="W305" s="30">
        <f t="shared" si="1045"/>
        <v>3.5745069730527104</v>
      </c>
      <c r="X305" s="30">
        <f t="shared" ref="X305:AC305" si="1046">X260/X204</f>
        <v>3.6306468456068761</v>
      </c>
      <c r="Y305" s="30">
        <f t="shared" si="1046"/>
        <v>3.5420255081003491</v>
      </c>
      <c r="Z305" s="30">
        <f t="shared" si="1046"/>
        <v>3.4790412819462109</v>
      </c>
      <c r="AA305" s="30">
        <f t="shared" si="1046"/>
        <v>3.6625504778062203</v>
      </c>
      <c r="AB305" s="30">
        <f t="shared" si="1046"/>
        <v>3.7860742386495523</v>
      </c>
      <c r="AC305" s="30">
        <f t="shared" si="1046"/>
        <v>3.5349859642505055</v>
      </c>
      <c r="AD305" s="30">
        <f t="shared" ref="AD305:AI305" si="1047">AD260/AD204</f>
        <v>4.0445760158370732</v>
      </c>
      <c r="AE305" s="30">
        <f t="shared" si="1047"/>
        <v>4.0556221814971964</v>
      </c>
      <c r="AF305" s="30">
        <f t="shared" si="1047"/>
        <v>4.2313657667314812</v>
      </c>
      <c r="AG305" s="30">
        <f t="shared" si="1047"/>
        <v>5.3593431121205688</v>
      </c>
      <c r="AH305" s="30">
        <f t="shared" si="1047"/>
        <v>7.1789978919201127</v>
      </c>
      <c r="AI305" s="30">
        <f t="shared" si="1047"/>
        <v>11.474194126732952</v>
      </c>
      <c r="AJ305" s="30">
        <f t="shared" ref="AJ305:AO305" si="1048">AJ260/AJ204</f>
        <v>11.562317779039008</v>
      </c>
      <c r="AK305" s="30">
        <f t="shared" si="1048"/>
        <v>7.5400572937172887</v>
      </c>
      <c r="AL305" s="30">
        <f t="shared" si="1048"/>
        <v>6.4127411820209961</v>
      </c>
      <c r="AM305" s="30">
        <f t="shared" si="1048"/>
        <v>4.1907279391665391</v>
      </c>
      <c r="AN305" s="30">
        <f t="shared" si="1048"/>
        <v>3.7046190040923501</v>
      </c>
      <c r="AO305" s="30">
        <f t="shared" si="1048"/>
        <v>3.8322833044938593</v>
      </c>
      <c r="AP305" s="30">
        <f t="shared" ref="AP305:AU305" si="1049">AP260/AP204</f>
        <v>4.0702839333560377</v>
      </c>
      <c r="AQ305" s="30">
        <f t="shared" si="1049"/>
        <v>5.1740223882632925</v>
      </c>
      <c r="AR305" s="30">
        <f t="shared" si="1049"/>
        <v>6.7430996946129511</v>
      </c>
      <c r="AS305" s="30">
        <f t="shared" si="1049"/>
        <v>7.7024241403506197</v>
      </c>
      <c r="AT305" s="30">
        <f t="shared" si="1049"/>
        <v>8.353588902835213</v>
      </c>
      <c r="AU305" s="30">
        <f t="shared" si="1049"/>
        <v>8.998923098540395</v>
      </c>
      <c r="AV305" s="30">
        <f t="shared" ref="AV305:BA305" si="1050">AV260/AV204</f>
        <v>9.3541486389091126</v>
      </c>
      <c r="AW305" s="30">
        <f t="shared" si="1050"/>
        <v>8.587168271215484</v>
      </c>
      <c r="AX305" s="30">
        <f t="shared" si="1050"/>
        <v>7.7619890286351589</v>
      </c>
      <c r="AY305" s="30">
        <f t="shared" si="1050"/>
        <v>6.6940735930647497</v>
      </c>
      <c r="AZ305" s="30">
        <f t="shared" si="1050"/>
        <v>5.9016842982382904</v>
      </c>
      <c r="BA305" s="30">
        <f t="shared" si="1050"/>
        <v>5.2210842534741522</v>
      </c>
      <c r="BB305" s="30">
        <f>BB260/BB204</f>
        <v>4.2718750978522628</v>
      </c>
      <c r="BC305" s="30">
        <f>BC260/BC204</f>
        <v>3.968435464909212</v>
      </c>
      <c r="BD305" s="30">
        <f>BD260/BD204</f>
        <v>3.6815370861365326</v>
      </c>
      <c r="BE305" s="30">
        <f>BE260/BE204</f>
        <v>3.2422753197270731</v>
      </c>
      <c r="BF305" s="30">
        <f>BF260/BF204</f>
        <v>3.3052157878621466</v>
      </c>
      <c r="BG305" s="142"/>
      <c r="BH305" s="30"/>
      <c r="BI305" s="30"/>
      <c r="BJ305" s="30"/>
      <c r="BK305" s="30"/>
      <c r="BL305" s="30">
        <f>BL260/BL204</f>
        <v>8.2020644358481327</v>
      </c>
      <c r="BM305" s="30"/>
      <c r="BN305" s="30">
        <f t="shared" ref="BN305:BS305" si="1051">BN260/BN204</f>
        <v>3.4448098566829715</v>
      </c>
      <c r="BO305" s="30">
        <f t="shared" si="1051"/>
        <v>3.5745045399901132</v>
      </c>
      <c r="BP305" s="30">
        <f t="shared" si="1051"/>
        <v>3.6625527900169139</v>
      </c>
      <c r="BQ305" s="30">
        <f t="shared" si="1051"/>
        <v>4.0556221814971964</v>
      </c>
      <c r="BR305" s="30">
        <f t="shared" si="1051"/>
        <v>11.47419412673295</v>
      </c>
      <c r="BS305" s="30">
        <f t="shared" si="1051"/>
        <v>4.1907279391665391</v>
      </c>
      <c r="BT305" s="30">
        <f>BT260/BT204</f>
        <v>5.1740223882632908</v>
      </c>
      <c r="BU305" s="30">
        <f>BU260/BU204</f>
        <v>8.9989230985403914</v>
      </c>
      <c r="BV305" s="30">
        <f>BV260/BV204</f>
        <v>6.6940735930647497</v>
      </c>
      <c r="BW305" s="30">
        <f>BW260/BW204</f>
        <v>3.9684354649092124</v>
      </c>
      <c r="BX305" s="30"/>
      <c r="BY305" s="30"/>
      <c r="BZ305" s="30"/>
      <c r="CA305" s="30"/>
      <c r="CJ305" s="261"/>
      <c r="CK305" s="261"/>
      <c r="CL305" s="261"/>
    </row>
    <row r="306" spans="1:90" ht="13.5" customHeight="1"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142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  <c r="BS306" s="30"/>
      <c r="BT306" s="30"/>
      <c r="BU306" s="30"/>
      <c r="BV306" s="30"/>
      <c r="BW306" s="30"/>
      <c r="BX306" s="30"/>
      <c r="BY306" s="30"/>
      <c r="BZ306" s="30"/>
      <c r="CA306" s="30"/>
      <c r="CJ306" s="261"/>
      <c r="CK306" s="261"/>
      <c r="CL306" s="261"/>
    </row>
    <row r="307" spans="1:90" ht="13.5" customHeight="1">
      <c r="B307" s="5" t="s">
        <v>481</v>
      </c>
      <c r="C307" s="499">
        <f t="shared" ref="C307:H307" si="1052">C264/C205</f>
        <v>3.7602124023706551</v>
      </c>
      <c r="D307" s="499">
        <f t="shared" si="1052"/>
        <v>3.9310964805810782</v>
      </c>
      <c r="E307" s="499">
        <f t="shared" si="1052"/>
        <v>4.0904979023620482</v>
      </c>
      <c r="F307" s="499">
        <f t="shared" si="1052"/>
        <v>3.9371008650889325</v>
      </c>
      <c r="G307" s="499">
        <f t="shared" si="1052"/>
        <v>3.9790825050374172</v>
      </c>
      <c r="H307" s="499">
        <f t="shared" si="1052"/>
        <v>3.9427156989547036</v>
      </c>
      <c r="I307" s="499">
        <f t="shared" ref="I307:N307" si="1053">I264/I205</f>
        <v>4.3302680249394063</v>
      </c>
      <c r="J307" s="499">
        <f t="shared" si="1053"/>
        <v>5.240541527687169</v>
      </c>
      <c r="K307" s="499">
        <f t="shared" si="1053"/>
        <v>5.8036195593827378</v>
      </c>
      <c r="L307" s="499">
        <f t="shared" si="1053"/>
        <v>3.7130917822926457</v>
      </c>
      <c r="M307" s="499">
        <f>M264/M205</f>
        <v>7.026984659537332</v>
      </c>
      <c r="N307" s="499">
        <f t="shared" si="1053"/>
        <v>7.1276697017433159</v>
      </c>
      <c r="O307" s="499">
        <f>O264/O205</f>
        <v>4.138583440276034</v>
      </c>
      <c r="P307" s="499">
        <f>P264/P205</f>
        <v>2.5265105870224067</v>
      </c>
      <c r="Q307" s="499"/>
      <c r="R307" s="499">
        <f t="shared" ref="R307:W307" si="1054">R264/R205</f>
        <v>3.790378045893176</v>
      </c>
      <c r="S307" s="499">
        <f t="shared" si="1054"/>
        <v>3.901441939161796</v>
      </c>
      <c r="T307" s="499">
        <f t="shared" si="1054"/>
        <v>3.9393451096588139</v>
      </c>
      <c r="U307" s="499">
        <f t="shared" si="1054"/>
        <v>4.0904978121590299</v>
      </c>
      <c r="V307" s="499">
        <f t="shared" si="1054"/>
        <v>3.9603315484716073</v>
      </c>
      <c r="W307" s="499">
        <f t="shared" si="1054"/>
        <v>4.0147531958665397</v>
      </c>
      <c r="X307" s="499">
        <f t="shared" ref="X307:AC307" si="1055">X264/X205</f>
        <v>4.0355083753706653</v>
      </c>
      <c r="Y307" s="499">
        <f t="shared" si="1055"/>
        <v>3.9371008650889325</v>
      </c>
      <c r="Z307" s="499">
        <f t="shared" si="1055"/>
        <v>3.9100935757885713</v>
      </c>
      <c r="AA307" s="499">
        <f t="shared" si="1055"/>
        <v>4.0981902011855045</v>
      </c>
      <c r="AB307" s="499">
        <f t="shared" si="1055"/>
        <v>4.2284381187950224</v>
      </c>
      <c r="AC307" s="499">
        <f t="shared" si="1055"/>
        <v>3.9427156989547045</v>
      </c>
      <c r="AD307" s="499">
        <f t="shared" ref="AD307:AI307" si="1056">AD264/AD205</f>
        <v>4.3347512527901682</v>
      </c>
      <c r="AE307" s="499">
        <f t="shared" si="1056"/>
        <v>4.3411216351914064</v>
      </c>
      <c r="AF307" s="499">
        <f t="shared" si="1056"/>
        <v>4.3895594488254259</v>
      </c>
      <c r="AG307" s="499">
        <f t="shared" si="1056"/>
        <v>5.2405415276871699</v>
      </c>
      <c r="AH307" s="499">
        <f t="shared" si="1056"/>
        <v>6.1404950469158335</v>
      </c>
      <c r="AI307" s="499">
        <f t="shared" si="1056"/>
        <v>8.5299957155187212</v>
      </c>
      <c r="AJ307" s="499">
        <f t="shared" ref="AJ307:AO307" si="1057">AJ264/AJ205</f>
        <v>8.8387102587039212</v>
      </c>
      <c r="AK307" s="499">
        <f t="shared" si="1057"/>
        <v>5.803619559382736</v>
      </c>
      <c r="AL307" s="499">
        <f t="shared" si="1057"/>
        <v>5.2488356338869568</v>
      </c>
      <c r="AM307" s="499">
        <f t="shared" si="1057"/>
        <v>3.7056218937614123</v>
      </c>
      <c r="AN307" s="499">
        <f t="shared" si="1057"/>
        <v>3.5535437396696619</v>
      </c>
      <c r="AO307" s="499">
        <f t="shared" si="1057"/>
        <v>3.7130917822926461</v>
      </c>
      <c r="AP307" s="499">
        <f t="shared" ref="AP307:AU307" si="1058">AP264/AP205</f>
        <v>4.1205487984868245</v>
      </c>
      <c r="AQ307" s="499">
        <f t="shared" si="1058"/>
        <v>5.0005697784582885</v>
      </c>
      <c r="AR307" s="499">
        <f t="shared" si="1058"/>
        <v>6.2703674598090462</v>
      </c>
      <c r="AS307" s="499">
        <f t="shared" si="1058"/>
        <v>7.0269846595373346</v>
      </c>
      <c r="AT307" s="499">
        <f t="shared" si="1058"/>
        <v>7.6303500248238958</v>
      </c>
      <c r="AU307" s="499">
        <f t="shared" si="1058"/>
        <v>8.302084729427726</v>
      </c>
      <c r="AV307" s="499">
        <f t="shared" ref="AV307:BA307" si="1059">AV264/AV205</f>
        <v>8.265074475525708</v>
      </c>
      <c r="AW307" s="499">
        <f t="shared" si="1059"/>
        <v>7.1276697017433159</v>
      </c>
      <c r="AX307" s="499">
        <f t="shared" si="1059"/>
        <v>6.7258648664752432</v>
      </c>
      <c r="AY307" s="499">
        <f t="shared" si="1059"/>
        <v>5.8610389618241179</v>
      </c>
      <c r="AZ307" s="499">
        <f t="shared" si="1059"/>
        <v>4.8933452160446942</v>
      </c>
      <c r="BA307" s="499">
        <f t="shared" si="1059"/>
        <v>4.138583440276034</v>
      </c>
      <c r="BB307" s="499">
        <f>BB264/BB205</f>
        <v>3.7492922933306065</v>
      </c>
      <c r="BC307" s="499">
        <f>BC264/BC205</f>
        <v>3.2118644090736015</v>
      </c>
      <c r="BD307" s="499">
        <f>BD264/BD205</f>
        <v>3.0569996958886296</v>
      </c>
      <c r="BE307" s="499">
        <f>BE264/BE205</f>
        <v>2.5265105870224063</v>
      </c>
      <c r="BF307" s="499">
        <f>BF264/BF205</f>
        <v>2.4427830778379529</v>
      </c>
      <c r="BG307" s="500"/>
      <c r="BH307" s="499"/>
      <c r="BI307" s="499"/>
      <c r="BJ307" s="499"/>
      <c r="BK307" s="499"/>
      <c r="BL307" s="499">
        <f>BL264/BL205</f>
        <v>7.6627876209138481</v>
      </c>
      <c r="BM307" s="499"/>
      <c r="BN307" s="499">
        <f t="shared" ref="BN307:BS307" si="1060">BN264/BN205</f>
        <v>3.901441939161796</v>
      </c>
      <c r="BO307" s="499">
        <f t="shared" si="1060"/>
        <v>4.0147508237353815</v>
      </c>
      <c r="BP307" s="499">
        <f t="shared" si="1060"/>
        <v>4.0981924290201208</v>
      </c>
      <c r="BQ307" s="499">
        <f t="shared" si="1060"/>
        <v>4.3411216351914064</v>
      </c>
      <c r="BR307" s="499">
        <f t="shared" si="1060"/>
        <v>8.5299957155187212</v>
      </c>
      <c r="BS307" s="499">
        <f t="shared" si="1060"/>
        <v>3.7056218937614132</v>
      </c>
      <c r="BT307" s="499">
        <f>BT264/BT205</f>
        <v>5.0005697784582877</v>
      </c>
      <c r="BU307" s="499">
        <f>BU264/BU205</f>
        <v>8.3020847294277242</v>
      </c>
      <c r="BV307" s="499">
        <f>BV264/BV205</f>
        <v>5.8610389618241179</v>
      </c>
      <c r="BW307" s="499">
        <f>BW264/BW205</f>
        <v>3.2118644090736024</v>
      </c>
      <c r="BX307" s="30"/>
      <c r="BY307" s="30"/>
      <c r="BZ307" s="30"/>
      <c r="CA307" s="30"/>
      <c r="CJ307" s="261"/>
      <c r="CK307" s="261"/>
      <c r="CL307" s="261"/>
    </row>
    <row r="308" spans="1:90" ht="13.5" customHeight="1">
      <c r="B308" s="1" t="s">
        <v>482</v>
      </c>
      <c r="C308" s="30">
        <f t="shared" ref="C308:H308" si="1061">C265/C205</f>
        <v>3.9673197060544854</v>
      </c>
      <c r="D308" s="30">
        <f t="shared" si="1061"/>
        <v>4.115823899380036</v>
      </c>
      <c r="E308" s="30">
        <f t="shared" si="1061"/>
        <v>4.2612467140282657</v>
      </c>
      <c r="F308" s="30">
        <f t="shared" si="1061"/>
        <v>4.1231827004268053</v>
      </c>
      <c r="G308" s="30">
        <f t="shared" si="1061"/>
        <v>4.162545679775322</v>
      </c>
      <c r="H308" s="30">
        <f t="shared" si="1061"/>
        <v>4.2202364883749111</v>
      </c>
      <c r="I308" s="30">
        <f t="shared" ref="I308:N308" si="1062">I265/I205</f>
        <v>4.6302626607952293</v>
      </c>
      <c r="J308" s="30">
        <f t="shared" si="1062"/>
        <v>5.5869727975289658</v>
      </c>
      <c r="K308" s="30">
        <f t="shared" si="1062"/>
        <v>7.5814345561759149</v>
      </c>
      <c r="L308" s="30">
        <f t="shared" si="1062"/>
        <v>4.1160228559118028</v>
      </c>
      <c r="M308" s="30">
        <f>M265/M205</f>
        <v>7.7420935177727337</v>
      </c>
      <c r="N308" s="30">
        <f t="shared" si="1062"/>
        <v>8.5111619437141073</v>
      </c>
      <c r="O308" s="30">
        <f>O265/O205</f>
        <v>5.4467908123513498</v>
      </c>
      <c r="P308" s="30">
        <f>P265/P205</f>
        <v>3.5194941042683761</v>
      </c>
      <c r="Q308" s="30"/>
      <c r="R308" s="30">
        <f t="shared" ref="R308:W308" si="1063">R265/R205</f>
        <v>3.9596558087920153</v>
      </c>
      <c r="S308" s="30">
        <f t="shared" si="1063"/>
        <v>4.0538215666004671</v>
      </c>
      <c r="T308" s="30">
        <f t="shared" si="1063"/>
        <v>4.0749911322908297</v>
      </c>
      <c r="U308" s="30">
        <f t="shared" si="1063"/>
        <v>4.2612466200599215</v>
      </c>
      <c r="V308" s="30">
        <f t="shared" si="1063"/>
        <v>4.1202379881848188</v>
      </c>
      <c r="W308" s="30">
        <f t="shared" si="1063"/>
        <v>4.1584690762993173</v>
      </c>
      <c r="X308" s="30">
        <f t="shared" ref="X308:AC308" si="1064">X265/X205</f>
        <v>4.2059688118645493</v>
      </c>
      <c r="Y308" s="30">
        <f t="shared" si="1064"/>
        <v>4.1231827004268053</v>
      </c>
      <c r="Z308" s="30">
        <f t="shared" si="1064"/>
        <v>4.0834279299996599</v>
      </c>
      <c r="AA308" s="30">
        <f t="shared" si="1064"/>
        <v>4.265078119516196</v>
      </c>
      <c r="AB308" s="30">
        <f t="shared" si="1064"/>
        <v>4.387683038590132</v>
      </c>
      <c r="AC308" s="30">
        <f t="shared" si="1064"/>
        <v>4.2202364883749119</v>
      </c>
      <c r="AD308" s="30">
        <f t="shared" ref="AD308:AI308" si="1065">AD265/AD205</f>
        <v>4.5756121042115989</v>
      </c>
      <c r="AE308" s="30">
        <f t="shared" si="1065"/>
        <v>4.5043827577447075</v>
      </c>
      <c r="AF308" s="30">
        <f t="shared" si="1065"/>
        <v>4.5888425850767653</v>
      </c>
      <c r="AG308" s="30">
        <f t="shared" si="1065"/>
        <v>5.5869727975289667</v>
      </c>
      <c r="AH308" s="30">
        <f t="shared" si="1065"/>
        <v>7.2524430536596851</v>
      </c>
      <c r="AI308" s="30">
        <f t="shared" si="1065"/>
        <v>11.101260950705342</v>
      </c>
      <c r="AJ308" s="30">
        <f t="shared" ref="AJ308:AO308" si="1066">AJ265/AJ205</f>
        <v>11.182429264987412</v>
      </c>
      <c r="AK308" s="30">
        <f t="shared" si="1066"/>
        <v>7.581434556175914</v>
      </c>
      <c r="AL308" s="30">
        <f t="shared" si="1066"/>
        <v>6.5401258508022302</v>
      </c>
      <c r="AM308" s="30">
        <f t="shared" si="1066"/>
        <v>4.4391998709007172</v>
      </c>
      <c r="AN308" s="30">
        <f t="shared" si="1066"/>
        <v>3.9616887057845518</v>
      </c>
      <c r="AO308" s="30">
        <f t="shared" si="1066"/>
        <v>4.1160228559118037</v>
      </c>
      <c r="AP308" s="30">
        <f t="shared" ref="AP308:AU308" si="1067">AP265/AP205</f>
        <v>4.3919662335546112</v>
      </c>
      <c r="AQ308" s="30">
        <f t="shared" si="1067"/>
        <v>5.4487560836980515</v>
      </c>
      <c r="AR308" s="30">
        <f t="shared" si="1067"/>
        <v>6.8961095930681369</v>
      </c>
      <c r="AS308" s="30">
        <f t="shared" si="1067"/>
        <v>7.7420935177727372</v>
      </c>
      <c r="AT308" s="30">
        <f t="shared" si="1067"/>
        <v>8.3044373706790342</v>
      </c>
      <c r="AU308" s="30">
        <f t="shared" si="1067"/>
        <v>8.855900648862205</v>
      </c>
      <c r="AV308" s="30">
        <f t="shared" ref="AV308:BA308" si="1068">AV265/AV205</f>
        <v>9.1714427341179086</v>
      </c>
      <c r="AW308" s="30">
        <f t="shared" si="1068"/>
        <v>8.5111619437141073</v>
      </c>
      <c r="AX308" s="30">
        <f t="shared" si="1068"/>
        <v>7.7894648534375905</v>
      </c>
      <c r="AY308" s="30">
        <f t="shared" si="1068"/>
        <v>6.8303954335923551</v>
      </c>
      <c r="AZ308" s="30">
        <f t="shared" si="1068"/>
        <v>6.1015380944992899</v>
      </c>
      <c r="BA308" s="30">
        <f t="shared" si="1068"/>
        <v>5.4467908123513498</v>
      </c>
      <c r="BB308" s="30">
        <f>BB265/BB205</f>
        <v>4.5419380308753095</v>
      </c>
      <c r="BC308" s="30">
        <f>BC265/BC205</f>
        <v>4.2306551071583902</v>
      </c>
      <c r="BD308" s="30">
        <f>BD265/BD205</f>
        <v>3.9485037074674469</v>
      </c>
      <c r="BE308" s="30">
        <f>BE265/BE205</f>
        <v>3.5194941042683756</v>
      </c>
      <c r="BF308" s="30">
        <f>BF265/BF205</f>
        <v>3.5762267319704062</v>
      </c>
      <c r="BG308" s="142"/>
      <c r="BH308" s="30"/>
      <c r="BI308" s="30"/>
      <c r="BJ308" s="30"/>
      <c r="BK308" s="30"/>
      <c r="BL308" s="30">
        <f>BL265/BL205</f>
        <v>8.1820461018763062</v>
      </c>
      <c r="BM308" s="30"/>
      <c r="BN308" s="30">
        <f t="shared" ref="BN308:BS308" si="1069">BN265/BN205</f>
        <v>4.0538215666004671</v>
      </c>
      <c r="BO308" s="30">
        <f t="shared" si="1069"/>
        <v>4.1584666192531214</v>
      </c>
      <c r="BP308" s="30">
        <f t="shared" si="1069"/>
        <v>4.2650804380734639</v>
      </c>
      <c r="BQ308" s="30">
        <f t="shared" si="1069"/>
        <v>4.5043827577447075</v>
      </c>
      <c r="BR308" s="30">
        <f t="shared" si="1069"/>
        <v>11.101260950705342</v>
      </c>
      <c r="BS308" s="30">
        <f t="shared" si="1069"/>
        <v>4.4391998709007181</v>
      </c>
      <c r="BT308" s="30">
        <f>BT265/BT205</f>
        <v>5.4487560836980506</v>
      </c>
      <c r="BU308" s="30">
        <f>BU265/BU205</f>
        <v>8.8559006488622014</v>
      </c>
      <c r="BV308" s="30">
        <f>BV265/BV205</f>
        <v>6.8303954335923551</v>
      </c>
      <c r="BW308" s="30">
        <f>BW265/BW205</f>
        <v>4.2306551071583902</v>
      </c>
      <c r="BX308" s="30"/>
      <c r="BY308" s="30"/>
      <c r="BZ308" s="30"/>
      <c r="CA308" s="30"/>
      <c r="CJ308" s="261"/>
      <c r="CK308" s="261"/>
      <c r="CL308" s="261"/>
    </row>
    <row r="309" spans="1:90" ht="13.5" customHeight="1"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142"/>
      <c r="BH309" s="30"/>
      <c r="BI309" s="30"/>
      <c r="BJ309" s="30"/>
      <c r="BK309" s="30"/>
      <c r="BL309" s="30"/>
      <c r="BM309" s="30"/>
      <c r="BQ309" s="30"/>
      <c r="BR309" s="30"/>
      <c r="BS309" s="30"/>
      <c r="BT309" s="30"/>
      <c r="BU309" s="30"/>
      <c r="BV309" s="30"/>
      <c r="BW309" s="30"/>
      <c r="CJ309" s="261"/>
      <c r="CK309" s="261"/>
      <c r="CL309" s="261"/>
    </row>
    <row r="310" spans="1:90" s="5" customFormat="1" ht="13.5" customHeight="1">
      <c r="B310" s="5" t="s">
        <v>483</v>
      </c>
      <c r="C310" s="499">
        <f t="shared" ref="C310:H310" si="1070">+(C203-C209)/C207</f>
        <v>4.0855817403639723</v>
      </c>
      <c r="D310" s="499">
        <f t="shared" si="1070"/>
        <v>3.4701225839141698</v>
      </c>
      <c r="E310" s="499">
        <f t="shared" si="1070"/>
        <v>4.3149985461872964</v>
      </c>
      <c r="F310" s="499">
        <f t="shared" si="1070"/>
        <v>3.3411514027983857</v>
      </c>
      <c r="G310" s="499">
        <f t="shared" si="1070"/>
        <v>3.3411514027983804</v>
      </c>
      <c r="H310" s="499">
        <f t="shared" si="1070"/>
        <v>3.7761953898979521</v>
      </c>
      <c r="I310" s="499">
        <f t="shared" ref="I310:O310" si="1071">+(I203-I209)/I207</f>
        <v>2.585297360432663</v>
      </c>
      <c r="J310" s="499">
        <f t="shared" si="1071"/>
        <v>1.756201474350702</v>
      </c>
      <c r="K310" s="499">
        <f t="shared" si="1071"/>
        <v>0.93655601171104985</v>
      </c>
      <c r="L310" s="499">
        <f t="shared" si="1071"/>
        <v>5.5002842328502428</v>
      </c>
      <c r="M310" s="499">
        <f t="shared" si="1071"/>
        <v>1.8053368100449032</v>
      </c>
      <c r="N310" s="499">
        <f t="shared" si="1071"/>
        <v>2.3729313549218447</v>
      </c>
      <c r="O310" s="499">
        <f t="shared" si="1071"/>
        <v>4.7042600565428989</v>
      </c>
      <c r="P310" s="499">
        <f>+(P203-P209)/P207</f>
        <v>13.147870879251743</v>
      </c>
      <c r="Q310" s="499"/>
      <c r="R310" s="499">
        <f t="shared" ref="R310:W310" si="1072">+(R203-R209)/R207</f>
        <v>3.1298897623352135</v>
      </c>
      <c r="S310" s="499">
        <f t="shared" si="1072"/>
        <v>2.9556387125283901</v>
      </c>
      <c r="T310" s="499">
        <f t="shared" si="1072"/>
        <v>3.8057173390776464</v>
      </c>
      <c r="U310" s="499">
        <f t="shared" si="1072"/>
        <v>4.3149985461872982</v>
      </c>
      <c r="V310" s="499">
        <f t="shared" si="1072"/>
        <v>4.3149758359835344</v>
      </c>
      <c r="W310" s="499">
        <f t="shared" si="1072"/>
        <v>4.741454359584373</v>
      </c>
      <c r="X310" s="499">
        <f t="shared" ref="X310:AC310" si="1073">+(X203-X209)/X207</f>
        <v>3.5402212952462908</v>
      </c>
      <c r="Y310" s="499">
        <f t="shared" si="1073"/>
        <v>3.3411514027983857</v>
      </c>
      <c r="Z310" s="499">
        <f t="shared" si="1073"/>
        <v>3.4839726702383245</v>
      </c>
      <c r="AA310" s="499">
        <f t="shared" si="1073"/>
        <v>2.8193259173887686</v>
      </c>
      <c r="AB310" s="499">
        <f t="shared" si="1073"/>
        <v>3.5790866860839978</v>
      </c>
      <c r="AC310" s="499">
        <f t="shared" si="1073"/>
        <v>3.7761953898979561</v>
      </c>
      <c r="AD310" s="499">
        <f t="shared" ref="AD310:AI310" si="1074">+(AD203-AD209)/AD207</f>
        <v>3.6875463994193662</v>
      </c>
      <c r="AE310" s="499">
        <f t="shared" si="1074"/>
        <v>4.2308119369406603</v>
      </c>
      <c r="AF310" s="499">
        <f t="shared" si="1074"/>
        <v>3.6399874627860718</v>
      </c>
      <c r="AG310" s="499">
        <f t="shared" si="1074"/>
        <v>1.756201474350702</v>
      </c>
      <c r="AH310" s="499">
        <f t="shared" si="1074"/>
        <v>1.2338567856153595</v>
      </c>
      <c r="AI310" s="499">
        <f t="shared" si="1074"/>
        <v>-0.20015640571319976</v>
      </c>
      <c r="AJ310" s="499">
        <f t="shared" ref="AJ310:AO310" si="1075">+(AJ203-AJ209)/AJ207</f>
        <v>5.1254612742107752E-3</v>
      </c>
      <c r="AK310" s="499">
        <f t="shared" si="1075"/>
        <v>0.93655601171105241</v>
      </c>
      <c r="AL310" s="499">
        <f t="shared" si="1075"/>
        <v>1.8699342102928254</v>
      </c>
      <c r="AM310" s="499">
        <f t="shared" si="1075"/>
        <v>3.9936455585907997</v>
      </c>
      <c r="AN310" s="499">
        <f t="shared" si="1075"/>
        <v>4.2670129765750859</v>
      </c>
      <c r="AO310" s="499">
        <f t="shared" si="1075"/>
        <v>5.500284232850241</v>
      </c>
      <c r="AP310" s="499">
        <f t="shared" ref="AP310:AU310" si="1076">+(AP203-AP209)/AP207</f>
        <v>5.4524539445907987</v>
      </c>
      <c r="AQ310" s="499">
        <f t="shared" si="1076"/>
        <v>5.1705234443789472</v>
      </c>
      <c r="AR310" s="499">
        <f t="shared" si="1076"/>
        <v>4.433105023146001</v>
      </c>
      <c r="AS310" s="499">
        <f t="shared" si="1076"/>
        <v>1.8053368100448981</v>
      </c>
      <c r="AT310" s="499">
        <f t="shared" si="1076"/>
        <v>1.1663126922700555</v>
      </c>
      <c r="AU310" s="499">
        <f t="shared" si="1076"/>
        <v>1.3014996881774763</v>
      </c>
      <c r="AV310" s="499">
        <f t="shared" ref="AV310:BA310" si="1077">+(AV203-AV209)/AV207</f>
        <v>1.3399912725911172</v>
      </c>
      <c r="AW310" s="499">
        <f t="shared" si="1077"/>
        <v>2.3729313549218496</v>
      </c>
      <c r="AX310" s="499">
        <f t="shared" si="1077"/>
        <v>2.8811449510287157</v>
      </c>
      <c r="AY310" s="499">
        <f t="shared" si="1077"/>
        <v>3.2203858095842408</v>
      </c>
      <c r="AZ310" s="499">
        <f t="shared" si="1077"/>
        <v>3.6468770339759145</v>
      </c>
      <c r="BA310" s="499">
        <f t="shared" si="1077"/>
        <v>4.7042600565429016</v>
      </c>
      <c r="BB310" s="499">
        <f>+(BB203-BB209)/BB207</f>
        <v>5.4120755718905036</v>
      </c>
      <c r="BC310" s="499">
        <f>+(BC203-BC209)/BC207</f>
        <v>7.3877851037648083</v>
      </c>
      <c r="BD310" s="499">
        <f>+(BD203-BD209)/BD207</f>
        <v>8.201415442573019</v>
      </c>
      <c r="BE310" s="499">
        <f>+(BE203-BE209)/BE207</f>
        <v>13.147870879251743</v>
      </c>
      <c r="BF310" s="499">
        <f>+(BF203-BF209)/BF207</f>
        <v>12.840998847106466</v>
      </c>
      <c r="BG310" s="500"/>
      <c r="BH310" s="499"/>
      <c r="BI310" s="499"/>
      <c r="BJ310" s="499"/>
      <c r="BK310" s="499"/>
      <c r="BL310" s="499">
        <f>+(BL203-BL209)/BL207</f>
        <v>4.2410565647781118</v>
      </c>
      <c r="BM310" s="499"/>
      <c r="BN310" s="499">
        <f t="shared" ref="BN310:BS310" si="1078">+(BN203-BN209)/BN207</f>
        <v>2.9556387125283901</v>
      </c>
      <c r="BO310" s="499">
        <f t="shared" si="1078"/>
        <v>4.741454359584373</v>
      </c>
      <c r="BP310" s="499">
        <f t="shared" si="1078"/>
        <v>2.8193259173887695</v>
      </c>
      <c r="BQ310" s="499">
        <f t="shared" si="1078"/>
        <v>4.2308119369406603</v>
      </c>
      <c r="BR310" s="499">
        <f t="shared" si="1078"/>
        <v>-0.20015640571320012</v>
      </c>
      <c r="BS310" s="499">
        <f t="shared" si="1078"/>
        <v>3.9936455585907962</v>
      </c>
      <c r="BT310" s="499">
        <f>+(BT203-BT209)/BT207</f>
        <v>5.1705234443789507</v>
      </c>
      <c r="BU310" s="499">
        <f>+(BU203-BU209)/BU207</f>
        <v>1.3014996881774801</v>
      </c>
      <c r="BV310" s="499">
        <f>+(BV203-BV209)/BV207</f>
        <v>3.2203858095842359</v>
      </c>
      <c r="BW310" s="499">
        <f>+(BW203-BW209)/BW207</f>
        <v>7.387785103764803</v>
      </c>
      <c r="BX310" s="221"/>
      <c r="BY310" s="221"/>
      <c r="BZ310" s="221"/>
      <c r="CA310" s="221"/>
      <c r="CJ310" s="261"/>
      <c r="CK310" s="261"/>
      <c r="CL310" s="261"/>
    </row>
    <row r="311" spans="1:90" ht="13.5" customHeight="1">
      <c r="B311" s="1" t="s">
        <v>484</v>
      </c>
      <c r="C311" s="30">
        <f t="shared" ref="C311:H311" si="1079">+C203/C207</f>
        <v>10.246400867294062</v>
      </c>
      <c r="D311" s="30">
        <f t="shared" si="1079"/>
        <v>6.6053550290477103</v>
      </c>
      <c r="E311" s="30">
        <f t="shared" si="1079"/>
        <v>7.0169748066581077</v>
      </c>
      <c r="F311" s="30">
        <f t="shared" si="1079"/>
        <v>6.5389988493547371</v>
      </c>
      <c r="G311" s="30">
        <f t="shared" si="1079"/>
        <v>6.5389988493547309</v>
      </c>
      <c r="H311" s="30">
        <f t="shared" si="1079"/>
        <v>6.5313707483186869</v>
      </c>
      <c r="I311" s="30">
        <f t="shared" ref="I311:N311" si="1080">+I203/I207</f>
        <v>5.3845114478486247</v>
      </c>
      <c r="J311" s="30">
        <f t="shared" si="1080"/>
        <v>5.4580924469487799</v>
      </c>
      <c r="K311" s="30">
        <f t="shared" si="1080"/>
        <v>3.09559718207568</v>
      </c>
      <c r="L311" s="30">
        <f t="shared" si="1080"/>
        <v>7.9144499570083884</v>
      </c>
      <c r="M311" s="30">
        <f>+M203/M207</f>
        <v>3.9416764489888072</v>
      </c>
      <c r="N311" s="30">
        <f t="shared" si="1080"/>
        <v>3.9703435209149394</v>
      </c>
      <c r="O311" s="30">
        <f>+O203/O207</f>
        <v>5.7220913719957558</v>
      </c>
      <c r="P311" s="30">
        <f>+P203/P207</f>
        <v>14.666574308731654</v>
      </c>
      <c r="Q311" s="30"/>
      <c r="R311" s="30">
        <f t="shared" ref="R311:W311" si="1081">+R203/R207</f>
        <v>5.9234267843454127</v>
      </c>
      <c r="S311" s="30">
        <f t="shared" si="1081"/>
        <v>5.9250293582051343</v>
      </c>
      <c r="T311" s="30">
        <f t="shared" si="1081"/>
        <v>6.9830821561912879</v>
      </c>
      <c r="U311" s="30">
        <f t="shared" si="1081"/>
        <v>7.0169748066581095</v>
      </c>
      <c r="V311" s="30">
        <f t="shared" si="1081"/>
        <v>7.181544113768048</v>
      </c>
      <c r="W311" s="30">
        <f t="shared" si="1081"/>
        <v>8.1069292238477502</v>
      </c>
      <c r="X311" s="30">
        <f t="shared" ref="X311:AC311" si="1082">+X203/X207</f>
        <v>6.7809226361583308</v>
      </c>
      <c r="Y311" s="30">
        <f t="shared" si="1082"/>
        <v>6.5389988493547371</v>
      </c>
      <c r="Z311" s="30">
        <f t="shared" si="1082"/>
        <v>6.6751059921239921</v>
      </c>
      <c r="AA311" s="30">
        <f t="shared" si="1082"/>
        <v>5.297245648193643</v>
      </c>
      <c r="AB311" s="30">
        <f t="shared" si="1082"/>
        <v>6.4263581561372503</v>
      </c>
      <c r="AC311" s="30">
        <f t="shared" si="1082"/>
        <v>6.5313707483186905</v>
      </c>
      <c r="AD311" s="30">
        <f t="shared" ref="AD311:AI311" si="1083">+AD203/AD207</f>
        <v>6.431988409913151</v>
      </c>
      <c r="AE311" s="30">
        <f t="shared" si="1083"/>
        <v>7.7359175809656753</v>
      </c>
      <c r="AF311" s="30">
        <f t="shared" si="1083"/>
        <v>6.8920094542593313</v>
      </c>
      <c r="AG311" s="30">
        <f t="shared" si="1083"/>
        <v>5.4580924469487799</v>
      </c>
      <c r="AH311" s="30">
        <f t="shared" si="1083"/>
        <v>5.1438285216663635</v>
      </c>
      <c r="AI311" s="30">
        <f t="shared" si="1083"/>
        <v>2.9739581914252438</v>
      </c>
      <c r="AJ311" s="30">
        <f t="shared" ref="AJ311:AO311" si="1084">+AJ203/AJ207</f>
        <v>2.6272517846480845</v>
      </c>
      <c r="AK311" s="30">
        <f t="shared" si="1084"/>
        <v>3.0955971820756827</v>
      </c>
      <c r="AL311" s="30">
        <f t="shared" si="1084"/>
        <v>3.7821301089875807</v>
      </c>
      <c r="AM311" s="30">
        <f t="shared" si="1084"/>
        <v>5.731582347799649</v>
      </c>
      <c r="AN311" s="30">
        <f t="shared" si="1084"/>
        <v>5.9662422182668751</v>
      </c>
      <c r="AO311" s="30">
        <f t="shared" si="1084"/>
        <v>7.9144499570083866</v>
      </c>
      <c r="AP311" s="30">
        <f t="shared" ref="AP311:AU311" si="1085">+AP203/AP207</f>
        <v>7.8724291405498912</v>
      </c>
      <c r="AQ311" s="30">
        <f t="shared" si="1085"/>
        <v>7.802992378494765</v>
      </c>
      <c r="AR311" s="30">
        <f t="shared" si="1085"/>
        <v>7.3053851891289616</v>
      </c>
      <c r="AS311" s="30">
        <f t="shared" si="1085"/>
        <v>3.9416764489888023</v>
      </c>
      <c r="AT311" s="30">
        <f t="shared" si="1085"/>
        <v>3.0478021401697188</v>
      </c>
      <c r="AU311" s="30">
        <f t="shared" si="1085"/>
        <v>3.0751495843557408</v>
      </c>
      <c r="AV311" s="30">
        <f t="shared" ref="AV311:BA311" si="1086">+AV203/AV207</f>
        <v>3.1010267025440004</v>
      </c>
      <c r="AW311" s="30">
        <f t="shared" si="1086"/>
        <v>3.9703435209149438</v>
      </c>
      <c r="AX311" s="30">
        <f t="shared" si="1086"/>
        <v>4.409100927663804</v>
      </c>
      <c r="AY311" s="30">
        <f t="shared" si="1086"/>
        <v>4.6239484903048442</v>
      </c>
      <c r="AZ311" s="30">
        <f t="shared" si="1086"/>
        <v>4.8097019097585143</v>
      </c>
      <c r="BA311" s="30">
        <f t="shared" si="1086"/>
        <v>5.7220913719957576</v>
      </c>
      <c r="BB311" s="30">
        <f>+BB203/BB207</f>
        <v>6.3248202393294726</v>
      </c>
      <c r="BC311" s="30">
        <f>+BC203/BC207</f>
        <v>8.2840112770303076</v>
      </c>
      <c r="BD311" s="30">
        <f>+BD203/BD207</f>
        <v>9.2605789150145039</v>
      </c>
      <c r="BE311" s="30">
        <f>+BE203/BE207</f>
        <v>14.666574308731654</v>
      </c>
      <c r="BF311" s="30">
        <f>+BF203/BF207</f>
        <v>14.528799449708719</v>
      </c>
      <c r="BG311" s="142"/>
      <c r="BH311" s="30"/>
      <c r="BI311" s="30"/>
      <c r="BJ311" s="30"/>
      <c r="BK311" s="30"/>
      <c r="BL311" s="30">
        <f>+BL203/BL207</f>
        <v>7.8097671052947124</v>
      </c>
      <c r="BM311" s="30"/>
      <c r="BN311" s="30">
        <f t="shared" ref="BN311:BS311" si="1087">+BN203/BN207</f>
        <v>5.9250293582051343</v>
      </c>
      <c r="BO311" s="30">
        <f t="shared" si="1087"/>
        <v>8.1069292238477502</v>
      </c>
      <c r="BP311" s="30">
        <f t="shared" si="1087"/>
        <v>5.2972456481936439</v>
      </c>
      <c r="BQ311" s="30">
        <f t="shared" si="1087"/>
        <v>7.7359175809656753</v>
      </c>
      <c r="BR311" s="30">
        <f t="shared" si="1087"/>
        <v>2.9739581914252438</v>
      </c>
      <c r="BS311" s="30">
        <f t="shared" si="1087"/>
        <v>5.7315823477996464</v>
      </c>
      <c r="BT311" s="30">
        <f>+BT203/BT207</f>
        <v>7.8029923784947686</v>
      </c>
      <c r="BU311" s="30">
        <f>+BU203/BU207</f>
        <v>3.0751495843557448</v>
      </c>
      <c r="BV311" s="30">
        <f>+BV203/BV207</f>
        <v>4.6239484903048398</v>
      </c>
      <c r="BW311" s="30">
        <f>+BW203/BW207</f>
        <v>8.2840112770303023</v>
      </c>
      <c r="BX311" s="30"/>
      <c r="BY311" s="30"/>
      <c r="BZ311" s="30"/>
      <c r="CA311" s="30"/>
      <c r="CJ311" s="261"/>
      <c r="CK311" s="261"/>
      <c r="CL311" s="261"/>
    </row>
    <row r="312" spans="1:90" ht="13.5" customHeight="1"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U312" s="9"/>
      <c r="V312" s="9"/>
      <c r="W312" s="9"/>
      <c r="Y312" s="9"/>
      <c r="Z312" s="9"/>
      <c r="AA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142"/>
      <c r="BH312" s="9"/>
      <c r="BI312" s="9"/>
      <c r="BJ312" s="9"/>
      <c r="BK312" s="9"/>
      <c r="BL312" s="9"/>
      <c r="BM312" s="9"/>
      <c r="CJ312" s="261"/>
      <c r="CK312" s="261"/>
      <c r="CL312" s="261"/>
    </row>
    <row r="313" spans="1:90" ht="13.5" customHeight="1">
      <c r="A313" s="28"/>
      <c r="B313" s="17" t="s">
        <v>485</v>
      </c>
      <c r="C313" s="46">
        <v>41975</v>
      </c>
      <c r="D313" s="46">
        <v>42341</v>
      </c>
      <c r="E313" s="46">
        <v>42708</v>
      </c>
      <c r="F313" s="253">
        <f t="shared" ref="F313:K313" si="1088">F3</f>
        <v>43073</v>
      </c>
      <c r="G313" s="253">
        <f t="shared" si="1088"/>
        <v>43073</v>
      </c>
      <c r="H313" s="253">
        <f t="shared" si="1088"/>
        <v>43438</v>
      </c>
      <c r="I313" s="253">
        <f t="shared" si="1088"/>
        <v>43438</v>
      </c>
      <c r="J313" s="253">
        <f t="shared" si="1088"/>
        <v>43803</v>
      </c>
      <c r="K313" s="253">
        <f t="shared" si="1088"/>
        <v>44169</v>
      </c>
      <c r="L313" s="253">
        <f>L3</f>
        <v>44534</v>
      </c>
      <c r="M313" s="253">
        <f>M3</f>
        <v>44899</v>
      </c>
      <c r="N313" s="253">
        <f>N3</f>
        <v>45264</v>
      </c>
      <c r="O313" s="253">
        <f>O3</f>
        <v>45630</v>
      </c>
      <c r="P313" s="253">
        <f>P3</f>
        <v>45995</v>
      </c>
      <c r="Q313" s="329"/>
      <c r="R313" s="46">
        <v>42437</v>
      </c>
      <c r="S313" s="46">
        <v>42527</v>
      </c>
      <c r="T313" s="46">
        <v>42622</v>
      </c>
      <c r="U313" s="46">
        <v>42714</v>
      </c>
      <c r="V313" s="46">
        <v>42801</v>
      </c>
      <c r="W313" s="46">
        <v>42892</v>
      </c>
      <c r="X313" s="46">
        <v>42987</v>
      </c>
      <c r="Y313" s="46">
        <v>42714</v>
      </c>
      <c r="Z313" s="46">
        <v>42801</v>
      </c>
      <c r="AA313" s="46">
        <v>42892</v>
      </c>
      <c r="AB313" s="46">
        <f t="shared" ref="AB313:AG313" si="1089">AB3</f>
        <v>43352</v>
      </c>
      <c r="AC313" s="46">
        <f t="shared" si="1089"/>
        <v>43444</v>
      </c>
      <c r="AD313" s="253">
        <f t="shared" si="1089"/>
        <v>43531</v>
      </c>
      <c r="AE313" s="253">
        <f t="shared" si="1089"/>
        <v>43622</v>
      </c>
      <c r="AF313" s="253">
        <f t="shared" si="1089"/>
        <v>43738</v>
      </c>
      <c r="AG313" s="120">
        <f t="shared" si="1089"/>
        <v>43809</v>
      </c>
      <c r="AH313" s="253">
        <f t="shared" ref="AH313:AM313" si="1090">AH3</f>
        <v>43897</v>
      </c>
      <c r="AI313" s="253">
        <f t="shared" si="1090"/>
        <v>43988</v>
      </c>
      <c r="AJ313" s="253">
        <f t="shared" si="1090"/>
        <v>44104</v>
      </c>
      <c r="AK313" s="120">
        <f t="shared" si="1090"/>
        <v>44175</v>
      </c>
      <c r="AL313" s="253">
        <f t="shared" si="1090"/>
        <v>44262</v>
      </c>
      <c r="AM313" s="253">
        <f t="shared" si="1090"/>
        <v>44348</v>
      </c>
      <c r="AN313" s="253">
        <f t="shared" ref="AN313:AS313" si="1091">AN3</f>
        <v>44469</v>
      </c>
      <c r="AO313" s="253">
        <f t="shared" si="1091"/>
        <v>44540</v>
      </c>
      <c r="AP313" s="253">
        <f t="shared" si="1091"/>
        <v>44651</v>
      </c>
      <c r="AQ313" s="253">
        <f t="shared" si="1091"/>
        <v>44713</v>
      </c>
      <c r="AR313" s="253">
        <f t="shared" si="1091"/>
        <v>44834</v>
      </c>
      <c r="AS313" s="253">
        <f t="shared" si="1091"/>
        <v>44905</v>
      </c>
      <c r="AT313" s="253">
        <f t="shared" ref="AT313:AY313" si="1092">AT3</f>
        <v>45016</v>
      </c>
      <c r="AU313" s="253">
        <f t="shared" si="1092"/>
        <v>45078</v>
      </c>
      <c r="AV313" s="253">
        <f t="shared" si="1092"/>
        <v>45199</v>
      </c>
      <c r="AW313" s="253">
        <f t="shared" si="1092"/>
        <v>45270</v>
      </c>
      <c r="AX313" s="253">
        <f t="shared" si="1092"/>
        <v>45382</v>
      </c>
      <c r="AY313" s="253">
        <f t="shared" si="1092"/>
        <v>45444</v>
      </c>
      <c r="AZ313" s="253">
        <f t="shared" ref="AZ313:BE313" si="1093">AZ3</f>
        <v>45565</v>
      </c>
      <c r="BA313" s="253">
        <f t="shared" si="1093"/>
        <v>45636</v>
      </c>
      <c r="BB313" s="253">
        <f t="shared" si="1093"/>
        <v>45747</v>
      </c>
      <c r="BC313" s="253">
        <f t="shared" si="1093"/>
        <v>45809</v>
      </c>
      <c r="BD313" s="253">
        <f t="shared" si="1093"/>
        <v>45930</v>
      </c>
      <c r="BE313" s="253">
        <f t="shared" si="1093"/>
        <v>46001</v>
      </c>
      <c r="BF313" s="253">
        <f>BF3</f>
        <v>46112</v>
      </c>
      <c r="BG313" s="142"/>
      <c r="BH313" s="46"/>
      <c r="BI313" s="46"/>
      <c r="BJ313" s="46"/>
      <c r="BK313" s="46"/>
      <c r="BL313" s="253">
        <f>BL3</f>
        <v>43531</v>
      </c>
      <c r="BM313" s="329"/>
      <c r="BN313" s="46">
        <v>42530</v>
      </c>
      <c r="BO313" s="46">
        <v>42896</v>
      </c>
      <c r="BP313" s="46">
        <f t="shared" ref="BP313:BU313" si="1094">BP3</f>
        <v>43261</v>
      </c>
      <c r="BQ313" s="253">
        <f t="shared" si="1094"/>
        <v>43646</v>
      </c>
      <c r="BR313" s="253">
        <f t="shared" si="1094"/>
        <v>44012</v>
      </c>
      <c r="BS313" s="253">
        <f t="shared" si="1094"/>
        <v>44377</v>
      </c>
      <c r="BT313" s="253">
        <f t="shared" si="1094"/>
        <v>44742</v>
      </c>
      <c r="BU313" s="253">
        <f t="shared" si="1094"/>
        <v>45107</v>
      </c>
      <c r="BV313" s="253">
        <f>BV3</f>
        <v>45473</v>
      </c>
      <c r="BW313" s="253">
        <f>BW3</f>
        <v>45838</v>
      </c>
      <c r="BX313" s="62"/>
      <c r="BY313" s="62"/>
      <c r="BZ313" s="62"/>
      <c r="CA313" s="62"/>
      <c r="CJ313" s="261"/>
      <c r="CK313" s="261"/>
      <c r="CL313" s="261"/>
    </row>
    <row r="314" spans="1:90" ht="13.5" customHeight="1">
      <c r="B314" s="5"/>
      <c r="BG314" s="142"/>
      <c r="BN314" s="240"/>
      <c r="CJ314" s="6"/>
      <c r="CK314" s="6"/>
      <c r="CL314" s="6"/>
    </row>
    <row r="315" spans="1:90" s="5" customFormat="1" ht="13.5" customHeight="1">
      <c r="B315" s="5" t="s">
        <v>477</v>
      </c>
      <c r="C315" s="499">
        <f t="shared" ref="C315:H315" si="1095">C282/C223</f>
        <v>2.6621232928034595</v>
      </c>
      <c r="D315" s="499">
        <f t="shared" si="1095"/>
        <v>2.8319622177892851</v>
      </c>
      <c r="E315" s="499">
        <f t="shared" si="1095"/>
        <v>3.0671624169222071</v>
      </c>
      <c r="F315" s="499">
        <f t="shared" si="1095"/>
        <v>2.9803423572440608</v>
      </c>
      <c r="G315" s="499">
        <f t="shared" si="1095"/>
        <v>2.9744569527821487</v>
      </c>
      <c r="H315" s="499">
        <f t="shared" si="1095"/>
        <v>2.8689008074928699</v>
      </c>
      <c r="I315" s="499">
        <f t="shared" ref="I315:N315" si="1096">I282/I223</f>
        <v>2.8752545985091125</v>
      </c>
      <c r="J315" s="499">
        <f t="shared" si="1096"/>
        <v>3.0350055627790589</v>
      </c>
      <c r="K315" s="499">
        <f t="shared" si="1096"/>
        <v>3.3243799578733908</v>
      </c>
      <c r="L315" s="499">
        <f t="shared" si="1096"/>
        <v>2.2406499227387839</v>
      </c>
      <c r="M315" s="499">
        <f>M282/M223</f>
        <v>4.4822535829811851</v>
      </c>
      <c r="N315" s="499">
        <f t="shared" si="1096"/>
        <v>4.7372240315665568</v>
      </c>
      <c r="O315" s="499">
        <f>O282/O223</f>
        <v>1.8471817238006001</v>
      </c>
      <c r="P315" s="499">
        <f>P282/P223</f>
        <v>0.83836534353272274</v>
      </c>
      <c r="Q315" s="499"/>
      <c r="R315" s="499">
        <f t="shared" ref="R315:W315" si="1097">R282/R223</f>
        <v>2.7109234373035394</v>
      </c>
      <c r="S315" s="499">
        <f t="shared" si="1097"/>
        <v>2.8716684863310666</v>
      </c>
      <c r="T315" s="499">
        <f t="shared" si="1097"/>
        <v>2.9246709465305414</v>
      </c>
      <c r="U315" s="499">
        <f t="shared" si="1097"/>
        <v>3.0671624169222071</v>
      </c>
      <c r="V315" s="499">
        <f t="shared" si="1097"/>
        <v>2.9980134961363474</v>
      </c>
      <c r="W315" s="499">
        <f t="shared" si="1097"/>
        <v>3.0465015716307704</v>
      </c>
      <c r="X315" s="499">
        <f t="shared" ref="X315:AC315" si="1098">X282/X223</f>
        <v>3.0447677732231395</v>
      </c>
      <c r="Y315" s="499">
        <f t="shared" si="1098"/>
        <v>2.9803423572440608</v>
      </c>
      <c r="Z315" s="499">
        <f t="shared" si="1098"/>
        <v>2.9783548287840054</v>
      </c>
      <c r="AA315" s="499">
        <f t="shared" si="1098"/>
        <v>3.1558683980450213</v>
      </c>
      <c r="AB315" s="499">
        <f t="shared" si="1098"/>
        <v>3.2136683376635538</v>
      </c>
      <c r="AC315" s="499">
        <f t="shared" si="1098"/>
        <v>2.8689008074928704</v>
      </c>
      <c r="AD315" s="499">
        <f t="shared" ref="AD315:AI315" si="1099">AD282/AD223</f>
        <v>2.8311773697679179</v>
      </c>
      <c r="AE315" s="499">
        <f t="shared" si="1099"/>
        <v>2.9247198787435544</v>
      </c>
      <c r="AF315" s="499">
        <f t="shared" si="1099"/>
        <v>3.0609405524183853</v>
      </c>
      <c r="AG315" s="499">
        <f t="shared" si="1099"/>
        <v>3.0350055627790589</v>
      </c>
      <c r="AH315" s="499">
        <f t="shared" si="1099"/>
        <v>3.1791884211457764</v>
      </c>
      <c r="AI315" s="499">
        <f t="shared" si="1099"/>
        <v>4.7857965931069906</v>
      </c>
      <c r="AJ315" s="499">
        <f t="shared" ref="AJ315:AO315" si="1100">AJ282/AJ223</f>
        <v>5.0850649855534913</v>
      </c>
      <c r="AK315" s="499">
        <f t="shared" si="1100"/>
        <v>3.3243799578733908</v>
      </c>
      <c r="AL315" s="499">
        <f t="shared" si="1100"/>
        <v>3.0337633697895172</v>
      </c>
      <c r="AM315" s="499">
        <f t="shared" si="1100"/>
        <v>1.8087126748890341</v>
      </c>
      <c r="AN315" s="499">
        <f t="shared" si="1100"/>
        <v>2.2608552135608129</v>
      </c>
      <c r="AO315" s="499">
        <f t="shared" si="1100"/>
        <v>2.2227369937307326</v>
      </c>
      <c r="AP315" s="499">
        <f t="shared" ref="AP315:AU315" si="1101">AP282/AP223</f>
        <v>2.3771344169128161</v>
      </c>
      <c r="AQ315" s="499">
        <f t="shared" si="1101"/>
        <v>3.1543663429897308</v>
      </c>
      <c r="AR315" s="499">
        <f t="shared" si="1101"/>
        <v>3.8575315711795928</v>
      </c>
      <c r="AS315" s="499">
        <f t="shared" si="1101"/>
        <v>4.4822535829811851</v>
      </c>
      <c r="AT315" s="499">
        <f t="shared" si="1101"/>
        <v>5.3665874243139555</v>
      </c>
      <c r="AU315" s="499">
        <f t="shared" si="1101"/>
        <v>5.9784705058752898</v>
      </c>
      <c r="AV315" s="499">
        <f t="shared" ref="AV315:BA315" si="1102">AV282/AV223</f>
        <v>5.6132269061012163</v>
      </c>
      <c r="AW315" s="499">
        <f t="shared" si="1102"/>
        <v>4.7372240315665559</v>
      </c>
      <c r="AX315" s="499">
        <f t="shared" si="1102"/>
        <v>4.1913912356520608</v>
      </c>
      <c r="AY315" s="499">
        <f t="shared" si="1102"/>
        <v>3.2157928101130784</v>
      </c>
      <c r="AZ315" s="499">
        <f t="shared" si="1102"/>
        <v>2.4804952102182014</v>
      </c>
      <c r="BA315" s="499">
        <f t="shared" si="1102"/>
        <v>1.8471817238006005</v>
      </c>
      <c r="BB315" s="499">
        <f>BB282/BB223</f>
        <v>1.6811368008409802</v>
      </c>
      <c r="BC315" s="499">
        <f>BC282/BC223</f>
        <v>1.2186044413296475</v>
      </c>
      <c r="BD315" s="499">
        <f>BD282/BD223</f>
        <v>1.1842420327025822</v>
      </c>
      <c r="BE315" s="499">
        <f>BE282/BE223</f>
        <v>0.83836534353272274</v>
      </c>
      <c r="BF315" s="499">
        <f>BF282/BF223</f>
        <v>0.77054098239439595</v>
      </c>
      <c r="BG315" s="500"/>
      <c r="BH315" s="499"/>
      <c r="BI315" s="499"/>
      <c r="BJ315" s="499"/>
      <c r="BK315" s="499"/>
      <c r="BL315" s="499">
        <f>BL282/BL223</f>
        <v>5.2085234518809616</v>
      </c>
      <c r="BM315" s="499"/>
      <c r="BN315" s="499">
        <f t="shared" ref="BN315:BS315" si="1103">BN282/BN223</f>
        <v>2.8716684863310666</v>
      </c>
      <c r="BO315" s="499">
        <f t="shared" si="1103"/>
        <v>3.0465015716307695</v>
      </c>
      <c r="BP315" s="499">
        <f t="shared" si="1103"/>
        <v>3.1558683980450213</v>
      </c>
      <c r="BQ315" s="499">
        <f t="shared" si="1103"/>
        <v>2.9247198787435544</v>
      </c>
      <c r="BR315" s="499">
        <f t="shared" si="1103"/>
        <v>4.7857965931069906</v>
      </c>
      <c r="BS315" s="499">
        <f t="shared" si="1103"/>
        <v>1.8087126748890341</v>
      </c>
      <c r="BT315" s="499">
        <f>BT282/BT223</f>
        <v>3.1543663429897304</v>
      </c>
      <c r="BU315" s="499">
        <f>BU282/BU223</f>
        <v>5.9784705058752898</v>
      </c>
      <c r="BV315" s="499">
        <f>BV282/BV223</f>
        <v>3.2157928101130793</v>
      </c>
      <c r="BW315" s="499">
        <f>BW282/BW223</f>
        <v>1.2186044413296475</v>
      </c>
      <c r="BX315" s="221"/>
      <c r="BY315" s="221"/>
      <c r="BZ315" s="221"/>
      <c r="CA315" s="221"/>
      <c r="CJ315" s="6"/>
      <c r="CK315" s="6"/>
      <c r="CL315" s="6"/>
    </row>
    <row r="316" spans="1:90" ht="13.5" customHeight="1">
      <c r="B316" s="1" t="s">
        <v>478</v>
      </c>
      <c r="C316" s="30">
        <f t="shared" ref="C316:H316" si="1104">C283/C223</f>
        <v>3.2124102537723922</v>
      </c>
      <c r="D316" s="30">
        <f t="shared" si="1104"/>
        <v>3.3528180456851882</v>
      </c>
      <c r="E316" s="30">
        <f t="shared" si="1104"/>
        <v>3.5054770847282759</v>
      </c>
      <c r="F316" s="30">
        <f t="shared" si="1104"/>
        <v>3.3574779803288406</v>
      </c>
      <c r="G316" s="30">
        <f t="shared" si="1104"/>
        <v>3.3508478306622531</v>
      </c>
      <c r="H316" s="30">
        <f t="shared" si="1104"/>
        <v>3.3904165509052642</v>
      </c>
      <c r="I316" s="30">
        <f t="shared" ref="I316:N316" si="1105">I283/I223</f>
        <v>3.390686827225931</v>
      </c>
      <c r="J316" s="30">
        <f t="shared" si="1105"/>
        <v>3.5644908090168013</v>
      </c>
      <c r="K316" s="30">
        <f t="shared" si="1105"/>
        <v>5.1989531706610492</v>
      </c>
      <c r="L316" s="30">
        <f t="shared" si="1105"/>
        <v>2.9323972141776857</v>
      </c>
      <c r="M316" s="30">
        <f>M283/M223</f>
        <v>5.8252392095855248</v>
      </c>
      <c r="N316" s="30">
        <f t="shared" si="1105"/>
        <v>7.1312484543402661</v>
      </c>
      <c r="O316" s="30">
        <f>O283/O223</f>
        <v>3.4054341880459642</v>
      </c>
      <c r="P316" s="30">
        <f>P283/P223</f>
        <v>2.0259054414168363</v>
      </c>
      <c r="Q316" s="30"/>
      <c r="R316" s="30">
        <f t="shared" ref="R316:W316" si="1106">R283/R223</f>
        <v>3.1923011177992526</v>
      </c>
      <c r="S316" s="30">
        <f t="shared" si="1106"/>
        <v>3.2869867880982566</v>
      </c>
      <c r="T316" s="30">
        <f t="shared" si="1106"/>
        <v>3.3085241546980444</v>
      </c>
      <c r="U316" s="30">
        <f t="shared" si="1106"/>
        <v>3.5054770847282759</v>
      </c>
      <c r="V316" s="30">
        <f t="shared" si="1106"/>
        <v>3.3702415523306284</v>
      </c>
      <c r="W316" s="30">
        <f t="shared" si="1106"/>
        <v>3.3711662578142896</v>
      </c>
      <c r="X316" s="30">
        <f t="shared" ref="X316:AC316" si="1107">X283/X223</f>
        <v>3.4077772644609321</v>
      </c>
      <c r="Y316" s="30">
        <f t="shared" si="1107"/>
        <v>3.3574779803288406</v>
      </c>
      <c r="Z316" s="30">
        <f t="shared" si="1107"/>
        <v>3.3227700483825156</v>
      </c>
      <c r="AA316" s="30">
        <f t="shared" si="1107"/>
        <v>3.4956230293109289</v>
      </c>
      <c r="AB316" s="30">
        <f t="shared" si="1107"/>
        <v>3.6020387903263571</v>
      </c>
      <c r="AC316" s="30">
        <f t="shared" si="1107"/>
        <v>3.3904165509052646</v>
      </c>
      <c r="AD316" s="30">
        <f t="shared" ref="AD316:AI316" si="1108">AD283/AD223</f>
        <v>3.3341743012732903</v>
      </c>
      <c r="AE316" s="30">
        <f t="shared" si="1108"/>
        <v>3.332720670199834</v>
      </c>
      <c r="AF316" s="30">
        <f t="shared" si="1108"/>
        <v>3.4692987984775741</v>
      </c>
      <c r="AG316" s="30">
        <f t="shared" si="1108"/>
        <v>3.5956162330812309</v>
      </c>
      <c r="AH316" s="30">
        <f t="shared" si="1108"/>
        <v>4.810722222066981</v>
      </c>
      <c r="AI316" s="30">
        <f t="shared" si="1108"/>
        <v>7.369995327166631</v>
      </c>
      <c r="AJ316" s="30">
        <f t="shared" ref="AJ316:AO316" si="1109">AJ283/AJ223</f>
        <v>7.5956072693420138</v>
      </c>
      <c r="AK316" s="30">
        <f t="shared" si="1109"/>
        <v>5.2318300994018987</v>
      </c>
      <c r="AL316" s="30">
        <f t="shared" si="1109"/>
        <v>4.4609759564589355</v>
      </c>
      <c r="AM316" s="30">
        <f t="shared" si="1109"/>
        <v>3.1385122674394133</v>
      </c>
      <c r="AN316" s="30">
        <f t="shared" si="1109"/>
        <v>2.862938057424691</v>
      </c>
      <c r="AO316" s="30">
        <f t="shared" si="1109"/>
        <v>2.9311468373398917</v>
      </c>
      <c r="AP316" s="30">
        <f t="shared" ref="AP316:AU316" si="1110">AP283/AP223</f>
        <v>3.1128550453827923</v>
      </c>
      <c r="AQ316" s="30">
        <f t="shared" si="1110"/>
        <v>3.9627719819058713</v>
      </c>
      <c r="AR316" s="30">
        <f t="shared" si="1110"/>
        <v>4.9541745698555575</v>
      </c>
      <c r="AS316" s="30">
        <f t="shared" si="1110"/>
        <v>5.8516987031298848</v>
      </c>
      <c r="AT316" s="30">
        <f t="shared" si="1110"/>
        <v>6.6353790519605482</v>
      </c>
      <c r="AU316" s="30">
        <f t="shared" si="1110"/>
        <v>7.413907222683136</v>
      </c>
      <c r="AV316" s="30">
        <f t="shared" ref="AV316:BA316" si="1111">AV283/AV223</f>
        <v>7.6542334991619487</v>
      </c>
      <c r="AW316" s="30">
        <f t="shared" si="1111"/>
        <v>7.1671178373182993</v>
      </c>
      <c r="AX316" s="30">
        <f t="shared" si="1111"/>
        <v>6.0906632398507607</v>
      </c>
      <c r="AY316" s="30">
        <f t="shared" si="1111"/>
        <v>4.7733963899866554</v>
      </c>
      <c r="AZ316" s="30">
        <f t="shared" si="1111"/>
        <v>4.0792048737115101</v>
      </c>
      <c r="BA316" s="30">
        <f t="shared" si="1111"/>
        <v>3.4202675528397033</v>
      </c>
      <c r="BB316" s="30">
        <f>BB283/BB223</f>
        <v>2.716202074648725</v>
      </c>
      <c r="BC316" s="30">
        <f>BC283/BC223</f>
        <v>2.4608297080591992</v>
      </c>
      <c r="BD316" s="30">
        <f>BD283/BD223</f>
        <v>2.2983434320268237</v>
      </c>
      <c r="BE316" s="30">
        <f>BE283/BE223</f>
        <v>2.038033244505137</v>
      </c>
      <c r="BF316" s="30">
        <f>BF283/BF223</f>
        <v>2.0541762341961705</v>
      </c>
      <c r="BG316" s="142"/>
      <c r="BH316" s="30"/>
      <c r="BI316" s="30"/>
      <c r="BJ316" s="30"/>
      <c r="BK316" s="30"/>
      <c r="BL316" s="30">
        <f>BL283/BL223</f>
        <v>6.1454617180248885</v>
      </c>
      <c r="BM316" s="30"/>
      <c r="BN316" s="30">
        <f t="shared" ref="BN316:BS316" si="1112">BN283/BN223</f>
        <v>3.2869867880982566</v>
      </c>
      <c r="BO316" s="30">
        <f t="shared" si="1112"/>
        <v>3.3711662578142887</v>
      </c>
      <c r="BP316" s="30">
        <f t="shared" si="1112"/>
        <v>3.4956230293109289</v>
      </c>
      <c r="BQ316" s="30">
        <f t="shared" si="1112"/>
        <v>3.332720670199834</v>
      </c>
      <c r="BR316" s="30">
        <f t="shared" si="1112"/>
        <v>7.369995327166631</v>
      </c>
      <c r="BS316" s="30">
        <f t="shared" si="1112"/>
        <v>3.1385122674394133</v>
      </c>
      <c r="BT316" s="30">
        <f>BT283/BT223</f>
        <v>3.9627719819058704</v>
      </c>
      <c r="BU316" s="30">
        <f>BU283/BU223</f>
        <v>7.413907222683136</v>
      </c>
      <c r="BV316" s="30">
        <f>BV283/BV223</f>
        <v>4.7733963899866572</v>
      </c>
      <c r="BW316" s="30">
        <f>BW283/BW223</f>
        <v>2.4608297080591988</v>
      </c>
      <c r="BX316" s="30"/>
      <c r="BY316" s="30"/>
      <c r="BZ316" s="30"/>
      <c r="CA316" s="30"/>
      <c r="CJ316" s="6"/>
      <c r="CK316" s="6"/>
      <c r="CL316" s="6"/>
    </row>
    <row r="317" spans="1:90" ht="13.5" customHeight="1"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142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  <c r="BS317" s="30"/>
      <c r="BT317" s="30"/>
      <c r="BU317" s="30"/>
      <c r="BV317" s="30"/>
      <c r="BW317" s="30"/>
      <c r="BX317" s="30"/>
      <c r="BY317" s="30"/>
      <c r="BZ317" s="30"/>
      <c r="CA317" s="30"/>
      <c r="CJ317" s="6"/>
      <c r="CK317" s="6"/>
      <c r="CL317" s="6"/>
    </row>
    <row r="318" spans="1:90" s="5" customFormat="1" ht="13.5" customHeight="1">
      <c r="B318" s="5" t="s">
        <v>486</v>
      </c>
      <c r="C318" s="69">
        <f t="shared" ref="C318:H318" si="1113">C259/C290</f>
        <v>0.6866815518097561</v>
      </c>
      <c r="D318" s="69">
        <f t="shared" si="1113"/>
        <v>0.67167055273830945</v>
      </c>
      <c r="E318" s="69">
        <f t="shared" si="1113"/>
        <v>0.70553282787569516</v>
      </c>
      <c r="F318" s="69">
        <f t="shared" si="1113"/>
        <v>0.68174650240849466</v>
      </c>
      <c r="G318" s="69">
        <f t="shared" si="1113"/>
        <v>0.68174650240849466</v>
      </c>
      <c r="H318" s="69">
        <f t="shared" si="1113"/>
        <v>0.57530390449529389</v>
      </c>
      <c r="I318" s="69">
        <f t="shared" ref="I318:N318" si="1114">I259/I290</f>
        <v>0.50895708214869617</v>
      </c>
      <c r="J318" s="69">
        <f t="shared" si="1114"/>
        <v>0.63224252704156259</v>
      </c>
      <c r="K318" s="69">
        <f t="shared" si="1114"/>
        <v>0.58107570763095073</v>
      </c>
      <c r="L318" s="69">
        <f t="shared" si="1114"/>
        <v>0.63104492166474346</v>
      </c>
      <c r="M318" s="69">
        <f>M259/M290</f>
        <v>0.8001290640331854</v>
      </c>
      <c r="N318" s="69">
        <f t="shared" si="1114"/>
        <v>0.63650362585036291</v>
      </c>
      <c r="O318" s="69">
        <f>O259/O290</f>
        <v>0.51760079997831909</v>
      </c>
      <c r="P318" s="69">
        <f>P259/P290</f>
        <v>0.32332695631342517</v>
      </c>
      <c r="Q318" s="69"/>
      <c r="R318" s="69">
        <f t="shared" ref="R318:X318" si="1115">R259/R290</f>
        <v>0.69029469772292362</v>
      </c>
      <c r="S318" s="69">
        <f t="shared" si="1115"/>
        <v>0.71374154126818878</v>
      </c>
      <c r="T318" s="69">
        <f t="shared" si="1115"/>
        <v>0.709416510442896</v>
      </c>
      <c r="U318" s="69">
        <f t="shared" si="1115"/>
        <v>0.70553282787569516</v>
      </c>
      <c r="V318" s="69">
        <f t="shared" si="1115"/>
        <v>0.67425674173539796</v>
      </c>
      <c r="W318" s="69">
        <f t="shared" si="1115"/>
        <v>0.68737708067415271</v>
      </c>
      <c r="X318" s="69">
        <f t="shared" si="1115"/>
        <v>0.68492694688372058</v>
      </c>
      <c r="Y318" s="69">
        <f t="shared" ref="Y318:AD318" si="1116">Y259/Y290</f>
        <v>0.68174650240849466</v>
      </c>
      <c r="Z318" s="69">
        <f t="shared" si="1116"/>
        <v>0.66965594494753156</v>
      </c>
      <c r="AA318" s="69">
        <f t="shared" si="1116"/>
        <v>0.69783753880233335</v>
      </c>
      <c r="AB318" s="69">
        <f t="shared" si="1116"/>
        <v>0.72741473074055074</v>
      </c>
      <c r="AC318" s="69">
        <f t="shared" si="1116"/>
        <v>0.57530390449529389</v>
      </c>
      <c r="AD318" s="69">
        <f t="shared" si="1116"/>
        <v>0.67377796230538922</v>
      </c>
      <c r="AE318" s="69">
        <f t="shared" ref="AE318:AJ318" si="1117">AE259/AE290</f>
        <v>0.67855458395436385</v>
      </c>
      <c r="AF318" s="69">
        <f t="shared" si="1117"/>
        <v>0.6130274653439387</v>
      </c>
      <c r="AG318" s="69">
        <f t="shared" si="1117"/>
        <v>0.63224252704156259</v>
      </c>
      <c r="AH318" s="69">
        <f t="shared" si="1117"/>
        <v>0.69454169908295194</v>
      </c>
      <c r="AI318" s="69">
        <f t="shared" si="1117"/>
        <v>0.69517533430567136</v>
      </c>
      <c r="AJ318" s="69">
        <f t="shared" si="1117"/>
        <v>0.68725645108414712</v>
      </c>
      <c r="AK318" s="69">
        <f t="shared" ref="AK318:AP318" si="1118">AK259/AK290</f>
        <v>0.58107570763095073</v>
      </c>
      <c r="AL318" s="69">
        <f t="shared" si="1118"/>
        <v>0.60003952684772743</v>
      </c>
      <c r="AM318" s="69">
        <f t="shared" si="1118"/>
        <v>0.5709642078956112</v>
      </c>
      <c r="AN318" s="69">
        <f t="shared" si="1118"/>
        <v>0.61310225525685891</v>
      </c>
      <c r="AO318" s="69">
        <f t="shared" si="1118"/>
        <v>0.63104492166474346</v>
      </c>
      <c r="AP318" s="69">
        <f t="shared" si="1118"/>
        <v>0.67015536223295569</v>
      </c>
      <c r="AQ318" s="69">
        <f t="shared" ref="AQ318:AV318" si="1119">AQ259/AQ290</f>
        <v>0.73240558333011008</v>
      </c>
      <c r="AR318" s="69">
        <f t="shared" si="1119"/>
        <v>0.81263847039985782</v>
      </c>
      <c r="AS318" s="69">
        <f t="shared" si="1119"/>
        <v>0.8001290640331854</v>
      </c>
      <c r="AT318" s="69">
        <f t="shared" si="1119"/>
        <v>0.81708184111719073</v>
      </c>
      <c r="AU318" s="69">
        <f t="shared" si="1119"/>
        <v>0.73799042967841522</v>
      </c>
      <c r="AV318" s="69">
        <f t="shared" si="1119"/>
        <v>0.77530120312311834</v>
      </c>
      <c r="AW318" s="69">
        <f t="shared" ref="AW318:BB318" si="1120">AW259/AW290</f>
        <v>0.63650362585036291</v>
      </c>
      <c r="AX318" s="69">
        <f t="shared" si="1120"/>
        <v>0.65383110151622581</v>
      </c>
      <c r="AY318" s="69">
        <f t="shared" si="1120"/>
        <v>0.64043038861915469</v>
      </c>
      <c r="AZ318" s="69">
        <f t="shared" si="1120"/>
        <v>0.57738822232348819</v>
      </c>
      <c r="BA318" s="69">
        <f t="shared" si="1120"/>
        <v>0.51760079997831909</v>
      </c>
      <c r="BB318" s="69">
        <f t="shared" si="1120"/>
        <v>0.49834933603740433</v>
      </c>
      <c r="BC318" s="69">
        <f>BC259/BC290</f>
        <v>0.42292924654011865</v>
      </c>
      <c r="BD318" s="69">
        <f>BD259/BD290</f>
        <v>0.4063834182279068</v>
      </c>
      <c r="BE318" s="69">
        <f>BE259/BE290</f>
        <v>0.32332695631342517</v>
      </c>
      <c r="BF318" s="69">
        <f>BF259/BF290</f>
        <v>0.31198316650881419</v>
      </c>
      <c r="BG318" s="142"/>
      <c r="BH318" s="69"/>
      <c r="BI318" s="69"/>
      <c r="BJ318" s="69"/>
      <c r="BK318" s="69"/>
      <c r="BL318" s="69">
        <f>BL259/BL290</f>
        <v>0.67270470985811692</v>
      </c>
      <c r="BM318" s="69"/>
      <c r="BN318" s="69">
        <f t="shared" ref="BN318:BS318" si="1121">BN259/BN290</f>
        <v>0.71374154126818878</v>
      </c>
      <c r="BO318" s="69">
        <f t="shared" si="1121"/>
        <v>0.68737708067415271</v>
      </c>
      <c r="BP318" s="69">
        <f t="shared" si="1121"/>
        <v>0.69783753880233335</v>
      </c>
      <c r="BQ318" s="69">
        <f t="shared" si="1121"/>
        <v>0.67855458395436385</v>
      </c>
      <c r="BR318" s="69">
        <f t="shared" si="1121"/>
        <v>0.69517533430567136</v>
      </c>
      <c r="BS318" s="69">
        <f t="shared" si="1121"/>
        <v>0.5709642078956112</v>
      </c>
      <c r="BT318" s="69">
        <f>BT259/BT290</f>
        <v>0.73240558333011008</v>
      </c>
      <c r="BU318" s="69">
        <f>BU259/BU290</f>
        <v>0.73799042967841522</v>
      </c>
      <c r="BV318" s="69">
        <f>BV259/BV290</f>
        <v>0.64043038861915469</v>
      </c>
      <c r="BW318" s="69">
        <f>BW259/BW290</f>
        <v>0.42292924654011865</v>
      </c>
      <c r="BX318" s="69"/>
      <c r="BY318" s="69"/>
      <c r="BZ318" s="69"/>
      <c r="CA318" s="69"/>
      <c r="CJ318" s="6"/>
      <c r="CK318" s="6"/>
      <c r="CL318" s="6"/>
    </row>
    <row r="319" spans="1:90" s="5" customFormat="1" ht="13.5" customHeight="1"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U319" s="69"/>
      <c r="V319" s="69"/>
      <c r="W319" s="69"/>
      <c r="Y319" s="69"/>
      <c r="AA319" s="69"/>
      <c r="AB319" s="69"/>
      <c r="AC319" s="69"/>
      <c r="AE319" s="69"/>
      <c r="AG319" s="69"/>
      <c r="AI319" s="69"/>
      <c r="AK319" s="69"/>
      <c r="AM319" s="69"/>
      <c r="AO319" s="69"/>
      <c r="AQ319" s="69"/>
      <c r="AS319" s="69"/>
      <c r="AU319" s="69"/>
      <c r="AW319" s="69"/>
      <c r="AY319" s="69"/>
      <c r="BA319" s="69"/>
      <c r="BC319" s="69"/>
      <c r="BE319" s="69"/>
      <c r="BG319" s="142"/>
      <c r="BK319" s="69"/>
      <c r="BN319" s="69"/>
      <c r="BO319" s="69"/>
      <c r="BP319" s="69"/>
      <c r="BQ319" s="69"/>
      <c r="BR319" s="69"/>
      <c r="BS319" s="69"/>
      <c r="BT319" s="69"/>
      <c r="BU319" s="69"/>
      <c r="BV319" s="69"/>
      <c r="BW319" s="69"/>
      <c r="BX319" s="69"/>
      <c r="BY319" s="69"/>
      <c r="BZ319" s="69"/>
      <c r="CA319" s="69"/>
      <c r="CJ319" s="6"/>
      <c r="CK319" s="6"/>
      <c r="CL319" s="6"/>
    </row>
    <row r="320" spans="1:90" ht="13.5" customHeight="1">
      <c r="A320" s="28"/>
      <c r="B320" s="17" t="s">
        <v>487</v>
      </c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62"/>
      <c r="R320" s="46"/>
      <c r="S320" s="18"/>
      <c r="T320" s="18"/>
      <c r="U320" s="18"/>
      <c r="V320" s="46"/>
      <c r="W320" s="46"/>
      <c r="X320" s="18"/>
      <c r="Y320" s="18"/>
      <c r="Z320" s="18"/>
      <c r="AA320" s="46"/>
      <c r="AB320" s="18"/>
      <c r="AC320" s="18"/>
      <c r="AD320" s="18"/>
      <c r="AE320" s="46"/>
      <c r="AF320" s="18"/>
      <c r="AG320" s="18"/>
      <c r="AH320" s="18"/>
      <c r="AI320" s="46"/>
      <c r="AJ320" s="18"/>
      <c r="AK320" s="18"/>
      <c r="AL320" s="18"/>
      <c r="AM320" s="46"/>
      <c r="AN320" s="18"/>
      <c r="AO320" s="18"/>
      <c r="AP320" s="18"/>
      <c r="AQ320" s="46"/>
      <c r="AR320" s="18"/>
      <c r="AS320" s="18"/>
      <c r="AT320" s="18"/>
      <c r="AU320" s="46"/>
      <c r="AV320" s="18"/>
      <c r="AW320" s="18"/>
      <c r="AX320" s="18"/>
      <c r="AY320" s="46"/>
      <c r="AZ320" s="18"/>
      <c r="BA320" s="18"/>
      <c r="BB320" s="18"/>
      <c r="BC320" s="46"/>
      <c r="BD320" s="18"/>
      <c r="BE320" s="18"/>
      <c r="BF320" s="18"/>
      <c r="BG320" s="142"/>
      <c r="BH320" s="18"/>
      <c r="BI320" s="18"/>
      <c r="BJ320" s="18"/>
      <c r="BK320" s="18"/>
      <c r="BL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  <c r="CJ320" s="6"/>
      <c r="CK320" s="6"/>
      <c r="CL320" s="6"/>
    </row>
    <row r="321" spans="1:90" s="2" customFormat="1" ht="13.5" customHeight="1">
      <c r="A321" s="99"/>
      <c r="B321" s="100" t="s">
        <v>488</v>
      </c>
      <c r="C321" s="81">
        <v>41975</v>
      </c>
      <c r="D321" s="46">
        <v>42341</v>
      </c>
      <c r="E321" s="46">
        <v>42708</v>
      </c>
      <c r="F321" s="253">
        <f t="shared" ref="F321:K321" si="1122">F3</f>
        <v>43073</v>
      </c>
      <c r="G321" s="253">
        <f t="shared" si="1122"/>
        <v>43073</v>
      </c>
      <c r="H321" s="253">
        <f t="shared" si="1122"/>
        <v>43438</v>
      </c>
      <c r="I321" s="253">
        <f t="shared" si="1122"/>
        <v>43438</v>
      </c>
      <c r="J321" s="253">
        <f t="shared" si="1122"/>
        <v>43803</v>
      </c>
      <c r="K321" s="253">
        <f t="shared" si="1122"/>
        <v>44169</v>
      </c>
      <c r="L321" s="253">
        <f>L3</f>
        <v>44534</v>
      </c>
      <c r="M321" s="253">
        <f>M3</f>
        <v>44899</v>
      </c>
      <c r="N321" s="253">
        <f>N3</f>
        <v>45264</v>
      </c>
      <c r="O321" s="253">
        <f>O3</f>
        <v>45630</v>
      </c>
      <c r="P321" s="253">
        <f>P3</f>
        <v>45995</v>
      </c>
      <c r="Q321" s="329"/>
      <c r="R321" s="46">
        <v>42437</v>
      </c>
      <c r="S321" s="46">
        <v>42527</v>
      </c>
      <c r="T321" s="46">
        <v>42622</v>
      </c>
      <c r="U321" s="46">
        <v>42714</v>
      </c>
      <c r="V321" s="46">
        <v>42801</v>
      </c>
      <c r="W321" s="46">
        <v>42892</v>
      </c>
      <c r="X321" s="46">
        <v>42987</v>
      </c>
      <c r="Y321" s="46">
        <v>43079</v>
      </c>
      <c r="Z321" s="46">
        <f t="shared" ref="Z321:AE321" si="1123">Z3</f>
        <v>43166</v>
      </c>
      <c r="AA321" s="46">
        <f t="shared" si="1123"/>
        <v>43257</v>
      </c>
      <c r="AB321" s="46">
        <f t="shared" si="1123"/>
        <v>43352</v>
      </c>
      <c r="AC321" s="253">
        <f t="shared" si="1123"/>
        <v>43444</v>
      </c>
      <c r="AD321" s="253">
        <f t="shared" si="1123"/>
        <v>43531</v>
      </c>
      <c r="AE321" s="253">
        <f t="shared" si="1123"/>
        <v>43622</v>
      </c>
      <c r="AF321" s="253">
        <f t="shared" ref="AF321:AK321" si="1124">AF3</f>
        <v>43738</v>
      </c>
      <c r="AG321" s="253">
        <f t="shared" si="1124"/>
        <v>43809</v>
      </c>
      <c r="AH321" s="253">
        <f t="shared" si="1124"/>
        <v>43897</v>
      </c>
      <c r="AI321" s="253">
        <f t="shared" si="1124"/>
        <v>43988</v>
      </c>
      <c r="AJ321" s="253">
        <f t="shared" si="1124"/>
        <v>44104</v>
      </c>
      <c r="AK321" s="253">
        <f t="shared" si="1124"/>
        <v>44175</v>
      </c>
      <c r="AL321" s="253">
        <f t="shared" ref="AL321:AQ321" si="1125">AL3</f>
        <v>44262</v>
      </c>
      <c r="AM321" s="253">
        <f t="shared" si="1125"/>
        <v>44348</v>
      </c>
      <c r="AN321" s="253">
        <f t="shared" si="1125"/>
        <v>44469</v>
      </c>
      <c r="AO321" s="253">
        <f t="shared" si="1125"/>
        <v>44540</v>
      </c>
      <c r="AP321" s="253">
        <f t="shared" si="1125"/>
        <v>44651</v>
      </c>
      <c r="AQ321" s="253">
        <f t="shared" si="1125"/>
        <v>44713</v>
      </c>
      <c r="AR321" s="253">
        <f t="shared" ref="AR321:AW321" si="1126">AR3</f>
        <v>44834</v>
      </c>
      <c r="AS321" s="253">
        <f t="shared" si="1126"/>
        <v>44905</v>
      </c>
      <c r="AT321" s="253">
        <f t="shared" si="1126"/>
        <v>45016</v>
      </c>
      <c r="AU321" s="253">
        <f t="shared" si="1126"/>
        <v>45078</v>
      </c>
      <c r="AV321" s="253">
        <f t="shared" si="1126"/>
        <v>45199</v>
      </c>
      <c r="AW321" s="253">
        <f t="shared" si="1126"/>
        <v>45270</v>
      </c>
      <c r="AX321" s="253">
        <f t="shared" ref="AX321:BC321" si="1127">AX3</f>
        <v>45382</v>
      </c>
      <c r="AY321" s="253">
        <f t="shared" si="1127"/>
        <v>45444</v>
      </c>
      <c r="AZ321" s="253">
        <f t="shared" si="1127"/>
        <v>45565</v>
      </c>
      <c r="BA321" s="253">
        <f t="shared" si="1127"/>
        <v>45636</v>
      </c>
      <c r="BB321" s="253">
        <f t="shared" si="1127"/>
        <v>45747</v>
      </c>
      <c r="BC321" s="253">
        <f t="shared" si="1127"/>
        <v>45809</v>
      </c>
      <c r="BD321" s="253">
        <f>BD3</f>
        <v>45930</v>
      </c>
      <c r="BE321" s="253">
        <f>BE3</f>
        <v>46001</v>
      </c>
      <c r="BF321" s="253">
        <f>BF3</f>
        <v>46112</v>
      </c>
      <c r="BG321" s="142"/>
      <c r="BH321" s="46"/>
      <c r="BI321" s="46"/>
      <c r="BJ321" s="46"/>
      <c r="BK321" s="253"/>
      <c r="BL321" s="253">
        <f>BL3</f>
        <v>43531</v>
      </c>
      <c r="BM321" s="329"/>
      <c r="BN321" s="81">
        <v>42530</v>
      </c>
      <c r="BO321" s="81">
        <v>42896</v>
      </c>
      <c r="BP321" s="81">
        <f t="shared" ref="BP321:BU321" si="1128">BP3</f>
        <v>43261</v>
      </c>
      <c r="BQ321" s="316">
        <f t="shared" si="1128"/>
        <v>43646</v>
      </c>
      <c r="BR321" s="316">
        <f t="shared" si="1128"/>
        <v>44012</v>
      </c>
      <c r="BS321" s="316">
        <f t="shared" si="1128"/>
        <v>44377</v>
      </c>
      <c r="BT321" s="316">
        <f t="shared" si="1128"/>
        <v>44742</v>
      </c>
      <c r="BU321" s="316">
        <f t="shared" si="1128"/>
        <v>45107</v>
      </c>
      <c r="BV321" s="316">
        <f>BV3</f>
        <v>45473</v>
      </c>
      <c r="BW321" s="316">
        <f>BW3</f>
        <v>45838</v>
      </c>
      <c r="BX321" s="62"/>
      <c r="BY321" s="62"/>
      <c r="BZ321" s="62"/>
      <c r="CA321" s="62"/>
      <c r="CJ321" s="6"/>
      <c r="CK321" s="6"/>
      <c r="CL321" s="6"/>
    </row>
    <row r="322" spans="1:90" s="5" customFormat="1" ht="13.5" customHeight="1">
      <c r="B322" s="11"/>
      <c r="C322" s="14" t="s">
        <v>261</v>
      </c>
      <c r="D322" s="14" t="s">
        <v>261</v>
      </c>
      <c r="E322" s="14" t="s">
        <v>261</v>
      </c>
      <c r="F322" s="14" t="s">
        <v>261</v>
      </c>
      <c r="G322" s="14" t="s">
        <v>261</v>
      </c>
      <c r="H322" s="14" t="s">
        <v>261</v>
      </c>
      <c r="I322" s="14" t="s">
        <v>261</v>
      </c>
      <c r="J322" s="14" t="s">
        <v>261</v>
      </c>
      <c r="K322" s="14" t="s">
        <v>261</v>
      </c>
      <c r="L322" s="14" t="s">
        <v>261</v>
      </c>
      <c r="M322" s="14" t="s">
        <v>261</v>
      </c>
      <c r="N322" s="14" t="s">
        <v>261</v>
      </c>
      <c r="O322" s="14" t="s">
        <v>261</v>
      </c>
      <c r="P322" s="14" t="s">
        <v>261</v>
      </c>
      <c r="Q322" s="329"/>
      <c r="R322" s="14" t="s">
        <v>261</v>
      </c>
      <c r="S322" s="14" t="s">
        <v>261</v>
      </c>
      <c r="T322" s="14" t="s">
        <v>261</v>
      </c>
      <c r="U322" s="14" t="s">
        <v>261</v>
      </c>
      <c r="V322" s="14" t="s">
        <v>261</v>
      </c>
      <c r="W322" s="14" t="s">
        <v>261</v>
      </c>
      <c r="X322" s="14" t="s">
        <v>261</v>
      </c>
      <c r="Y322" s="14" t="s">
        <v>261</v>
      </c>
      <c r="Z322" s="14" t="s">
        <v>261</v>
      </c>
      <c r="AA322" s="14" t="s">
        <v>261</v>
      </c>
      <c r="AB322" s="14" t="s">
        <v>261</v>
      </c>
      <c r="AC322" s="14" t="s">
        <v>261</v>
      </c>
      <c r="AD322" s="14" t="s">
        <v>261</v>
      </c>
      <c r="AE322" s="14" t="str">
        <f>AE4</f>
        <v>Act</v>
      </c>
      <c r="AF322" s="14" t="str">
        <f>AF4</f>
        <v>Act</v>
      </c>
      <c r="AG322" s="14" t="s">
        <v>261</v>
      </c>
      <c r="AH322" s="14" t="s">
        <v>261</v>
      </c>
      <c r="AI322" s="14" t="str">
        <f>AI4</f>
        <v>Act</v>
      </c>
      <c r="AJ322" s="14" t="str">
        <f>AJ4</f>
        <v>Act</v>
      </c>
      <c r="AK322" s="14" t="s">
        <v>261</v>
      </c>
      <c r="AL322" s="14" t="s">
        <v>261</v>
      </c>
      <c r="AM322" s="14" t="s">
        <v>261</v>
      </c>
      <c r="AN322" s="14" t="str">
        <f>AN4</f>
        <v>Act</v>
      </c>
      <c r="AO322" s="14" t="s">
        <v>261</v>
      </c>
      <c r="AP322" s="14" t="s">
        <v>261</v>
      </c>
      <c r="AQ322" s="14" t="s">
        <v>261</v>
      </c>
      <c r="AR322" s="14" t="str">
        <f>AR4</f>
        <v>Restated</v>
      </c>
      <c r="AS322" s="14" t="s">
        <v>261</v>
      </c>
      <c r="AT322" s="14" t="s">
        <v>261</v>
      </c>
      <c r="AU322" s="14" t="s">
        <v>261</v>
      </c>
      <c r="AV322" s="14" t="str">
        <f>AV4</f>
        <v>Act</v>
      </c>
      <c r="AW322" s="14" t="s">
        <v>261</v>
      </c>
      <c r="AX322" s="14" t="s">
        <v>261</v>
      </c>
      <c r="AY322" s="14" t="s">
        <v>261</v>
      </c>
      <c r="AZ322" s="14" t="str">
        <f>AZ4</f>
        <v>Act</v>
      </c>
      <c r="BA322" s="14" t="s">
        <v>261</v>
      </c>
      <c r="BB322" s="14" t="s">
        <v>261</v>
      </c>
      <c r="BC322" s="14" t="s">
        <v>261</v>
      </c>
      <c r="BD322" s="14" t="str">
        <f>BD4</f>
        <v>Act</v>
      </c>
      <c r="BE322" s="14" t="s">
        <v>261</v>
      </c>
      <c r="BF322" s="14" t="s">
        <v>261</v>
      </c>
      <c r="BG322" s="142"/>
      <c r="BH322" s="14"/>
      <c r="BI322" s="14"/>
      <c r="BJ322" s="14"/>
      <c r="BK322" s="14"/>
      <c r="BL322" s="14" t="s">
        <v>261</v>
      </c>
      <c r="BM322" s="329"/>
      <c r="BN322" s="14" t="s">
        <v>261</v>
      </c>
      <c r="BO322" s="14" t="s">
        <v>261</v>
      </c>
      <c r="BP322" s="14" t="s">
        <v>261</v>
      </c>
      <c r="BQ322" s="14" t="s">
        <v>261</v>
      </c>
      <c r="BR322" s="14" t="s">
        <v>261</v>
      </c>
      <c r="BS322" s="14" t="s">
        <v>261</v>
      </c>
      <c r="BT322" s="14" t="s">
        <v>261</v>
      </c>
      <c r="BU322" s="14" t="s">
        <v>261</v>
      </c>
      <c r="BV322" s="14" t="s">
        <v>261</v>
      </c>
      <c r="BW322" s="14" t="s">
        <v>261</v>
      </c>
      <c r="BX322" s="329"/>
      <c r="BY322" s="329"/>
      <c r="BZ322" s="329"/>
      <c r="CA322" s="329"/>
      <c r="CJ322" s="6"/>
      <c r="CK322" s="6"/>
      <c r="CL322" s="6"/>
    </row>
    <row r="323" spans="1:90" s="3" customFormat="1" ht="13.5" customHeight="1">
      <c r="C323" s="24" t="s">
        <v>263</v>
      </c>
      <c r="D323" s="24" t="s">
        <v>263</v>
      </c>
      <c r="E323" s="24" t="s">
        <v>263</v>
      </c>
      <c r="F323" s="24" t="s">
        <v>263</v>
      </c>
      <c r="G323" s="24" t="s">
        <v>263</v>
      </c>
      <c r="H323" s="24" t="s">
        <v>263</v>
      </c>
      <c r="I323" s="24" t="s">
        <v>263</v>
      </c>
      <c r="J323" s="24" t="s">
        <v>263</v>
      </c>
      <c r="K323" s="24" t="s">
        <v>263</v>
      </c>
      <c r="L323" s="24" t="s">
        <v>263</v>
      </c>
      <c r="M323" s="24" t="s">
        <v>263</v>
      </c>
      <c r="N323" s="24" t="s">
        <v>263</v>
      </c>
      <c r="O323" s="24" t="s">
        <v>263</v>
      </c>
      <c r="P323" s="24" t="s">
        <v>263</v>
      </c>
      <c r="Q323" s="24"/>
      <c r="R323" s="24" t="s">
        <v>264</v>
      </c>
      <c r="S323" s="24" t="s">
        <v>265</v>
      </c>
      <c r="T323" s="24" t="s">
        <v>266</v>
      </c>
      <c r="U323" s="24" t="s">
        <v>267</v>
      </c>
      <c r="V323" s="24" t="s">
        <v>264</v>
      </c>
      <c r="W323" s="24" t="s">
        <v>265</v>
      </c>
      <c r="X323" s="24" t="s">
        <v>489</v>
      </c>
      <c r="Y323" s="24" t="s">
        <v>267</v>
      </c>
      <c r="Z323" s="24" t="s">
        <v>264</v>
      </c>
      <c r="AA323" s="24" t="s">
        <v>265</v>
      </c>
      <c r="AB323" s="24" t="s">
        <v>489</v>
      </c>
      <c r="AC323" s="24" t="s">
        <v>267</v>
      </c>
      <c r="AD323" s="24" t="s">
        <v>264</v>
      </c>
      <c r="AE323" s="24" t="str">
        <f>AE5</f>
        <v>Q2</v>
      </c>
      <c r="AF323" s="24" t="str">
        <f>AF5</f>
        <v>Q3</v>
      </c>
      <c r="AG323" s="24" t="s">
        <v>267</v>
      </c>
      <c r="AH323" s="24" t="s">
        <v>264</v>
      </c>
      <c r="AI323" s="24" t="str">
        <f>AI5</f>
        <v>Q2</v>
      </c>
      <c r="AJ323" s="24" t="str">
        <f>AJ5</f>
        <v>Q3</v>
      </c>
      <c r="AK323" s="24" t="s">
        <v>267</v>
      </c>
      <c r="AL323" s="24" t="s">
        <v>264</v>
      </c>
      <c r="AM323" s="24" t="s">
        <v>265</v>
      </c>
      <c r="AN323" s="24" t="str">
        <f>AN5</f>
        <v>Q3</v>
      </c>
      <c r="AO323" s="24" t="s">
        <v>267</v>
      </c>
      <c r="AP323" s="24" t="s">
        <v>264</v>
      </c>
      <c r="AQ323" s="24" t="s">
        <v>265</v>
      </c>
      <c r="AR323" s="24" t="str">
        <f>AR5</f>
        <v>Q3</v>
      </c>
      <c r="AS323" s="24" t="s">
        <v>267</v>
      </c>
      <c r="AT323" s="24" t="s">
        <v>264</v>
      </c>
      <c r="AU323" s="24" t="s">
        <v>265</v>
      </c>
      <c r="AV323" s="24" t="str">
        <f>AV5</f>
        <v>Q3</v>
      </c>
      <c r="AW323" s="24" t="s">
        <v>267</v>
      </c>
      <c r="AX323" s="24" t="s">
        <v>264</v>
      </c>
      <c r="AY323" s="24" t="s">
        <v>265</v>
      </c>
      <c r="AZ323" s="24" t="str">
        <f>AZ5</f>
        <v>Q3</v>
      </c>
      <c r="BA323" s="24" t="s">
        <v>267</v>
      </c>
      <c r="BB323" s="24" t="s">
        <v>264</v>
      </c>
      <c r="BC323" s="24" t="s">
        <v>265</v>
      </c>
      <c r="BD323" s="24" t="str">
        <f>BD5</f>
        <v>Q3</v>
      </c>
      <c r="BE323" s="24" t="s">
        <v>267</v>
      </c>
      <c r="BF323" s="24" t="s">
        <v>264</v>
      </c>
      <c r="BG323" s="142"/>
      <c r="BH323" s="24"/>
      <c r="BI323" s="24"/>
      <c r="BJ323" s="24"/>
      <c r="BK323" s="24"/>
      <c r="BL323" s="24" t="s">
        <v>264</v>
      </c>
      <c r="BM323" s="24"/>
      <c r="BN323" s="24" t="s">
        <v>490</v>
      </c>
      <c r="BO323" s="24" t="s">
        <v>490</v>
      </c>
      <c r="BP323" s="24" t="s">
        <v>490</v>
      </c>
      <c r="BQ323" s="24" t="s">
        <v>490</v>
      </c>
      <c r="BR323" s="24" t="s">
        <v>490</v>
      </c>
      <c r="BS323" s="24" t="s">
        <v>490</v>
      </c>
      <c r="BT323" s="24" t="s">
        <v>490</v>
      </c>
      <c r="BU323" s="24" t="s">
        <v>490</v>
      </c>
      <c r="BV323" s="24" t="s">
        <v>490</v>
      </c>
      <c r="BW323" s="24" t="s">
        <v>490</v>
      </c>
      <c r="BX323" s="24"/>
      <c r="BY323" s="24"/>
      <c r="BZ323" s="24"/>
      <c r="CA323" s="24"/>
      <c r="CJ323" s="6"/>
      <c r="CK323" s="6"/>
      <c r="CL323" s="6"/>
    </row>
    <row r="324" spans="1:90" s="5" customFormat="1" ht="13.5" customHeight="1">
      <c r="B324" s="5" t="str">
        <f>+B8</f>
        <v>Revenues</v>
      </c>
      <c r="C324" s="56">
        <f t="shared" ref="C324:AB324" si="1129">+C8</f>
        <v>7038379.7879999997</v>
      </c>
      <c r="D324" s="56">
        <f t="shared" si="1129"/>
        <v>7753209.5719999997</v>
      </c>
      <c r="E324" s="56">
        <f t="shared" si="1129"/>
        <v>7898301.784</v>
      </c>
      <c r="F324" s="56">
        <f t="shared" si="1129"/>
        <v>8242645.2630000003</v>
      </c>
      <c r="G324" s="56">
        <f t="shared" ref="G324:O324" si="1130">+G8</f>
        <v>8209851.5099999998</v>
      </c>
      <c r="H324" s="56">
        <f t="shared" si="1130"/>
        <v>8483577.3330000006</v>
      </c>
      <c r="I324" s="56">
        <f t="shared" si="1130"/>
        <v>7976898.4050000003</v>
      </c>
      <c r="J324" s="56">
        <f t="shared" si="1130"/>
        <v>8053582.835</v>
      </c>
      <c r="K324" s="56">
        <f t="shared" si="1130"/>
        <v>8281049.949</v>
      </c>
      <c r="L324" s="56">
        <f t="shared" si="1130"/>
        <v>10335383.74</v>
      </c>
      <c r="M324" s="56">
        <f t="shared" si="1130"/>
        <v>10460666.398</v>
      </c>
      <c r="N324" s="56">
        <f t="shared" si="1130"/>
        <v>9355114.6569999997</v>
      </c>
      <c r="O324" s="56">
        <f t="shared" si="1130"/>
        <v>10322104.478</v>
      </c>
      <c r="P324" s="56">
        <f>+P8</f>
        <v>11342385.896</v>
      </c>
      <c r="Q324" s="56"/>
      <c r="R324" s="56">
        <f t="shared" si="1129"/>
        <v>1889596.2250000001</v>
      </c>
      <c r="S324" s="56">
        <f t="shared" si="1129"/>
        <v>1948787.2620000001</v>
      </c>
      <c r="T324" s="56">
        <f t="shared" si="1129"/>
        <v>1869557.7239999999</v>
      </c>
      <c r="U324" s="56">
        <f t="shared" si="1129"/>
        <v>2190360.5730000003</v>
      </c>
      <c r="V324" s="56">
        <f t="shared" si="1129"/>
        <v>1952033.1129999999</v>
      </c>
      <c r="W324" s="56">
        <f t="shared" si="1129"/>
        <v>2015162.9050000003</v>
      </c>
      <c r="X324" s="56">
        <f t="shared" si="1129"/>
        <v>1941993.5970000001</v>
      </c>
      <c r="Y324" s="56">
        <f t="shared" si="1129"/>
        <v>2333455.648</v>
      </c>
      <c r="Z324" s="56">
        <f t="shared" si="1129"/>
        <v>2010257.6850000001</v>
      </c>
      <c r="AA324" s="56">
        <f t="shared" si="1129"/>
        <v>2106536.787</v>
      </c>
      <c r="AB324" s="56">
        <f t="shared" si="1129"/>
        <v>2004610.7690000003</v>
      </c>
      <c r="AC324" s="56">
        <f t="shared" ref="AC324:AM324" si="1131">+AC8</f>
        <v>2362172.0920000006</v>
      </c>
      <c r="AD324" s="56">
        <f t="shared" si="1131"/>
        <v>1926900.5120000001</v>
      </c>
      <c r="AE324" s="56">
        <f t="shared" si="1131"/>
        <v>1994081.0039999997</v>
      </c>
      <c r="AF324" s="56">
        <f t="shared" si="1131"/>
        <v>1881456.25</v>
      </c>
      <c r="AG324" s="56">
        <f t="shared" si="1131"/>
        <v>2251145.0690000001</v>
      </c>
      <c r="AH324" s="56">
        <f t="shared" si="1131"/>
        <v>1887698.612</v>
      </c>
      <c r="AI324" s="56">
        <f t="shared" si="1131"/>
        <v>1458364.095</v>
      </c>
      <c r="AJ324" s="56">
        <f t="shared" si="1131"/>
        <v>2217405.6530000009</v>
      </c>
      <c r="AK324" s="56">
        <f t="shared" si="1131"/>
        <v>2717581.5889999997</v>
      </c>
      <c r="AL324" s="56">
        <f t="shared" si="1131"/>
        <v>2218078.4550000001</v>
      </c>
      <c r="AM324" s="56">
        <f t="shared" si="1131"/>
        <v>2390588.7439999999</v>
      </c>
      <c r="AN324" s="56">
        <f t="shared" ref="AN324:BA324" si="1132">+AN8</f>
        <v>2620892.4419999998</v>
      </c>
      <c r="AO324" s="56">
        <f t="shared" si="1132"/>
        <v>3105824.0990000004</v>
      </c>
      <c r="AP324" s="56">
        <f t="shared" si="1132"/>
        <v>2546146.5869999998</v>
      </c>
      <c r="AQ324" s="56">
        <f t="shared" si="1132"/>
        <v>2619187.9020000002</v>
      </c>
      <c r="AR324" s="56">
        <f t="shared" si="1132"/>
        <v>2492158.7420000001</v>
      </c>
      <c r="AS324" s="56">
        <f t="shared" si="1132"/>
        <v>2803173.166999999</v>
      </c>
      <c r="AT324" s="56">
        <f t="shared" si="1132"/>
        <v>2274726.2650000001</v>
      </c>
      <c r="AU324" s="56">
        <f t="shared" si="1132"/>
        <v>2219917.3819999998</v>
      </c>
      <c r="AV324" s="56">
        <f t="shared" si="1132"/>
        <v>2206436.6160000009</v>
      </c>
      <c r="AW324" s="56">
        <f t="shared" si="1132"/>
        <v>2654034.3939999999</v>
      </c>
      <c r="AX324" s="56">
        <f t="shared" si="1132"/>
        <v>2392525.6490000002</v>
      </c>
      <c r="AY324" s="56">
        <f t="shared" si="1132"/>
        <v>2445288.1609999994</v>
      </c>
      <c r="AZ324" s="56">
        <f t="shared" si="1132"/>
        <v>2402953.8710000003</v>
      </c>
      <c r="BA324" s="56">
        <f t="shared" si="1132"/>
        <v>3081336.7970000003</v>
      </c>
      <c r="BB324" s="56">
        <f t="shared" ref="BB324:BE326" si="1133">+BB8</f>
        <v>2653179.247</v>
      </c>
      <c r="BC324" s="56">
        <f t="shared" si="1133"/>
        <v>2693468.6130000004</v>
      </c>
      <c r="BD324" s="56">
        <f t="shared" si="1133"/>
        <v>2630300.0579999997</v>
      </c>
      <c r="BE324" s="56">
        <f t="shared" si="1133"/>
        <v>3365437.9779999997</v>
      </c>
      <c r="BF324" s="56">
        <f>+BF8</f>
        <v>2766025.946</v>
      </c>
      <c r="BG324" s="142"/>
      <c r="BH324" s="56"/>
      <c r="BI324" s="56"/>
      <c r="BJ324" s="56"/>
      <c r="BK324" s="56"/>
      <c r="BL324" s="56">
        <f>+BL8</f>
        <v>1926900.5120000001</v>
      </c>
      <c r="BM324" s="56"/>
      <c r="BN324" s="56"/>
      <c r="BO324" s="56"/>
      <c r="BP324" s="56"/>
      <c r="BQ324" s="56"/>
      <c r="BR324" s="56"/>
      <c r="BS324" s="56"/>
      <c r="BT324" s="56"/>
      <c r="BU324" s="56"/>
      <c r="BV324" s="56"/>
      <c r="BW324" s="56"/>
      <c r="BX324" s="56"/>
      <c r="BY324" s="56"/>
      <c r="BZ324" s="56"/>
      <c r="CA324" s="56"/>
      <c r="CC324" s="146"/>
      <c r="CD324" s="146"/>
      <c r="CE324" s="146"/>
      <c r="CJ324" s="6"/>
      <c r="CK324" s="6"/>
      <c r="CL324" s="6"/>
    </row>
    <row r="325" spans="1:90" s="49" customFormat="1" ht="13.5" customHeight="1">
      <c r="B325" s="22" t="str">
        <f>+B9</f>
        <v xml:space="preserve">% growth </v>
      </c>
      <c r="C325" s="79">
        <f t="shared" ref="C325:AB325" si="1134">+C9</f>
        <v>0.13594025677429644</v>
      </c>
      <c r="D325" s="79">
        <f t="shared" si="1134"/>
        <v>0.10156169538034021</v>
      </c>
      <c r="E325" s="79">
        <f t="shared" si="1134"/>
        <v>1.8713825629580239E-2</v>
      </c>
      <c r="F325" s="79">
        <f t="shared" si="1134"/>
        <v>4.359715397271291E-2</v>
      </c>
      <c r="G325" s="79">
        <f t="shared" si="1134"/>
        <v>0</v>
      </c>
      <c r="H325" s="79">
        <f t="shared" si="1134"/>
        <v>3.3341141757142534E-2</v>
      </c>
      <c r="I325" s="79">
        <f t="shared" si="1134"/>
        <v>-2.8374825624586708E-2</v>
      </c>
      <c r="J325" s="79">
        <f t="shared" si="1134"/>
        <v>9.6133141111505171E-3</v>
      </c>
      <c r="K325" s="79">
        <f t="shared" si="1134"/>
        <v>2.8244213620235215E-2</v>
      </c>
      <c r="L325" s="79">
        <f t="shared" si="1134"/>
        <v>0.24807648832598539</v>
      </c>
      <c r="M325" s="79">
        <f t="shared" si="1134"/>
        <v>1.2121722923081224E-2</v>
      </c>
      <c r="N325" s="79">
        <f t="shared" si="1134"/>
        <v>-0.10568654987519466</v>
      </c>
      <c r="O325" s="79">
        <f t="shared" si="1134"/>
        <v>0.10336482838042471</v>
      </c>
      <c r="P325" s="79">
        <f>+P9</f>
        <v>9.8844321928205137E-2</v>
      </c>
      <c r="Q325" s="56"/>
      <c r="R325" s="79">
        <f t="shared" si="1134"/>
        <v>3.9619390377437558E-2</v>
      </c>
      <c r="S325" s="79">
        <f t="shared" si="1134"/>
        <v>5.0172033885750977E-2</v>
      </c>
      <c r="T325" s="79">
        <f t="shared" si="1134"/>
        <v>1.5069957731956629E-2</v>
      </c>
      <c r="U325" s="79">
        <f t="shared" si="1134"/>
        <v>-2.1347505835990321E-2</v>
      </c>
      <c r="V325" s="223">
        <f t="shared" si="1134"/>
        <v>3.3042449584698819E-2</v>
      </c>
      <c r="W325" s="223">
        <f t="shared" si="1134"/>
        <v>3.4059973756129791E-2</v>
      </c>
      <c r="X325" s="223">
        <f t="shared" si="1134"/>
        <v>3.8744924572331696E-2</v>
      </c>
      <c r="Y325" s="223">
        <f t="shared" si="1134"/>
        <v>6.5329460712494125E-2</v>
      </c>
      <c r="Z325" s="223">
        <f t="shared" si="1134"/>
        <v>2.982765590001546E-2</v>
      </c>
      <c r="AA325" s="223">
        <f t="shared" si="1134"/>
        <v>4.5343173881021714E-2</v>
      </c>
      <c r="AB325" s="223">
        <f t="shared" si="1134"/>
        <v>3.2243758216675689E-2</v>
      </c>
      <c r="AC325" s="223">
        <f t="shared" ref="AC325:AM325" si="1135">+AC9</f>
        <v>1.2306402319929743E-2</v>
      </c>
      <c r="AD325" s="223">
        <f t="shared" si="1135"/>
        <v>2.1067760918096035E-2</v>
      </c>
      <c r="AE325" s="223">
        <f t="shared" si="1135"/>
        <v>6.7986649864903992E-3</v>
      </c>
      <c r="AF325" s="223">
        <f t="shared" si="1135"/>
        <v>1.8268096371465425E-3</v>
      </c>
      <c r="AG325" s="223">
        <f t="shared" si="1135"/>
        <v>-4.7002089041699002E-2</v>
      </c>
      <c r="AH325" s="223">
        <f t="shared" si="1135"/>
        <v>-2.0344537642636773E-2</v>
      </c>
      <c r="AI325" s="223">
        <f t="shared" si="1135"/>
        <v>-0.26865353409685244</v>
      </c>
      <c r="AJ325" s="223">
        <f t="shared" si="1135"/>
        <v>0.17855817960157228</v>
      </c>
      <c r="AK325" s="223">
        <f t="shared" si="1135"/>
        <v>0.20719967203499645</v>
      </c>
      <c r="AL325" s="223">
        <f t="shared" si="1135"/>
        <v>0.17501726223656311</v>
      </c>
      <c r="AM325" s="223">
        <f t="shared" si="1135"/>
        <v>0.63922627565786305</v>
      </c>
      <c r="AN325" s="223">
        <f t="shared" ref="AN325:BA325" si="1136">+AN9</f>
        <v>0.18196345285496518</v>
      </c>
      <c r="AO325" s="223">
        <f t="shared" si="1136"/>
        <v>0.14286323971706927</v>
      </c>
      <c r="AP325" s="223">
        <f t="shared" si="1136"/>
        <v>0.14790645987316964</v>
      </c>
      <c r="AQ325" s="223">
        <f t="shared" si="1136"/>
        <v>9.5624627436964316E-2</v>
      </c>
      <c r="AR325" s="223">
        <f t="shared" si="1136"/>
        <v>-4.911826900525651E-2</v>
      </c>
      <c r="AS325" s="223">
        <f t="shared" si="1136"/>
        <v>-9.7446256565994038E-2</v>
      </c>
      <c r="AT325" s="223">
        <f t="shared" si="1136"/>
        <v>-0.10660043038598221</v>
      </c>
      <c r="AU325" s="223">
        <f t="shared" si="1136"/>
        <v>-0.15244057888902107</v>
      </c>
      <c r="AV325" s="223">
        <f t="shared" si="1136"/>
        <v>-0.11464844561655108</v>
      </c>
      <c r="AW325" s="223">
        <f t="shared" si="1136"/>
        <v>-5.3203553300137263E-2</v>
      </c>
      <c r="AX325" s="223">
        <f t="shared" si="1136"/>
        <v>5.1786180083518873E-2</v>
      </c>
      <c r="AY325" s="223">
        <f t="shared" si="1136"/>
        <v>0.10152214709763441</v>
      </c>
      <c r="AZ325" s="223">
        <f t="shared" si="1136"/>
        <v>8.9065443156151503E-2</v>
      </c>
      <c r="BA325" s="223">
        <f t="shared" si="1136"/>
        <v>0.16100107970190858</v>
      </c>
      <c r="BB325" s="223">
        <f t="shared" si="1133"/>
        <v>0.10894495451237685</v>
      </c>
      <c r="BC325" s="223">
        <f t="shared" si="1133"/>
        <v>0.10149333561509888</v>
      </c>
      <c r="BD325" s="223">
        <f t="shared" si="1133"/>
        <v>9.4611132466470682E-2</v>
      </c>
      <c r="BE325" s="223">
        <f t="shared" si="1133"/>
        <v>9.2200625805202829E-2</v>
      </c>
      <c r="BF325" s="223">
        <f>+BF9</f>
        <v>4.2532632926176372E-2</v>
      </c>
      <c r="BG325" s="142"/>
      <c r="BH325" s="223"/>
      <c r="BI325" s="223"/>
      <c r="BJ325" s="223"/>
      <c r="BK325" s="223"/>
      <c r="BL325" s="223">
        <f>+BL9</f>
        <v>2.1067760918096035E-2</v>
      </c>
      <c r="BM325" s="334"/>
      <c r="BN325" s="224"/>
      <c r="BO325" s="79"/>
      <c r="BP325" s="79"/>
      <c r="BQ325" s="79"/>
      <c r="BR325" s="79"/>
      <c r="BS325" s="79"/>
      <c r="BT325" s="79"/>
      <c r="BU325" s="56"/>
      <c r="BV325" s="56"/>
      <c r="BW325" s="56"/>
      <c r="BX325" s="334"/>
      <c r="BY325" s="334"/>
      <c r="BZ325" s="334"/>
      <c r="CA325" s="334"/>
      <c r="CC325" s="207"/>
      <c r="CD325" s="207"/>
      <c r="CE325" s="207"/>
      <c r="CJ325" s="6"/>
      <c r="CK325" s="6"/>
      <c r="CL325" s="6"/>
    </row>
    <row r="326" spans="1:90" s="49" customFormat="1" ht="13.5" customHeight="1">
      <c r="B326" s="22" t="str">
        <f>+B10</f>
        <v>LFL Sales growth</v>
      </c>
      <c r="C326" s="79">
        <f t="shared" ref="C326:AB326" si="1137">+C10</f>
        <v>0</v>
      </c>
      <c r="D326" s="79">
        <f t="shared" si="1137"/>
        <v>0</v>
      </c>
      <c r="E326" s="79">
        <f t="shared" si="1137"/>
        <v>0</v>
      </c>
      <c r="F326" s="79">
        <f t="shared" si="1137"/>
        <v>0</v>
      </c>
      <c r="G326" s="79">
        <f t="shared" si="1137"/>
        <v>0</v>
      </c>
      <c r="H326" s="79">
        <f t="shared" si="1137"/>
        <v>0</v>
      </c>
      <c r="I326" s="79">
        <f t="shared" si="1137"/>
        <v>0</v>
      </c>
      <c r="J326" s="79">
        <f t="shared" si="1137"/>
        <v>0</v>
      </c>
      <c r="K326" s="79">
        <f t="shared" si="1137"/>
        <v>0</v>
      </c>
      <c r="L326" s="79">
        <f t="shared" si="1137"/>
        <v>0</v>
      </c>
      <c r="M326" s="79">
        <f t="shared" si="1137"/>
        <v>0</v>
      </c>
      <c r="N326" s="79">
        <f t="shared" si="1137"/>
        <v>0</v>
      </c>
      <c r="O326" s="79">
        <f t="shared" si="1137"/>
        <v>0</v>
      </c>
      <c r="P326" s="79">
        <f>+P10</f>
        <v>0</v>
      </c>
      <c r="Q326" s="56"/>
      <c r="R326" s="79">
        <f t="shared" si="1137"/>
        <v>0</v>
      </c>
      <c r="S326" s="79">
        <f t="shared" si="1137"/>
        <v>0</v>
      </c>
      <c r="T326" s="79">
        <f t="shared" si="1137"/>
        <v>0</v>
      </c>
      <c r="U326" s="79">
        <f t="shared" si="1137"/>
        <v>0</v>
      </c>
      <c r="V326" s="223">
        <f t="shared" si="1137"/>
        <v>0</v>
      </c>
      <c r="W326" s="223">
        <f t="shared" si="1137"/>
        <v>0</v>
      </c>
      <c r="X326" s="223">
        <f t="shared" si="1137"/>
        <v>0</v>
      </c>
      <c r="Y326" s="79">
        <f t="shared" si="1137"/>
        <v>0</v>
      </c>
      <c r="Z326" s="79">
        <f t="shared" si="1137"/>
        <v>0</v>
      </c>
      <c r="AA326" s="79">
        <f t="shared" si="1137"/>
        <v>0</v>
      </c>
      <c r="AB326" s="223">
        <f t="shared" si="1137"/>
        <v>0</v>
      </c>
      <c r="AC326" s="223">
        <f t="shared" ref="AC326:AM326" si="1138">+AC10</f>
        <v>0</v>
      </c>
      <c r="AD326" s="79">
        <f t="shared" si="1138"/>
        <v>0</v>
      </c>
      <c r="AE326" s="79">
        <f t="shared" si="1138"/>
        <v>0</v>
      </c>
      <c r="AF326" s="79">
        <f t="shared" si="1138"/>
        <v>0</v>
      </c>
      <c r="AG326" s="223">
        <f t="shared" si="1138"/>
        <v>0</v>
      </c>
      <c r="AH326" s="79">
        <f t="shared" si="1138"/>
        <v>0</v>
      </c>
      <c r="AI326" s="79">
        <f t="shared" si="1138"/>
        <v>0</v>
      </c>
      <c r="AJ326" s="79">
        <f t="shared" si="1138"/>
        <v>0</v>
      </c>
      <c r="AK326" s="223">
        <f t="shared" si="1138"/>
        <v>0</v>
      </c>
      <c r="AL326" s="79">
        <f t="shared" si="1138"/>
        <v>0</v>
      </c>
      <c r="AM326" s="79">
        <f t="shared" si="1138"/>
        <v>0</v>
      </c>
      <c r="AN326" s="79">
        <f t="shared" ref="AN326:BA326" si="1139">+AN10</f>
        <v>0</v>
      </c>
      <c r="AO326" s="223">
        <f t="shared" si="1139"/>
        <v>0</v>
      </c>
      <c r="AP326" s="79">
        <f t="shared" si="1139"/>
        <v>0</v>
      </c>
      <c r="AQ326" s="79">
        <f t="shared" si="1139"/>
        <v>0</v>
      </c>
      <c r="AR326" s="79">
        <f t="shared" si="1139"/>
        <v>0</v>
      </c>
      <c r="AS326" s="223">
        <f t="shared" si="1139"/>
        <v>0</v>
      </c>
      <c r="AT326" s="79">
        <f t="shared" si="1139"/>
        <v>0</v>
      </c>
      <c r="AU326" s="79">
        <f t="shared" si="1139"/>
        <v>0</v>
      </c>
      <c r="AV326" s="79">
        <f t="shared" si="1139"/>
        <v>0</v>
      </c>
      <c r="AW326" s="223">
        <f t="shared" si="1139"/>
        <v>0</v>
      </c>
      <c r="AX326" s="79">
        <f t="shared" si="1139"/>
        <v>0</v>
      </c>
      <c r="AY326" s="79">
        <f t="shared" si="1139"/>
        <v>0</v>
      </c>
      <c r="AZ326" s="79">
        <f t="shared" si="1139"/>
        <v>0</v>
      </c>
      <c r="BA326" s="223">
        <f t="shared" si="1139"/>
        <v>0</v>
      </c>
      <c r="BB326" s="79">
        <f t="shared" si="1133"/>
        <v>0</v>
      </c>
      <c r="BC326" s="79">
        <f t="shared" si="1133"/>
        <v>0</v>
      </c>
      <c r="BD326" s="79">
        <f t="shared" si="1133"/>
        <v>0</v>
      </c>
      <c r="BE326" s="223">
        <f t="shared" si="1133"/>
        <v>0</v>
      </c>
      <c r="BF326" s="79">
        <f>+BF10</f>
        <v>0</v>
      </c>
      <c r="BG326" s="142"/>
      <c r="BH326" s="79"/>
      <c r="BI326" s="79"/>
      <c r="BJ326" s="79"/>
      <c r="BK326" s="223"/>
      <c r="BL326" s="79">
        <f>+BL10</f>
        <v>0</v>
      </c>
      <c r="BM326" s="223"/>
      <c r="BN326" s="223"/>
      <c r="BO326" s="79"/>
      <c r="BP326" s="79"/>
      <c r="BQ326" s="79"/>
      <c r="BR326" s="79"/>
      <c r="BS326" s="79"/>
      <c r="BT326" s="79"/>
      <c r="BU326" s="56"/>
      <c r="BV326" s="56"/>
      <c r="BW326" s="56"/>
      <c r="BX326" s="334"/>
      <c r="BY326" s="334"/>
      <c r="BZ326" s="334"/>
      <c r="CA326" s="334"/>
      <c r="CC326" s="207"/>
      <c r="CD326" s="207"/>
      <c r="CE326" s="207"/>
      <c r="CJ326" s="6"/>
      <c r="CK326" s="6"/>
      <c r="CL326" s="6"/>
    </row>
    <row r="327" spans="1:90" s="5" customFormat="1" ht="13.5" customHeight="1" thickBot="1">
      <c r="B327" s="26" t="str">
        <f>B105</f>
        <v xml:space="preserve">EBITDA </v>
      </c>
      <c r="C327" s="67">
        <f t="shared" ref="C327:AB327" si="1140">C105</f>
        <v>904212.95899999933</v>
      </c>
      <c r="D327" s="67">
        <f t="shared" si="1140"/>
        <v>1008564.7699999996</v>
      </c>
      <c r="E327" s="67">
        <f t="shared" si="1140"/>
        <v>1182131.2770000002</v>
      </c>
      <c r="F327" s="67">
        <f t="shared" si="1140"/>
        <v>1090047.8910000008</v>
      </c>
      <c r="G327" s="67">
        <f t="shared" ref="G327:O327" si="1141">G105</f>
        <v>1090047.8909999998</v>
      </c>
      <c r="H327" s="67">
        <f t="shared" si="1141"/>
        <v>1098101.9970000009</v>
      </c>
      <c r="I327" s="67">
        <f t="shared" si="1141"/>
        <v>891041.18799999997</v>
      </c>
      <c r="J327" s="67">
        <f t="shared" si="1141"/>
        <v>812028.71899999981</v>
      </c>
      <c r="K327" s="67">
        <f t="shared" si="1141"/>
        <v>577488.72799999954</v>
      </c>
      <c r="L327" s="67">
        <f t="shared" si="1141"/>
        <v>1204308.0789999999</v>
      </c>
      <c r="M327" s="67">
        <f t="shared" si="1141"/>
        <v>765738.04500000062</v>
      </c>
      <c r="N327" s="67">
        <f t="shared" si="1141"/>
        <v>945146.58799999952</v>
      </c>
      <c r="O327" s="67">
        <f t="shared" si="1141"/>
        <v>1386328.6879999998</v>
      </c>
      <c r="P327" s="67">
        <f>P105</f>
        <v>2909666.0959999999</v>
      </c>
      <c r="Q327" s="56"/>
      <c r="R327" s="67">
        <f t="shared" si="1140"/>
        <v>221041.61200000005</v>
      </c>
      <c r="S327" s="67">
        <f t="shared" si="1140"/>
        <v>249733.97500000006</v>
      </c>
      <c r="T327" s="67">
        <f t="shared" si="1140"/>
        <v>354803.43700000003</v>
      </c>
      <c r="U327" s="67">
        <f t="shared" si="1140"/>
        <v>356552.25300000026</v>
      </c>
      <c r="V327" s="67">
        <f t="shared" si="1140"/>
        <v>247482.78499999986</v>
      </c>
      <c r="W327" s="67">
        <f t="shared" si="1140"/>
        <v>272055.00800000015</v>
      </c>
      <c r="X327" s="67">
        <f t="shared" si="1140"/>
        <v>212712.35400000008</v>
      </c>
      <c r="Y327" s="67">
        <f t="shared" si="1140"/>
        <v>357797.74400000059</v>
      </c>
      <c r="Z327" s="67">
        <f t="shared" si="1140"/>
        <v>261549.55099999998</v>
      </c>
      <c r="AA327" s="67">
        <f t="shared" si="1140"/>
        <v>270165.21600000007</v>
      </c>
      <c r="AB327" s="67">
        <f t="shared" si="1140"/>
        <v>226109.6270000005</v>
      </c>
      <c r="AC327" s="67">
        <f t="shared" ref="AC327:AL327" si="1142">AC105</f>
        <v>340277.60300000111</v>
      </c>
      <c r="AD327" s="67">
        <f t="shared" si="1142"/>
        <v>186438.76</v>
      </c>
      <c r="AE327" s="67">
        <f t="shared" si="1142"/>
        <v>221894.74599999972</v>
      </c>
      <c r="AF327" s="67">
        <f t="shared" si="1142"/>
        <v>172057.25599999999</v>
      </c>
      <c r="AG327" s="67">
        <f t="shared" si="1142"/>
        <v>231637.95700000023</v>
      </c>
      <c r="AH327" s="67">
        <f t="shared" si="1142"/>
        <v>141130.15000000002</v>
      </c>
      <c r="AI327" s="67">
        <f t="shared" si="1142"/>
        <v>-34000.150999999954</v>
      </c>
      <c r="AJ327" s="67">
        <f t="shared" si="1142"/>
        <v>136276.89400000082</v>
      </c>
      <c r="AK327" s="67">
        <f t="shared" si="1142"/>
        <v>334081.83499999915</v>
      </c>
      <c r="AL327" s="67">
        <f t="shared" si="1142"/>
        <v>240343.33700000006</v>
      </c>
      <c r="AM327" s="67"/>
      <c r="AN327" s="67">
        <f t="shared" ref="AN327:BA327" si="1143">AN105</f>
        <v>315363.76199999952</v>
      </c>
      <c r="AO327" s="67">
        <f t="shared" si="1143"/>
        <v>373524.93100000004</v>
      </c>
      <c r="AP327" s="67">
        <f t="shared" si="1143"/>
        <v>206538.23699999979</v>
      </c>
      <c r="AQ327" s="67">
        <f t="shared" si="1143"/>
        <v>268562.91400000046</v>
      </c>
      <c r="AR327" s="67">
        <f t="shared" si="1143"/>
        <v>157560.76499999955</v>
      </c>
      <c r="AS327" s="67">
        <f t="shared" si="1143"/>
        <v>133076.12899999999</v>
      </c>
      <c r="AT327" s="67">
        <f t="shared" si="1143"/>
        <v>123577.34300000014</v>
      </c>
      <c r="AU327" s="67">
        <f t="shared" si="1143"/>
        <v>309577.14599999972</v>
      </c>
      <c r="AV327" s="67">
        <f t="shared" si="1143"/>
        <v>145092.46300000054</v>
      </c>
      <c r="AW327" s="67">
        <f t="shared" si="1143"/>
        <v>366899.63600000017</v>
      </c>
      <c r="AX327" s="67">
        <f t="shared" si="1143"/>
        <v>248296.14100000018</v>
      </c>
      <c r="AY327" s="67">
        <f t="shared" si="1143"/>
        <v>362516.1519999993</v>
      </c>
      <c r="AZ327" s="67">
        <f t="shared" si="1143"/>
        <v>255261.71600000042</v>
      </c>
      <c r="BA327" s="67">
        <f t="shared" si="1143"/>
        <v>520254.67900000047</v>
      </c>
      <c r="BB327" s="67">
        <f t="shared" ref="BB327:BE329" si="1144">BB105</f>
        <v>353140.47399999987</v>
      </c>
      <c r="BC327" s="67">
        <f t="shared" si="1144"/>
        <v>770594.34800000058</v>
      </c>
      <c r="BD327" s="67">
        <f t="shared" si="1144"/>
        <v>327168.21799999959</v>
      </c>
      <c r="BE327" s="67">
        <f t="shared" si="1144"/>
        <v>1458763.0559999996</v>
      </c>
      <c r="BF327" s="67">
        <f>BF105</f>
        <v>146597.30999999991</v>
      </c>
      <c r="BG327" s="142"/>
      <c r="BH327" s="67"/>
      <c r="BI327" s="67"/>
      <c r="BJ327" s="67"/>
      <c r="BK327" s="67"/>
      <c r="BL327" s="67">
        <f>BL105</f>
        <v>186438.76</v>
      </c>
      <c r="BM327" s="8"/>
      <c r="BN327" s="67"/>
      <c r="BO327" s="67"/>
      <c r="BP327" s="67"/>
      <c r="BQ327" s="67"/>
      <c r="BR327" s="67"/>
      <c r="BS327" s="67"/>
      <c r="BT327" s="67"/>
      <c r="BU327" s="56"/>
      <c r="BV327" s="56"/>
      <c r="BW327" s="56"/>
      <c r="BX327" s="8"/>
      <c r="BY327" s="8"/>
      <c r="BZ327" s="8"/>
      <c r="CA327" s="8"/>
      <c r="CC327" s="146"/>
      <c r="CD327" s="146"/>
      <c r="CE327" s="146"/>
      <c r="CJ327" s="6"/>
      <c r="CK327" s="6"/>
      <c r="CL327" s="6"/>
    </row>
    <row r="328" spans="1:90" s="49" customFormat="1" ht="13.5" customHeight="1" thickTop="1">
      <c r="B328" s="22" t="str">
        <f>B106</f>
        <v xml:space="preserve">% growth </v>
      </c>
      <c r="C328" s="52">
        <f t="shared" ref="C328:AB328" si="1145">C106</f>
        <v>0.1311023421204871</v>
      </c>
      <c r="D328" s="52">
        <f t="shared" si="1145"/>
        <v>0.1154062325266898</v>
      </c>
      <c r="E328" s="52">
        <f t="shared" si="1145"/>
        <v>0.17209257368765796</v>
      </c>
      <c r="F328" s="52">
        <f t="shared" si="1145"/>
        <v>-7.7896074481412669E-2</v>
      </c>
      <c r="G328" s="52">
        <f t="shared" si="1145"/>
        <v>-8.8817841970012523E-16</v>
      </c>
      <c r="H328" s="52">
        <f t="shared" si="1145"/>
        <v>7.3887634355334075E-3</v>
      </c>
      <c r="I328" s="52">
        <f t="shared" si="1145"/>
        <v>-0.18256693549256164</v>
      </c>
      <c r="J328" s="52">
        <f t="shared" si="1145"/>
        <v>-8.8674317263996327E-2</v>
      </c>
      <c r="K328" s="52">
        <f t="shared" si="1145"/>
        <v>-0.28883213796777096</v>
      </c>
      <c r="L328" s="52">
        <f t="shared" si="1145"/>
        <v>1.0854226595397733</v>
      </c>
      <c r="M328" s="52">
        <f t="shared" si="1145"/>
        <v>-0.36416764252230793</v>
      </c>
      <c r="N328" s="52">
        <f t="shared" si="1145"/>
        <v>0.23429493176089844</v>
      </c>
      <c r="O328" s="52">
        <f t="shared" si="1145"/>
        <v>0.46678695728413344</v>
      </c>
      <c r="P328" s="52">
        <f>P106</f>
        <v>1.0988284532996695</v>
      </c>
      <c r="Q328" s="56"/>
      <c r="R328" s="79">
        <f t="shared" si="1145"/>
        <v>0.11907050106917483</v>
      </c>
      <c r="S328" s="79">
        <f t="shared" si="1145"/>
        <v>0.12960950225071799</v>
      </c>
      <c r="T328" s="79">
        <f t="shared" si="1145"/>
        <v>0.78122974940744916</v>
      </c>
      <c r="U328" s="79">
        <f t="shared" si="1145"/>
        <v>-8.7570032428048283E-2</v>
      </c>
      <c r="V328" s="224">
        <f t="shared" si="1145"/>
        <v>0.11962079339160714</v>
      </c>
      <c r="W328" s="224">
        <f t="shared" si="1145"/>
        <v>8.9379240449762865E-2</v>
      </c>
      <c r="X328" s="224">
        <f t="shared" si="1145"/>
        <v>-0.40047831611056217</v>
      </c>
      <c r="Y328" s="224">
        <f t="shared" si="1145"/>
        <v>3.4931513951206306E-3</v>
      </c>
      <c r="Z328" s="224">
        <f t="shared" si="1145"/>
        <v>5.6839371675893036E-2</v>
      </c>
      <c r="AA328" s="224">
        <f t="shared" si="1145"/>
        <v>-6.9463599067438597E-3</v>
      </c>
      <c r="AB328" s="224">
        <f t="shared" si="1145"/>
        <v>6.2983050810487606E-2</v>
      </c>
      <c r="AC328" s="224">
        <f t="shared" ref="AC328:AL328" si="1146">AC106</f>
        <v>-4.8966605558025678E-2</v>
      </c>
      <c r="AD328" s="224">
        <f t="shared" si="1146"/>
        <v>-9.1861946101453595E-2</v>
      </c>
      <c r="AE328" s="224">
        <f t="shared" si="1146"/>
        <v>1.07546752769625E-2</v>
      </c>
      <c r="AF328" s="224">
        <f t="shared" si="1146"/>
        <v>-2.6195393790001797E-2</v>
      </c>
      <c r="AG328" s="224">
        <f t="shared" si="1146"/>
        <v>-0.31926769508835562</v>
      </c>
      <c r="AH328" s="224">
        <f t="shared" si="1146"/>
        <v>-0.24302140820932294</v>
      </c>
      <c r="AI328" s="224">
        <f t="shared" si="1146"/>
        <v>-1.1532264806305959</v>
      </c>
      <c r="AJ328" s="224">
        <f t="shared" si="1146"/>
        <v>-0.20795613525301826</v>
      </c>
      <c r="AK328" s="224">
        <f t="shared" si="1146"/>
        <v>0.44225859754063901</v>
      </c>
      <c r="AL328" s="224">
        <f t="shared" si="1146"/>
        <v>0.70299072877057123</v>
      </c>
      <c r="AM328" s="224"/>
      <c r="AN328" s="224">
        <f t="shared" ref="AN328:BA328" si="1147">AN106</f>
        <v>1.3141396369071754</v>
      </c>
      <c r="AO328" s="224">
        <f t="shared" si="1147"/>
        <v>0.11806417430627736</v>
      </c>
      <c r="AP328" s="224">
        <f t="shared" si="1147"/>
        <v>-0.14065336872642431</v>
      </c>
      <c r="AQ328" s="224">
        <f t="shared" si="1147"/>
        <v>-1.9763224205681407</v>
      </c>
      <c r="AR328" s="224">
        <f t="shared" si="1147"/>
        <v>-0.5003840517351521</v>
      </c>
      <c r="AS328" s="224">
        <f t="shared" si="1147"/>
        <v>-0.64372892421469996</v>
      </c>
      <c r="AT328" s="224">
        <f t="shared" si="1147"/>
        <v>-0.40167329403513663</v>
      </c>
      <c r="AU328" s="224">
        <f t="shared" si="1147"/>
        <v>-2.1527174075866604</v>
      </c>
      <c r="AV328" s="224">
        <f t="shared" si="1147"/>
        <v>-7.9133291844572073E-2</v>
      </c>
      <c r="AW328" s="224">
        <f t="shared" si="1147"/>
        <v>1.7570657394159714</v>
      </c>
      <c r="AX328" s="224">
        <f t="shared" si="1147"/>
        <v>1.0092367659984394</v>
      </c>
      <c r="AY328" s="224">
        <f t="shared" si="1147"/>
        <v>-2.1710042446091924</v>
      </c>
      <c r="AZ328" s="224">
        <f t="shared" si="1147"/>
        <v>0.75930376204310113</v>
      </c>
      <c r="BA328" s="224">
        <f t="shared" si="1147"/>
        <v>0.41797545691759752</v>
      </c>
      <c r="BB328" s="224">
        <f t="shared" si="1144"/>
        <v>0.42225518519033134</v>
      </c>
      <c r="BC328" s="224">
        <f t="shared" si="1144"/>
        <v>-3.1256827971626544</v>
      </c>
      <c r="BD328" s="224">
        <f t="shared" si="1144"/>
        <v>0.28169716605681305</v>
      </c>
      <c r="BE328" s="224">
        <f t="shared" si="1144"/>
        <v>1.8039402909435407</v>
      </c>
      <c r="BF328" s="224">
        <f>BF106</f>
        <v>-0.58487536605617185</v>
      </c>
      <c r="BG328" s="142"/>
      <c r="BH328" s="224"/>
      <c r="BI328" s="224"/>
      <c r="BJ328" s="224"/>
      <c r="BK328" s="224"/>
      <c r="BL328" s="224">
        <f>BL106</f>
        <v>-9.1861946101453595E-2</v>
      </c>
      <c r="BM328" s="335"/>
      <c r="BN328" s="224"/>
      <c r="BO328" s="52"/>
      <c r="BP328" s="52"/>
      <c r="BQ328" s="52"/>
      <c r="BR328" s="52"/>
      <c r="BS328" s="52"/>
      <c r="BT328" s="52"/>
      <c r="BU328" s="56"/>
      <c r="BV328" s="56"/>
      <c r="BW328" s="56"/>
      <c r="BX328" s="335"/>
      <c r="BY328" s="335"/>
      <c r="BZ328" s="335"/>
      <c r="CA328" s="335"/>
      <c r="CC328" s="207"/>
      <c r="CD328" s="207"/>
      <c r="CE328" s="207"/>
      <c r="CJ328" s="6"/>
      <c r="CK328" s="6"/>
      <c r="CL328" s="6"/>
    </row>
    <row r="329" spans="1:90" s="49" customFormat="1" ht="13.5" customHeight="1">
      <c r="B329" s="22" t="str">
        <f>B107</f>
        <v>% margin</v>
      </c>
      <c r="C329" s="52">
        <f t="shared" ref="C329:AB329" si="1148">C107</f>
        <v>0.12846890708307987</v>
      </c>
      <c r="D329" s="52">
        <f t="shared" si="1148"/>
        <v>0.13008351710784888</v>
      </c>
      <c r="E329" s="52">
        <f t="shared" si="1148"/>
        <v>0.14966904397027536</v>
      </c>
      <c r="F329" s="52">
        <f t="shared" si="1148"/>
        <v>0.13224491121716259</v>
      </c>
      <c r="G329" s="52">
        <f t="shared" si="1148"/>
        <v>0.13277315547939794</v>
      </c>
      <c r="H329" s="52">
        <f t="shared" si="1148"/>
        <v>0.12943855568199142</v>
      </c>
      <c r="I329" s="52">
        <f t="shared" si="1148"/>
        <v>0.11170271235264653</v>
      </c>
      <c r="J329" s="52">
        <f t="shared" si="1148"/>
        <v>0.1008282568934426</v>
      </c>
      <c r="K329" s="52">
        <f t="shared" si="1148"/>
        <v>6.9736172533258992E-2</v>
      </c>
      <c r="L329" s="52">
        <f t="shared" si="1148"/>
        <v>0.11652282191894694</v>
      </c>
      <c r="M329" s="52">
        <f t="shared" si="1148"/>
        <v>7.3201650436572938E-2</v>
      </c>
      <c r="N329" s="52">
        <f t="shared" si="1148"/>
        <v>0.10102993096859482</v>
      </c>
      <c r="O329" s="52">
        <f t="shared" si="1148"/>
        <v>0.1343067870466482</v>
      </c>
      <c r="P329" s="52">
        <f>P107</f>
        <v>0.25653033873817688</v>
      </c>
      <c r="Q329" s="335"/>
      <c r="R329" s="52">
        <f t="shared" si="1148"/>
        <v>0.11697822480567246</v>
      </c>
      <c r="S329" s="52">
        <f t="shared" si="1148"/>
        <v>0.12814840278856465</v>
      </c>
      <c r="T329" s="52">
        <f t="shared" si="1148"/>
        <v>0.18977934323465695</v>
      </c>
      <c r="U329" s="52">
        <f t="shared" si="1148"/>
        <v>0.16278244659583735</v>
      </c>
      <c r="V329" s="224">
        <f t="shared" si="1148"/>
        <v>0.12678206294341682</v>
      </c>
      <c r="W329" s="224">
        <f t="shared" si="1148"/>
        <v>0.1350039777553369</v>
      </c>
      <c r="X329" s="224">
        <f t="shared" si="1148"/>
        <v>0.10953298421199691</v>
      </c>
      <c r="Y329" s="52">
        <f t="shared" si="1148"/>
        <v>0.15333385243755041</v>
      </c>
      <c r="Z329" s="52">
        <f t="shared" si="1148"/>
        <v>0.13010747475391443</v>
      </c>
      <c r="AA329" s="52">
        <f t="shared" si="1148"/>
        <v>0.1282508891690198</v>
      </c>
      <c r="AB329" s="224">
        <f t="shared" si="1148"/>
        <v>0.11279477816673371</v>
      </c>
      <c r="AC329" s="224">
        <f t="shared" ref="AC329:AL329" si="1149">AC107</f>
        <v>0.14405284193832607</v>
      </c>
      <c r="AD329" s="52">
        <f t="shared" si="1149"/>
        <v>9.675577895118645E-2</v>
      </c>
      <c r="AE329" s="52">
        <f t="shared" si="1149"/>
        <v>0.11127669615973121</v>
      </c>
      <c r="AF329" s="52">
        <f t="shared" si="1149"/>
        <v>9.1448980543661323E-2</v>
      </c>
      <c r="AG329" s="224">
        <f t="shared" si="1149"/>
        <v>0.10289783638994801</v>
      </c>
      <c r="AH329" s="52">
        <f t="shared" si="1149"/>
        <v>7.4763073460372934E-2</v>
      </c>
      <c r="AI329" s="52">
        <f t="shared" si="1149"/>
        <v>-2.3313897480450489E-2</v>
      </c>
      <c r="AJ329" s="52">
        <f t="shared" si="1149"/>
        <v>6.1457809406964999E-2</v>
      </c>
      <c r="AK329" s="224">
        <f t="shared" si="1149"/>
        <v>0.12293350689166713</v>
      </c>
      <c r="AL329" s="52">
        <f t="shared" si="1149"/>
        <v>0.10835655360080582</v>
      </c>
      <c r="AM329" s="52"/>
      <c r="AN329" s="52">
        <f t="shared" ref="AN329:BA329" si="1150">AN107</f>
        <v>0.12032686154771992</v>
      </c>
      <c r="AO329" s="224">
        <f t="shared" si="1150"/>
        <v>0.12026596455358368</v>
      </c>
      <c r="AP329" s="52">
        <f t="shared" si="1150"/>
        <v>8.1117967855634618E-2</v>
      </c>
      <c r="AQ329" s="52">
        <f t="shared" si="1150"/>
        <v>0.10253671139627936</v>
      </c>
      <c r="AR329" s="52">
        <f t="shared" si="1150"/>
        <v>6.3222603899442759E-2</v>
      </c>
      <c r="AS329" s="224">
        <f t="shared" si="1150"/>
        <v>4.7473388574998457E-2</v>
      </c>
      <c r="AT329" s="52">
        <f t="shared" si="1150"/>
        <v>5.4326247910097498E-2</v>
      </c>
      <c r="AU329" s="52">
        <f t="shared" si="1150"/>
        <v>0.13945435470264711</v>
      </c>
      <c r="AV329" s="52">
        <f t="shared" si="1150"/>
        <v>6.5758726966304332E-2</v>
      </c>
      <c r="AW329" s="224">
        <f t="shared" si="1150"/>
        <v>0.1382422310839127</v>
      </c>
      <c r="AX329" s="52">
        <f t="shared" si="1150"/>
        <v>0.10377992858876145</v>
      </c>
      <c r="AY329" s="52">
        <f t="shared" si="1150"/>
        <v>0.14825089238224934</v>
      </c>
      <c r="AZ329" s="52">
        <f t="shared" si="1150"/>
        <v>0.1062283047047308</v>
      </c>
      <c r="BA329" s="224">
        <f t="shared" si="1150"/>
        <v>0.16884057578727588</v>
      </c>
      <c r="BB329" s="52">
        <f t="shared" si="1144"/>
        <v>0.1331008729995542</v>
      </c>
      <c r="BC329" s="52">
        <f t="shared" si="1144"/>
        <v>0.28609739288615965</v>
      </c>
      <c r="BD329" s="52">
        <f t="shared" si="1144"/>
        <v>0.1243843709028271</v>
      </c>
      <c r="BE329" s="224">
        <f t="shared" si="1144"/>
        <v>0.43345414936658799</v>
      </c>
      <c r="BF329" s="52">
        <f>BF107</f>
        <v>5.2999253391674404E-2</v>
      </c>
      <c r="BG329" s="142"/>
      <c r="BH329" s="52"/>
      <c r="BI329" s="52"/>
      <c r="BJ329" s="52"/>
      <c r="BK329" s="224"/>
      <c r="BL329" s="52">
        <f>BL107</f>
        <v>9.675577895118645E-2</v>
      </c>
      <c r="BM329" s="335"/>
      <c r="BN329" s="224"/>
      <c r="BO329" s="52"/>
      <c r="BP329" s="52"/>
      <c r="BQ329" s="52"/>
      <c r="BR329" s="52"/>
      <c r="BS329" s="52"/>
      <c r="BT329" s="52"/>
      <c r="BU329" s="56"/>
      <c r="BV329" s="56"/>
      <c r="BW329" s="56"/>
      <c r="BX329" s="335"/>
      <c r="BY329" s="335"/>
      <c r="BZ329" s="335"/>
      <c r="CA329" s="335"/>
      <c r="CC329" s="207"/>
      <c r="CD329" s="207"/>
      <c r="CE329" s="207"/>
      <c r="CJ329" s="6"/>
      <c r="CK329" s="6"/>
      <c r="CL329" s="6"/>
    </row>
    <row r="330" spans="1:90" ht="13.5" customHeight="1">
      <c r="C330" s="53"/>
      <c r="BG330" s="142"/>
      <c r="BH330" s="53"/>
      <c r="BI330" s="53"/>
      <c r="BJ330" s="53"/>
      <c r="BK330" s="53"/>
      <c r="BL330" s="53"/>
      <c r="BM330" s="53"/>
      <c r="BN330" s="53"/>
      <c r="BO330" s="53"/>
      <c r="BP330" s="53"/>
      <c r="BQ330" s="53"/>
      <c r="BR330" s="53"/>
      <c r="BS330" s="53"/>
      <c r="BT330" s="53"/>
      <c r="BU330" s="56"/>
      <c r="BV330" s="56"/>
      <c r="BW330" s="56"/>
      <c r="BX330" s="53"/>
      <c r="BY330" s="53"/>
      <c r="BZ330" s="53"/>
      <c r="CA330" s="53"/>
      <c r="CC330" s="203"/>
      <c r="CD330" s="203"/>
      <c r="CE330" s="203"/>
      <c r="CJ330" s="6"/>
      <c r="CK330" s="6"/>
      <c r="CL330" s="6"/>
    </row>
    <row r="331" spans="1:90" s="5" customFormat="1" ht="13.5" customHeight="1" thickBot="1">
      <c r="B331" s="26" t="str">
        <f>B109</f>
        <v xml:space="preserve">Adj. EBITDA </v>
      </c>
      <c r="C331" s="67">
        <f t="shared" ref="C331:AB331" si="1151">C109</f>
        <v>895706</v>
      </c>
      <c r="D331" s="67">
        <f t="shared" si="1151"/>
        <v>974815</v>
      </c>
      <c r="E331" s="67">
        <f t="shared" si="1151"/>
        <v>1021405</v>
      </c>
      <c r="F331" s="67">
        <f t="shared" si="1151"/>
        <v>1084357.895</v>
      </c>
      <c r="G331" s="67">
        <f t="shared" ref="G331:O331" si="1152">G109</f>
        <v>1086759.895</v>
      </c>
      <c r="H331" s="67">
        <f t="shared" si="1152"/>
        <v>1074021.3770000001</v>
      </c>
      <c r="I331" s="67">
        <f t="shared" si="1152"/>
        <v>866383.94500000007</v>
      </c>
      <c r="J331" s="67">
        <f t="shared" si="1152"/>
        <v>791232.74500000011</v>
      </c>
      <c r="K331" s="67">
        <f t="shared" si="1152"/>
        <v>622552.37899999996</v>
      </c>
      <c r="L331" s="67">
        <f t="shared" si="1152"/>
        <v>1233363.9020000002</v>
      </c>
      <c r="M331" s="67">
        <f t="shared" si="1152"/>
        <v>756358.39300000027</v>
      </c>
      <c r="N331" s="67">
        <f t="shared" si="1152"/>
        <v>678211.42</v>
      </c>
      <c r="O331" s="67">
        <f t="shared" si="1152"/>
        <v>1150669.0729999999</v>
      </c>
      <c r="P331" s="67">
        <f>P109</f>
        <v>1502929.4209999999</v>
      </c>
      <c r="Q331" s="8"/>
      <c r="R331" s="67">
        <f t="shared" si="1151"/>
        <v>219905.372</v>
      </c>
      <c r="S331" s="67">
        <f t="shared" si="1151"/>
        <v>250356.68599999999</v>
      </c>
      <c r="T331" s="67">
        <f t="shared" si="1151"/>
        <v>217705.649</v>
      </c>
      <c r="U331" s="67">
        <f t="shared" si="1151"/>
        <v>333437.3189999999</v>
      </c>
      <c r="V331" s="67">
        <f t="shared" si="1151"/>
        <v>253372.09699999998</v>
      </c>
      <c r="W331" s="67">
        <f t="shared" si="1151"/>
        <v>263548.20800000004</v>
      </c>
      <c r="X331" s="67">
        <f t="shared" si="1151"/>
        <v>213973.76000000001</v>
      </c>
      <c r="Y331" s="67">
        <f t="shared" si="1151"/>
        <v>353463.82999999996</v>
      </c>
      <c r="Z331" s="67">
        <f t="shared" si="1151"/>
        <v>262155.10600000003</v>
      </c>
      <c r="AA331" s="67">
        <f t="shared" si="1151"/>
        <v>271290.62600000005</v>
      </c>
      <c r="AB331" s="67">
        <f t="shared" si="1151"/>
        <v>224759.58199999999</v>
      </c>
      <c r="AC331" s="67">
        <f t="shared" ref="AC331:AM331" si="1153">AC109</f>
        <v>315816.06299999997</v>
      </c>
      <c r="AD331" s="67">
        <f t="shared" si="1153"/>
        <v>187012.663</v>
      </c>
      <c r="AE331" s="67">
        <f t="shared" si="1153"/>
        <v>212798.4499999999</v>
      </c>
      <c r="AF331" s="67">
        <f t="shared" si="1153"/>
        <v>168305.60199999998</v>
      </c>
      <c r="AG331" s="67">
        <f t="shared" si="1153"/>
        <v>223116.03000000006</v>
      </c>
      <c r="AH331" s="67">
        <f t="shared" si="1153"/>
        <v>140819.99399999998</v>
      </c>
      <c r="AI331" s="67">
        <f t="shared" si="1153"/>
        <v>-35452.159999999974</v>
      </c>
      <c r="AJ331" s="67">
        <f t="shared" si="1153"/>
        <v>134114.19299999991</v>
      </c>
      <c r="AK331" s="67">
        <f t="shared" si="1153"/>
        <v>383070.35200000007</v>
      </c>
      <c r="AL331" s="67">
        <f t="shared" si="1153"/>
        <v>244634.93199999997</v>
      </c>
      <c r="AM331" s="67">
        <f t="shared" si="1153"/>
        <v>276546.16500000004</v>
      </c>
      <c r="AN331" s="67">
        <f t="shared" ref="AN331:BA331" si="1154">AN109</f>
        <v>311048.66499999992</v>
      </c>
      <c r="AO331" s="67">
        <f t="shared" si="1154"/>
        <v>401134.14</v>
      </c>
      <c r="AP331" s="67">
        <f t="shared" si="1154"/>
        <v>204521.32200000004</v>
      </c>
      <c r="AQ331" s="67">
        <f t="shared" si="1154"/>
        <v>185157.13299999991</v>
      </c>
      <c r="AR331" s="67">
        <f t="shared" si="1154"/>
        <v>133035.35700000013</v>
      </c>
      <c r="AS331" s="67">
        <f t="shared" si="1154"/>
        <v>233644.5809999998</v>
      </c>
      <c r="AT331" s="67">
        <f t="shared" si="1154"/>
        <v>118240.82199999999</v>
      </c>
      <c r="AU331" s="67">
        <f t="shared" si="1154"/>
        <v>139030.47900000011</v>
      </c>
      <c r="AV331" s="67">
        <f t="shared" si="1154"/>
        <v>129318.63499999999</v>
      </c>
      <c r="AW331" s="67">
        <f t="shared" si="1154"/>
        <v>291621.484</v>
      </c>
      <c r="AX331" s="67">
        <f t="shared" si="1154"/>
        <v>229221.27800000002</v>
      </c>
      <c r="AY331" s="67">
        <f t="shared" si="1154"/>
        <v>257936.80799999999</v>
      </c>
      <c r="AZ331" s="67">
        <f t="shared" si="1154"/>
        <v>239474.2410000001</v>
      </c>
      <c r="BA331" s="67">
        <f t="shared" si="1154"/>
        <v>424036.74599999993</v>
      </c>
      <c r="BB331" s="67">
        <f t="shared" ref="BB331:BE333" si="1155">BB109</f>
        <v>336443.40100000007</v>
      </c>
      <c r="BC331" s="67">
        <f t="shared" si="1155"/>
        <v>347122.95300000004</v>
      </c>
      <c r="BD331" s="67">
        <f t="shared" si="1155"/>
        <v>303112.92199999979</v>
      </c>
      <c r="BE331" s="67">
        <f t="shared" si="1155"/>
        <v>516250.14499999996</v>
      </c>
      <c r="BF331" s="67">
        <f>BF109</f>
        <v>353666.929</v>
      </c>
      <c r="BG331" s="142"/>
      <c r="BH331" s="67"/>
      <c r="BI331" s="67"/>
      <c r="BJ331" s="67"/>
      <c r="BK331" s="67"/>
      <c r="BL331" s="67">
        <f>BL109</f>
        <v>187012.663</v>
      </c>
      <c r="BM331" s="8"/>
      <c r="BN331" s="67"/>
      <c r="BO331" s="67"/>
      <c r="BP331" s="67"/>
      <c r="BQ331" s="67"/>
      <c r="BR331" s="67"/>
      <c r="BS331" s="67"/>
      <c r="BT331" s="67"/>
      <c r="BU331" s="56"/>
      <c r="BV331" s="56"/>
      <c r="BW331" s="56"/>
      <c r="BX331" s="8"/>
      <c r="BY331" s="8"/>
      <c r="BZ331" s="8"/>
      <c r="CA331" s="8"/>
      <c r="CC331" s="146"/>
      <c r="CD331" s="146"/>
      <c r="CE331" s="146"/>
      <c r="CJ331" s="6"/>
      <c r="CK331" s="6"/>
      <c r="CL331" s="6"/>
    </row>
    <row r="332" spans="1:90" s="49" customFormat="1" ht="13.5" customHeight="1" thickTop="1">
      <c r="B332" s="22" t="str">
        <f>B110</f>
        <v xml:space="preserve">% growth </v>
      </c>
      <c r="C332" s="52">
        <f t="shared" ref="C332:AB332" si="1156">C110</f>
        <v>0</v>
      </c>
      <c r="D332" s="52">
        <f t="shared" si="1156"/>
        <v>8.8320274733003856E-2</v>
      </c>
      <c r="E332" s="52">
        <f t="shared" si="1156"/>
        <v>4.7793683929771236E-2</v>
      </c>
      <c r="F332" s="52">
        <f t="shared" si="1156"/>
        <v>6.1633627209578989E-2</v>
      </c>
      <c r="G332" s="52">
        <f t="shared" si="1156"/>
        <v>2.2151358062458826E-3</v>
      </c>
      <c r="H332" s="52">
        <f t="shared" si="1156"/>
        <v>-1.1721556949798817E-2</v>
      </c>
      <c r="I332" s="52">
        <f t="shared" si="1156"/>
        <v>-0.20278255667504175</v>
      </c>
      <c r="J332" s="52">
        <f t="shared" si="1156"/>
        <v>-8.6741219564035132E-2</v>
      </c>
      <c r="K332" s="52">
        <f t="shared" si="1156"/>
        <v>-0.21318678614596531</v>
      </c>
      <c r="L332" s="52">
        <f t="shared" si="1156"/>
        <v>0.98114077401991628</v>
      </c>
      <c r="M332" s="52">
        <f t="shared" si="1156"/>
        <v>-0.38675163771738141</v>
      </c>
      <c r="N332" s="52">
        <f t="shared" si="1156"/>
        <v>-0.10332003151315627</v>
      </c>
      <c r="O332" s="52">
        <f t="shared" si="1156"/>
        <v>0.69662296898509868</v>
      </c>
      <c r="P332" s="52">
        <f>P110</f>
        <v>0.30613523580814972</v>
      </c>
      <c r="Q332" s="335"/>
      <c r="R332" s="79">
        <f t="shared" si="1156"/>
        <v>7.3767169497253482E-2</v>
      </c>
      <c r="S332" s="79">
        <f t="shared" si="1156"/>
        <v>7.3401459041832595E-2</v>
      </c>
      <c r="T332" s="79">
        <f t="shared" si="1156"/>
        <v>6.9878881304500151E-2</v>
      </c>
      <c r="U332" s="79">
        <f t="shared" si="1156"/>
        <v>4.3008878531347605E-4</v>
      </c>
      <c r="V332" s="224">
        <f t="shared" si="1156"/>
        <v>0.1521869370248945</v>
      </c>
      <c r="W332" s="224">
        <f t="shared" si="1156"/>
        <v>5.2690911558080256E-2</v>
      </c>
      <c r="X332" s="224">
        <f t="shared" si="1156"/>
        <v>-1.7141902459315572E-2</v>
      </c>
      <c r="Y332" s="224">
        <f t="shared" si="1156"/>
        <v>6.0060796614070933E-2</v>
      </c>
      <c r="Z332" s="224">
        <f t="shared" si="1156"/>
        <v>3.4664468203063681E-2</v>
      </c>
      <c r="AA332" s="224">
        <f t="shared" si="1156"/>
        <v>2.9377615802267165E-2</v>
      </c>
      <c r="AB332" s="224">
        <f t="shared" si="1156"/>
        <v>5.0407218156095279E-2</v>
      </c>
      <c r="AC332" s="224">
        <f t="shared" ref="AC332:AM332" si="1157">AC110</f>
        <v>-0.10651094625438762</v>
      </c>
      <c r="AD332" s="224">
        <f t="shared" si="1157"/>
        <v>-9.0426026641407642E-2</v>
      </c>
      <c r="AE332" s="224">
        <f t="shared" si="1157"/>
        <v>-3.652837746362092E-2</v>
      </c>
      <c r="AF332" s="224">
        <f t="shared" si="1157"/>
        <v>-3.784204770078603E-2</v>
      </c>
      <c r="AG332" s="224">
        <f t="shared" si="1157"/>
        <v>-0.2935253898089405</v>
      </c>
      <c r="AH332" s="224">
        <f t="shared" si="1157"/>
        <v>-0.24700289413022269</v>
      </c>
      <c r="AI332" s="224">
        <f t="shared" si="1157"/>
        <v>-1.1665997097253293</v>
      </c>
      <c r="AJ332" s="224">
        <f t="shared" si="1157"/>
        <v>-0.20315074836308822</v>
      </c>
      <c r="AK332" s="224">
        <f t="shared" si="1157"/>
        <v>0.71691093643069914</v>
      </c>
      <c r="AL332" s="224">
        <f t="shared" si="1157"/>
        <v>0.7372173158876858</v>
      </c>
      <c r="AM332" s="224">
        <f t="shared" si="1157"/>
        <v>6.8005448751218607</v>
      </c>
      <c r="AN332" s="224">
        <f t="shared" ref="AN332:BA332" si="1158">AN110</f>
        <v>1.3192822328655409</v>
      </c>
      <c r="AO332" s="224">
        <f t="shared" si="1158"/>
        <v>4.7155275540613939E-2</v>
      </c>
      <c r="AP332" s="224">
        <f t="shared" si="1158"/>
        <v>-0.16397335275078351</v>
      </c>
      <c r="AQ332" s="224">
        <f t="shared" si="1158"/>
        <v>-1.6695342638362023</v>
      </c>
      <c r="AR332" s="224">
        <f t="shared" si="1158"/>
        <v>-0.57230050481007477</v>
      </c>
      <c r="AS332" s="224">
        <f t="shared" si="1158"/>
        <v>-0.4175400253890138</v>
      </c>
      <c r="AT332" s="224">
        <f t="shared" si="1158"/>
        <v>-0.42186555003785886</v>
      </c>
      <c r="AU332" s="224">
        <f t="shared" si="1158"/>
        <v>-1.750878331001162</v>
      </c>
      <c r="AV332" s="224">
        <f t="shared" si="1158"/>
        <v>-2.7937851138326586E-2</v>
      </c>
      <c r="AW332" s="224">
        <f t="shared" si="1158"/>
        <v>0.24814144095214541</v>
      </c>
      <c r="AX332" s="224">
        <f t="shared" si="1158"/>
        <v>0.93859679020161124</v>
      </c>
      <c r="AY332" s="224">
        <f t="shared" si="1158"/>
        <v>-2.8552536814607379</v>
      </c>
      <c r="AZ332" s="224">
        <f t="shared" si="1158"/>
        <v>0.85181540927956823</v>
      </c>
      <c r="BA332" s="224">
        <f t="shared" si="1158"/>
        <v>0.45406552419848434</v>
      </c>
      <c r="BB332" s="224">
        <f t="shared" si="1155"/>
        <v>0.46776688418952128</v>
      </c>
      <c r="BC332" s="224">
        <f t="shared" si="1155"/>
        <v>-2.345767421453087</v>
      </c>
      <c r="BD332" s="224">
        <f t="shared" si="1155"/>
        <v>0.26574332476952978</v>
      </c>
      <c r="BE332" s="224">
        <f t="shared" si="1155"/>
        <v>0.21746558492834023</v>
      </c>
      <c r="BF332" s="224">
        <f>BF110</f>
        <v>5.1192943445485861E-2</v>
      </c>
      <c r="BG332" s="142"/>
      <c r="BH332" s="224"/>
      <c r="BI332" s="224"/>
      <c r="BJ332" s="224"/>
      <c r="BK332" s="224"/>
      <c r="BL332" s="224">
        <f>BL110</f>
        <v>-9.0426026641407642E-2</v>
      </c>
      <c r="BM332" s="335"/>
      <c r="BN332" s="241"/>
      <c r="BO332" s="79"/>
      <c r="BP332" s="79"/>
      <c r="BQ332" s="79"/>
      <c r="BR332" s="79"/>
      <c r="BS332" s="79"/>
      <c r="BT332" s="79"/>
      <c r="BU332" s="56"/>
      <c r="BV332" s="56"/>
      <c r="BW332" s="56"/>
      <c r="BX332" s="334"/>
      <c r="BY332" s="334"/>
      <c r="BZ332" s="334"/>
      <c r="CA332" s="334"/>
      <c r="CJ332" s="6"/>
      <c r="CK332" s="6"/>
      <c r="CL332" s="6"/>
    </row>
    <row r="333" spans="1:90" s="49" customFormat="1" ht="13.5" customHeight="1">
      <c r="B333" s="22" t="str">
        <f>B111</f>
        <v>% margin</v>
      </c>
      <c r="C333" s="79">
        <f t="shared" ref="C333:AB333" si="1159">C111</f>
        <v>0.12726025406118652</v>
      </c>
      <c r="D333" s="79">
        <f t="shared" si="1159"/>
        <v>0.12573051082231212</v>
      </c>
      <c r="E333" s="79">
        <f t="shared" si="1159"/>
        <v>0.1293195712107523</v>
      </c>
      <c r="F333" s="79">
        <f t="shared" si="1159"/>
        <v>0.13155459933081437</v>
      </c>
      <c r="G333" s="79">
        <f t="shared" si="1159"/>
        <v>0.13237266151236396</v>
      </c>
      <c r="H333" s="79">
        <f t="shared" si="1159"/>
        <v>0.12660005736285307</v>
      </c>
      <c r="I333" s="79">
        <f t="shared" si="1159"/>
        <v>0.10861163086356244</v>
      </c>
      <c r="J333" s="79">
        <f t="shared" si="1159"/>
        <v>9.8246055353325257E-2</v>
      </c>
      <c r="K333" s="79">
        <f t="shared" si="1159"/>
        <v>7.5177952413531562E-2</v>
      </c>
      <c r="L333" s="79">
        <f t="shared" si="1159"/>
        <v>0.11933411792216631</v>
      </c>
      <c r="M333" s="79">
        <f t="shared" si="1159"/>
        <v>7.2304991309598624E-2</v>
      </c>
      <c r="N333" s="79">
        <f t="shared" si="1159"/>
        <v>7.2496323654625203E-2</v>
      </c>
      <c r="O333" s="79">
        <f t="shared" si="1159"/>
        <v>0.11147620869876645</v>
      </c>
      <c r="P333" s="79">
        <f>P111</f>
        <v>0.13250557993534873</v>
      </c>
      <c r="Q333" s="334"/>
      <c r="R333" s="79">
        <f t="shared" si="1159"/>
        <v>0.11637691115730292</v>
      </c>
      <c r="S333" s="79">
        <f t="shared" si="1159"/>
        <v>0.12846794048882693</v>
      </c>
      <c r="T333" s="79">
        <f t="shared" si="1159"/>
        <v>0.11644767433776226</v>
      </c>
      <c r="U333" s="79">
        <f t="shared" si="1159"/>
        <v>0.15222941971755435</v>
      </c>
      <c r="V333" s="223">
        <f t="shared" si="1159"/>
        <v>0.1297990773376804</v>
      </c>
      <c r="W333" s="223">
        <f t="shared" si="1159"/>
        <v>0.13078258206623747</v>
      </c>
      <c r="X333" s="223">
        <f t="shared" si="1159"/>
        <v>0.11018252600345727</v>
      </c>
      <c r="Y333" s="79">
        <f t="shared" si="1159"/>
        <v>0.15147655808369578</v>
      </c>
      <c r="Z333" s="79">
        <f t="shared" si="1159"/>
        <v>0.13040870727973367</v>
      </c>
      <c r="AA333" s="79">
        <f t="shared" si="1159"/>
        <v>0.12878513571384406</v>
      </c>
      <c r="AB333" s="223">
        <f t="shared" si="1159"/>
        <v>0.11212130827378587</v>
      </c>
      <c r="AC333" s="223">
        <f t="shared" ref="AC333:AM333" si="1160">AC111</f>
        <v>0.13369731361638654</v>
      </c>
      <c r="AD333" s="79">
        <f t="shared" si="1160"/>
        <v>9.7053616331178802E-2</v>
      </c>
      <c r="AE333" s="79">
        <f t="shared" si="1160"/>
        <v>0.10671504797104016</v>
      </c>
      <c r="AF333" s="79">
        <f t="shared" si="1160"/>
        <v>8.9454964472333587E-2</v>
      </c>
      <c r="AG333" s="223">
        <f t="shared" si="1160"/>
        <v>9.9112239842949035E-2</v>
      </c>
      <c r="AH333" s="79">
        <f t="shared" si="1160"/>
        <v>7.4598769689618219E-2</v>
      </c>
      <c r="AI333" s="79">
        <f t="shared" si="1160"/>
        <v>-2.4309539792941745E-2</v>
      </c>
      <c r="AJ333" s="79">
        <f t="shared" si="1160"/>
        <v>6.0482479973185066E-2</v>
      </c>
      <c r="AK333" s="223">
        <f t="shared" si="1160"/>
        <v>0.14096001884563847</v>
      </c>
      <c r="AL333" s="79">
        <f t="shared" si="1160"/>
        <v>0.11029137921093056</v>
      </c>
      <c r="AM333" s="79">
        <f t="shared" si="1160"/>
        <v>0.11568119597906049</v>
      </c>
      <c r="AN333" s="79">
        <f t="shared" ref="AN333:BA333" si="1161">AN111</f>
        <v>0.11868043877551841</v>
      </c>
      <c r="AO333" s="223">
        <f t="shared" si="1161"/>
        <v>0.12915545994029584</v>
      </c>
      <c r="AP333" s="79">
        <f t="shared" si="1161"/>
        <v>8.032582375431005E-2</v>
      </c>
      <c r="AQ333" s="79">
        <f t="shared" si="1161"/>
        <v>7.0692573395980771E-2</v>
      </c>
      <c r="AR333" s="79">
        <f t="shared" si="1161"/>
        <v>5.338157427854575E-2</v>
      </c>
      <c r="AS333" s="223">
        <f t="shared" si="1161"/>
        <v>8.3350034792909353E-2</v>
      </c>
      <c r="AT333" s="79">
        <f t="shared" si="1161"/>
        <v>5.1980242114978162E-2</v>
      </c>
      <c r="AU333" s="79">
        <f t="shared" si="1161"/>
        <v>6.2628672637691937E-2</v>
      </c>
      <c r="AV333" s="79">
        <f t="shared" si="1161"/>
        <v>5.8609721241138044E-2</v>
      </c>
      <c r="AW333" s="223">
        <f t="shared" si="1161"/>
        <v>0.1098785624855772</v>
      </c>
      <c r="AX333" s="79">
        <f t="shared" si="1161"/>
        <v>9.5807239556995868E-2</v>
      </c>
      <c r="AY333" s="79">
        <f t="shared" si="1161"/>
        <v>0.10548319503355255</v>
      </c>
      <c r="AZ333" s="79">
        <f t="shared" si="1161"/>
        <v>9.9658276378123647E-2</v>
      </c>
      <c r="BA333" s="223">
        <f t="shared" si="1161"/>
        <v>0.13761454003108115</v>
      </c>
      <c r="BB333" s="79">
        <f t="shared" si="1155"/>
        <v>0.126807640825784</v>
      </c>
      <c r="BC333" s="79">
        <f t="shared" si="1155"/>
        <v>0.12887581140712553</v>
      </c>
      <c r="BD333" s="79">
        <f t="shared" si="1155"/>
        <v>0.11523891393230537</v>
      </c>
      <c r="BE333" s="223">
        <f t="shared" si="1155"/>
        <v>0.15339761076411079</v>
      </c>
      <c r="BF333" s="79">
        <f>BF111</f>
        <v>0.1278610309174591</v>
      </c>
      <c r="BG333" s="142"/>
      <c r="BH333" s="79"/>
      <c r="BI333" s="79"/>
      <c r="BJ333" s="79"/>
      <c r="BK333" s="223"/>
      <c r="BL333" s="79">
        <f>BL111</f>
        <v>9.7053616331178802E-2</v>
      </c>
      <c r="BM333" s="334"/>
      <c r="BN333" s="79"/>
      <c r="BO333" s="79"/>
      <c r="BP333" s="79"/>
      <c r="BQ333" s="79"/>
      <c r="BR333" s="79"/>
      <c r="BS333" s="79"/>
      <c r="BT333" s="79"/>
      <c r="BU333" s="56"/>
      <c r="BV333" s="56"/>
      <c r="BW333" s="56"/>
      <c r="BX333" s="334"/>
      <c r="BY333" s="334"/>
      <c r="BZ333" s="334"/>
      <c r="CA333" s="334"/>
      <c r="CJ333" s="6"/>
      <c r="CK333" s="6"/>
      <c r="CL333" s="6"/>
    </row>
    <row r="334" spans="1:90" ht="13.5" customHeight="1">
      <c r="C334" s="53"/>
      <c r="S334" s="53"/>
      <c r="T334" s="53"/>
      <c r="U334" s="53"/>
      <c r="Y334" s="53"/>
      <c r="Z334" s="53"/>
      <c r="AA334" s="53"/>
      <c r="AD334" s="53"/>
      <c r="AE334" s="53"/>
      <c r="AF334" s="53"/>
      <c r="AH334" s="53"/>
      <c r="AI334" s="53"/>
      <c r="AJ334" s="53"/>
      <c r="AL334" s="53"/>
      <c r="AM334" s="53"/>
      <c r="AN334" s="53"/>
      <c r="AP334" s="53"/>
      <c r="AQ334" s="53"/>
      <c r="AR334" s="53"/>
      <c r="AT334" s="53"/>
      <c r="AU334" s="53"/>
      <c r="AV334" s="53"/>
      <c r="AX334" s="53"/>
      <c r="AY334" s="53"/>
      <c r="AZ334" s="53"/>
      <c r="BB334" s="53"/>
      <c r="BC334" s="53"/>
      <c r="BD334" s="53"/>
      <c r="BF334" s="53"/>
      <c r="BG334" s="142"/>
      <c r="BH334" s="53"/>
      <c r="BI334" s="53"/>
      <c r="BJ334" s="53"/>
      <c r="BL334" s="53"/>
      <c r="BM334" s="53"/>
      <c r="BN334" s="53"/>
      <c r="BO334" s="53"/>
      <c r="BP334" s="53"/>
      <c r="BQ334" s="53"/>
      <c r="BR334" s="53"/>
      <c r="BS334" s="53"/>
      <c r="BT334" s="53"/>
      <c r="BU334" s="56"/>
      <c r="BV334" s="56"/>
      <c r="BW334" s="56"/>
      <c r="BX334" s="53"/>
      <c r="BY334" s="53"/>
      <c r="BZ334" s="53"/>
      <c r="CA334" s="53"/>
      <c r="CJ334" s="6"/>
      <c r="CK334" s="6"/>
      <c r="CL334" s="6"/>
    </row>
    <row r="335" spans="1:90" s="5" customFormat="1" ht="13.5" customHeight="1">
      <c r="B335" s="5" t="str">
        <f t="shared" ref="B335:B353" si="1162">B134</f>
        <v xml:space="preserve">Adjusted EBITDA </v>
      </c>
      <c r="C335" s="148">
        <f t="shared" ref="C335:AB335" si="1163">C134</f>
        <v>895706</v>
      </c>
      <c r="D335" s="148">
        <f t="shared" si="1163"/>
        <v>974815</v>
      </c>
      <c r="E335" s="148">
        <f t="shared" si="1163"/>
        <v>1021405</v>
      </c>
      <c r="F335" s="148">
        <f t="shared" si="1163"/>
        <v>1084357.895</v>
      </c>
      <c r="G335" s="148">
        <f t="shared" ref="G335:O335" si="1164">G134</f>
        <v>1086759.895</v>
      </c>
      <c r="H335" s="148">
        <f t="shared" si="1164"/>
        <v>1074021.3770000001</v>
      </c>
      <c r="I335" s="148">
        <f t="shared" si="1164"/>
        <v>866383.94500000007</v>
      </c>
      <c r="J335" s="148">
        <f t="shared" si="1164"/>
        <v>791232.74500000011</v>
      </c>
      <c r="K335" s="148">
        <f t="shared" si="1164"/>
        <v>622552.37899999996</v>
      </c>
      <c r="L335" s="148">
        <f t="shared" si="1164"/>
        <v>1233363.9020000002</v>
      </c>
      <c r="M335" s="148">
        <f t="shared" si="1164"/>
        <v>756358.39300000027</v>
      </c>
      <c r="N335" s="148">
        <f t="shared" si="1164"/>
        <v>678211.42</v>
      </c>
      <c r="O335" s="148">
        <f t="shared" si="1164"/>
        <v>1150669.0729999999</v>
      </c>
      <c r="P335" s="148">
        <f t="shared" ref="P335:P353" si="1165">P134</f>
        <v>1502929.4209999999</v>
      </c>
      <c r="Q335" s="146"/>
      <c r="R335" s="148">
        <f t="shared" si="1163"/>
        <v>219905.372</v>
      </c>
      <c r="S335" s="148">
        <f t="shared" si="1163"/>
        <v>250356.68599999999</v>
      </c>
      <c r="T335" s="148">
        <f t="shared" si="1163"/>
        <v>217705.649</v>
      </c>
      <c r="U335" s="148">
        <f t="shared" si="1163"/>
        <v>333437.3189999999</v>
      </c>
      <c r="V335" s="146">
        <f t="shared" si="1163"/>
        <v>253372.09699999998</v>
      </c>
      <c r="W335" s="146">
        <f t="shared" si="1163"/>
        <v>263548.90300000005</v>
      </c>
      <c r="X335" s="146">
        <f t="shared" si="1163"/>
        <v>213973.76000000001</v>
      </c>
      <c r="Y335" s="148">
        <f t="shared" si="1163"/>
        <v>353463.82999999996</v>
      </c>
      <c r="Z335" s="148">
        <f t="shared" si="1163"/>
        <v>262155.10600000003</v>
      </c>
      <c r="AA335" s="148">
        <f t="shared" si="1163"/>
        <v>271290.62600000005</v>
      </c>
      <c r="AB335" s="146">
        <f t="shared" si="1163"/>
        <v>224759.58199999999</v>
      </c>
      <c r="AC335" s="146">
        <f t="shared" ref="AC335:AM335" si="1166">AC134</f>
        <v>315816.06299999997</v>
      </c>
      <c r="AD335" s="148">
        <f t="shared" si="1166"/>
        <v>187012.663</v>
      </c>
      <c r="AE335" s="148">
        <f t="shared" si="1166"/>
        <v>212798.4499999999</v>
      </c>
      <c r="AF335" s="148">
        <f t="shared" si="1166"/>
        <v>168305.60199999998</v>
      </c>
      <c r="AG335" s="146">
        <f t="shared" si="1166"/>
        <v>223116.03000000006</v>
      </c>
      <c r="AH335" s="148">
        <f t="shared" si="1166"/>
        <v>140819.99399999998</v>
      </c>
      <c r="AI335" s="148">
        <f t="shared" si="1166"/>
        <v>-35452.159999999974</v>
      </c>
      <c r="AJ335" s="148">
        <f t="shared" si="1166"/>
        <v>134114.19299999991</v>
      </c>
      <c r="AK335" s="146">
        <f t="shared" si="1166"/>
        <v>383070.35200000007</v>
      </c>
      <c r="AL335" s="148">
        <f t="shared" si="1166"/>
        <v>244634.93199999997</v>
      </c>
      <c r="AM335" s="148">
        <f t="shared" si="1166"/>
        <v>276546.16500000004</v>
      </c>
      <c r="AN335" s="148">
        <f t="shared" ref="AN335:BA335" si="1167">AN134</f>
        <v>311048.66499999992</v>
      </c>
      <c r="AO335" s="146">
        <f t="shared" si="1167"/>
        <v>401134.14</v>
      </c>
      <c r="AP335" s="148">
        <f t="shared" si="1167"/>
        <v>204521.32200000004</v>
      </c>
      <c r="AQ335" s="148">
        <f t="shared" si="1167"/>
        <v>185157.13299999991</v>
      </c>
      <c r="AR335" s="148">
        <f t="shared" si="1167"/>
        <v>133035.35700000013</v>
      </c>
      <c r="AS335" s="146">
        <f t="shared" si="1167"/>
        <v>233644.5809999998</v>
      </c>
      <c r="AT335" s="148">
        <f t="shared" si="1167"/>
        <v>118240.82199999999</v>
      </c>
      <c r="AU335" s="148">
        <f t="shared" si="1167"/>
        <v>139030.47900000011</v>
      </c>
      <c r="AV335" s="148">
        <f t="shared" si="1167"/>
        <v>129318.63499999999</v>
      </c>
      <c r="AW335" s="146">
        <f t="shared" si="1167"/>
        <v>291621.484</v>
      </c>
      <c r="AX335" s="148">
        <f t="shared" si="1167"/>
        <v>229221.27800000002</v>
      </c>
      <c r="AY335" s="148">
        <f t="shared" si="1167"/>
        <v>257936.80799999999</v>
      </c>
      <c r="AZ335" s="148">
        <f t="shared" si="1167"/>
        <v>239474.2410000001</v>
      </c>
      <c r="BA335" s="146">
        <f t="shared" si="1167"/>
        <v>424036.74599999993</v>
      </c>
      <c r="BB335" s="148">
        <f t="shared" ref="BB335:BE353" si="1168">BB134</f>
        <v>336443.40100000007</v>
      </c>
      <c r="BC335" s="148">
        <f t="shared" si="1168"/>
        <v>347122.95300000004</v>
      </c>
      <c r="BD335" s="148">
        <f t="shared" si="1168"/>
        <v>303112.92199999979</v>
      </c>
      <c r="BE335" s="146">
        <f t="shared" si="1168"/>
        <v>516250.14499999996</v>
      </c>
      <c r="BF335" s="148">
        <f t="shared" ref="BF335:BF353" si="1169">BF134</f>
        <v>353666.929</v>
      </c>
      <c r="BG335" s="142"/>
      <c r="BH335" s="148"/>
      <c r="BI335" s="148"/>
      <c r="BJ335" s="148"/>
      <c r="BK335" s="146"/>
      <c r="BL335" s="148">
        <f t="shared" ref="BL335:BL353" si="1170">BL134</f>
        <v>187012.663</v>
      </c>
      <c r="BM335" s="146"/>
      <c r="BN335" s="148"/>
      <c r="BO335" s="148"/>
      <c r="BP335" s="148"/>
      <c r="BQ335" s="148"/>
      <c r="BR335" s="148"/>
      <c r="BS335" s="148"/>
      <c r="BT335" s="148"/>
      <c r="BU335" s="56"/>
      <c r="BV335" s="56"/>
      <c r="BW335" s="56"/>
      <c r="BX335" s="146"/>
      <c r="BY335" s="146"/>
      <c r="BZ335" s="146"/>
      <c r="CA335" s="146"/>
      <c r="CJ335" s="6"/>
      <c r="CK335" s="6"/>
      <c r="CL335" s="6"/>
    </row>
    <row r="336" spans="1:90" ht="13.5" customHeight="1">
      <c r="B336" s="1" t="str">
        <f t="shared" si="1162"/>
        <v>Working Capital</v>
      </c>
      <c r="C336" s="165">
        <f>C135</f>
        <v>-124779.46799999988</v>
      </c>
      <c r="D336" s="165">
        <f>D135</f>
        <v>-312260</v>
      </c>
      <c r="E336" s="166">
        <f>E135</f>
        <v>-122753</v>
      </c>
      <c r="F336" s="166">
        <f>F135</f>
        <v>-159524.2080000001</v>
      </c>
      <c r="G336" s="166">
        <f t="shared" ref="G336:O336" si="1171">G135</f>
        <v>-160113.83600000013</v>
      </c>
      <c r="H336" s="166">
        <f t="shared" si="1171"/>
        <v>-212842.23600000003</v>
      </c>
      <c r="I336" s="166">
        <f t="shared" si="1171"/>
        <v>1221758.7240000002</v>
      </c>
      <c r="J336" s="166">
        <f t="shared" si="1171"/>
        <v>168925.12800000003</v>
      </c>
      <c r="K336" s="166">
        <f t="shared" si="1171"/>
        <v>294678.84299999988</v>
      </c>
      <c r="L336" s="166">
        <f t="shared" si="1171"/>
        <v>-531121.52199999965</v>
      </c>
      <c r="M336" s="166">
        <f t="shared" si="1171"/>
        <v>-356486.21500000032</v>
      </c>
      <c r="N336" s="166">
        <f t="shared" si="1171"/>
        <v>596225.60899999994</v>
      </c>
      <c r="O336" s="166">
        <f t="shared" si="1171"/>
        <v>-146360.39100000006</v>
      </c>
      <c r="P336" s="166">
        <f t="shared" si="1165"/>
        <v>55355.699000000022</v>
      </c>
      <c r="Q336" s="336"/>
      <c r="R336" s="166">
        <f t="shared" ref="R336:AB336" si="1172">R135</f>
        <v>64010.841000000015</v>
      </c>
      <c r="S336" s="166">
        <f t="shared" si="1172"/>
        <v>-188187.17099999962</v>
      </c>
      <c r="T336" s="166">
        <f t="shared" si="1172"/>
        <v>-36255.865000000224</v>
      </c>
      <c r="U336" s="166">
        <f t="shared" si="1172"/>
        <v>37679.194999999832</v>
      </c>
      <c r="V336" s="225">
        <f t="shared" si="1172"/>
        <v>4504.4870000001974</v>
      </c>
      <c r="W336" s="225">
        <f t="shared" si="1172"/>
        <v>-146646.4870000002</v>
      </c>
      <c r="X336" s="225">
        <f t="shared" si="1172"/>
        <v>-3621.8509999997914</v>
      </c>
      <c r="Y336" s="166">
        <f t="shared" si="1172"/>
        <v>-13760.357000000309</v>
      </c>
      <c r="Z336" s="166">
        <f t="shared" si="1172"/>
        <v>19552.851999999955</v>
      </c>
      <c r="AA336" s="166">
        <f t="shared" si="1172"/>
        <v>-173413.16000000015</v>
      </c>
      <c r="AB336" s="225" t="e">
        <f t="shared" si="1172"/>
        <v>#REF!</v>
      </c>
      <c r="AC336" s="225" t="e">
        <f t="shared" ref="AC336:AM336" si="1173">AC135</f>
        <v>#REF!</v>
      </c>
      <c r="AD336" s="166">
        <f t="shared" si="1173"/>
        <v>1522303.7920000001</v>
      </c>
      <c r="AE336" s="166">
        <f t="shared" si="1173"/>
        <v>-152678.87999999989</v>
      </c>
      <c r="AF336" s="166">
        <f t="shared" si="1173"/>
        <v>16600.511999999871</v>
      </c>
      <c r="AG336" s="225">
        <f t="shared" si="1173"/>
        <v>-1217300.2960000001</v>
      </c>
      <c r="AH336" s="166">
        <f t="shared" si="1173"/>
        <v>-104699.16000000015</v>
      </c>
      <c r="AI336" s="166">
        <f t="shared" si="1173"/>
        <v>47851.760000000126</v>
      </c>
      <c r="AJ336" s="166">
        <f t="shared" si="1173"/>
        <v>190737.63999999978</v>
      </c>
      <c r="AK336" s="225">
        <f t="shared" si="1173"/>
        <v>160788.60300000012</v>
      </c>
      <c r="AL336" s="166">
        <f t="shared" si="1173"/>
        <v>-125136.09100000001</v>
      </c>
      <c r="AM336" s="166">
        <f t="shared" si="1173"/>
        <v>-51918.107999999775</v>
      </c>
      <c r="AN336" s="166">
        <f t="shared" ref="AN336:BA336" si="1174">AN135</f>
        <v>-290451.75300000026</v>
      </c>
      <c r="AO336" s="225">
        <f t="shared" si="1174"/>
        <v>-63615.5699999996</v>
      </c>
      <c r="AP336" s="166">
        <f t="shared" si="1174"/>
        <v>-210928.91300000018</v>
      </c>
      <c r="AQ336" s="166">
        <f t="shared" si="1174"/>
        <v>-306808.19200000004</v>
      </c>
      <c r="AR336" s="166">
        <f t="shared" si="1174"/>
        <v>-92985.233999999706</v>
      </c>
      <c r="AS336" s="225">
        <f t="shared" si="1174"/>
        <v>254236.1239999996</v>
      </c>
      <c r="AT336" s="166">
        <f t="shared" si="1174"/>
        <v>306954.93900000001</v>
      </c>
      <c r="AU336" s="166">
        <f t="shared" si="1174"/>
        <v>-151978.97400000016</v>
      </c>
      <c r="AV336" s="166">
        <f t="shared" si="1174"/>
        <v>154624.09300000011</v>
      </c>
      <c r="AW336" s="225">
        <f t="shared" si="1174"/>
        <v>286625.55099999998</v>
      </c>
      <c r="AX336" s="166">
        <f t="shared" si="1174"/>
        <v>-123150.3870000001</v>
      </c>
      <c r="AY336" s="166">
        <f t="shared" si="1174"/>
        <v>-240189.27500000014</v>
      </c>
      <c r="AZ336" s="166">
        <f t="shared" si="1174"/>
        <v>165043.13600000041</v>
      </c>
      <c r="BA336" s="225">
        <f t="shared" si="1174"/>
        <v>51936.134999999776</v>
      </c>
      <c r="BB336" s="166">
        <f t="shared" si="1168"/>
        <v>-198901.29799999972</v>
      </c>
      <c r="BC336" s="166">
        <f t="shared" si="1168"/>
        <v>-166705.82200000016</v>
      </c>
      <c r="BD336" s="166">
        <f t="shared" si="1168"/>
        <v>-23328.923000000417</v>
      </c>
      <c r="BE336" s="225">
        <f t="shared" si="1168"/>
        <v>444291.74200000032</v>
      </c>
      <c r="BF336" s="166">
        <f t="shared" si="1169"/>
        <v>146367.5689999999</v>
      </c>
      <c r="BG336" s="142"/>
      <c r="BH336" s="166"/>
      <c r="BI336" s="166"/>
      <c r="BJ336" s="166"/>
      <c r="BK336" s="225"/>
      <c r="BL336" s="166">
        <f t="shared" si="1170"/>
        <v>-808617.28</v>
      </c>
      <c r="BM336" s="336"/>
      <c r="BN336" s="166"/>
      <c r="BO336" s="166"/>
      <c r="BP336" s="166"/>
      <c r="BQ336" s="166"/>
      <c r="BR336" s="166"/>
      <c r="BS336" s="166"/>
      <c r="BT336" s="166"/>
      <c r="BU336" s="56"/>
      <c r="BV336" s="56"/>
      <c r="BW336" s="56"/>
      <c r="BX336" s="336"/>
      <c r="BY336" s="336"/>
      <c r="BZ336" s="336"/>
      <c r="CA336" s="336"/>
      <c r="CJ336" s="6"/>
      <c r="CK336" s="6"/>
      <c r="CL336" s="6"/>
    </row>
    <row r="337" spans="2:90" ht="13.5" customHeight="1">
      <c r="B337" s="1" t="str">
        <f t="shared" si="1162"/>
        <v>Taxes</v>
      </c>
      <c r="C337" s="165">
        <f t="shared" ref="C337:X337" si="1175">C136</f>
        <v>-96087.932000000001</v>
      </c>
      <c r="D337" s="165">
        <f t="shared" si="1175"/>
        <v>-126155.139</v>
      </c>
      <c r="E337" s="166">
        <f t="shared" si="1175"/>
        <v>-155870.23699999999</v>
      </c>
      <c r="F337" s="166">
        <f t="shared" si="1175"/>
        <v>-154680.84400000001</v>
      </c>
      <c r="G337" s="166">
        <f t="shared" si="1175"/>
        <v>-154680.84400000001</v>
      </c>
      <c r="H337" s="166">
        <f t="shared" si="1175"/>
        <v>-192063.30300000001</v>
      </c>
      <c r="I337" s="166">
        <f t="shared" si="1175"/>
        <v>-140370.761</v>
      </c>
      <c r="J337" s="166">
        <f t="shared" si="1175"/>
        <v>-106184.75</v>
      </c>
      <c r="K337" s="166">
        <f t="shared" si="1175"/>
        <v>13252.206</v>
      </c>
      <c r="L337" s="166">
        <f t="shared" si="1175"/>
        <v>-35105.536</v>
      </c>
      <c r="M337" s="166">
        <f t="shared" si="1175"/>
        <v>-166498.40599999999</v>
      </c>
      <c r="N337" s="166">
        <f t="shared" si="1175"/>
        <v>-81077.619000000006</v>
      </c>
      <c r="O337" s="166">
        <f t="shared" si="1175"/>
        <v>-122517.56600000001</v>
      </c>
      <c r="P337" s="166">
        <f t="shared" si="1165"/>
        <v>-164312.23800000001</v>
      </c>
      <c r="Q337" s="336"/>
      <c r="R337" s="166">
        <f t="shared" si="1175"/>
        <v>-37592.434000000001</v>
      </c>
      <c r="S337" s="166">
        <f t="shared" si="1175"/>
        <v>-37899.181000000004</v>
      </c>
      <c r="T337" s="166">
        <f t="shared" si="1175"/>
        <v>-42115.321999999993</v>
      </c>
      <c r="U337" s="166">
        <f t="shared" si="1175"/>
        <v>-38263.299999999996</v>
      </c>
      <c r="V337" s="225">
        <f t="shared" si="1175"/>
        <v>-53313.864000000001</v>
      </c>
      <c r="W337" s="225">
        <f t="shared" si="1175"/>
        <v>-26372.260999999999</v>
      </c>
      <c r="X337" s="225">
        <f t="shared" si="1175"/>
        <v>-39714.577000000005</v>
      </c>
      <c r="Y337" s="166">
        <f t="shared" ref="Y337:AB353" si="1176">Y136</f>
        <v>-35280.142000000007</v>
      </c>
      <c r="Z337" s="166">
        <f t="shared" si="1176"/>
        <v>-57712.709000000003</v>
      </c>
      <c r="AA337" s="166">
        <f t="shared" si="1176"/>
        <v>-65803.870999999999</v>
      </c>
      <c r="AB337" s="225">
        <f t="shared" si="1176"/>
        <v>-45100.849999999991</v>
      </c>
      <c r="AC337" s="225">
        <f t="shared" ref="AC337:AM337" si="1177">AC136</f>
        <v>-23445.873000000036</v>
      </c>
      <c r="AD337" s="166">
        <f t="shared" si="1177"/>
        <v>-28407.348000000002</v>
      </c>
      <c r="AE337" s="166">
        <f t="shared" si="1177"/>
        <v>-41539.186000000002</v>
      </c>
      <c r="AF337" s="166">
        <f t="shared" si="1177"/>
        <v>-6401.8270000000011</v>
      </c>
      <c r="AG337" s="225">
        <f t="shared" si="1177"/>
        <v>-29836.388999999992</v>
      </c>
      <c r="AH337" s="166">
        <f t="shared" si="1177"/>
        <v>-36173.809000000001</v>
      </c>
      <c r="AI337" s="166">
        <f t="shared" si="1177"/>
        <v>64651.851999999999</v>
      </c>
      <c r="AJ337" s="166">
        <f t="shared" si="1177"/>
        <v>-6884.0330000000031</v>
      </c>
      <c r="AK337" s="225">
        <f t="shared" si="1177"/>
        <v>-8341.8039999999964</v>
      </c>
      <c r="AL337" s="166">
        <f t="shared" si="1177"/>
        <v>-13614.609</v>
      </c>
      <c r="AM337" s="166">
        <f t="shared" si="1177"/>
        <v>-12410.416000000001</v>
      </c>
      <c r="AN337" s="166">
        <f t="shared" ref="AN337:BA337" si="1178">AN136</f>
        <v>-13640.718999999997</v>
      </c>
      <c r="AO337" s="225">
        <f t="shared" si="1178"/>
        <v>4560.2079999999987</v>
      </c>
      <c r="AP337" s="166">
        <f t="shared" si="1178"/>
        <v>-27989.496999999999</v>
      </c>
      <c r="AQ337" s="166">
        <f t="shared" si="1178"/>
        <v>-91458.11</v>
      </c>
      <c r="AR337" s="166">
        <f t="shared" si="1178"/>
        <v>-24421.425999999996</v>
      </c>
      <c r="AS337" s="225">
        <f t="shared" si="1178"/>
        <v>-22629.372999999981</v>
      </c>
      <c r="AT337" s="166">
        <f t="shared" si="1178"/>
        <v>-34509.97</v>
      </c>
      <c r="AU337" s="166">
        <f t="shared" si="1178"/>
        <v>-23090.442999999999</v>
      </c>
      <c r="AV337" s="166">
        <f t="shared" si="1178"/>
        <v>-1647.7479999999996</v>
      </c>
      <c r="AW337" s="225">
        <f t="shared" si="1178"/>
        <v>-21829.458000000013</v>
      </c>
      <c r="AX337" s="166">
        <f t="shared" si="1178"/>
        <v>-43458.184000000001</v>
      </c>
      <c r="AY337" s="166">
        <f t="shared" si="1178"/>
        <v>-25389.048000000003</v>
      </c>
      <c r="AZ337" s="166">
        <f t="shared" si="1178"/>
        <v>-24250.781999999985</v>
      </c>
      <c r="BA337" s="225">
        <f t="shared" si="1178"/>
        <v>-29419.552000000003</v>
      </c>
      <c r="BB337" s="166">
        <f t="shared" si="1168"/>
        <v>-49384.866000000002</v>
      </c>
      <c r="BC337" s="166">
        <f t="shared" si="1168"/>
        <v>-44639.662999999993</v>
      </c>
      <c r="BD337" s="166">
        <f t="shared" si="1168"/>
        <v>-45945.250999999997</v>
      </c>
      <c r="BE337" s="225">
        <f t="shared" si="1168"/>
        <v>-24342.458000000021</v>
      </c>
      <c r="BF337" s="166">
        <f t="shared" si="1169"/>
        <v>-65748.926000000007</v>
      </c>
      <c r="BG337" s="142"/>
      <c r="BH337" s="166"/>
      <c r="BI337" s="166"/>
      <c r="BJ337" s="166"/>
      <c r="BK337" s="225"/>
      <c r="BL337" s="166">
        <f t="shared" si="1170"/>
        <v>-28407.348000000002</v>
      </c>
      <c r="BM337" s="336"/>
      <c r="BN337" s="166"/>
      <c r="BO337" s="166"/>
      <c r="BP337" s="166"/>
      <c r="BQ337" s="166"/>
      <c r="BR337" s="166"/>
      <c r="BS337" s="166"/>
      <c r="BT337" s="166"/>
      <c r="BU337" s="56"/>
      <c r="BV337" s="56"/>
      <c r="BW337" s="56"/>
      <c r="BX337" s="336"/>
      <c r="BY337" s="336"/>
      <c r="BZ337" s="336"/>
      <c r="CA337" s="336"/>
      <c r="CJ337" s="6"/>
      <c r="CK337" s="6"/>
      <c r="CL337" s="6"/>
    </row>
    <row r="338" spans="2:90" ht="13.5" customHeight="1">
      <c r="B338" s="1" t="str">
        <f t="shared" si="1162"/>
        <v>Cash interest paid</v>
      </c>
      <c r="C338" s="165">
        <f t="shared" ref="C338:F353" si="1179">C137</f>
        <v>-88246.884999999995</v>
      </c>
      <c r="D338" s="165">
        <f t="shared" si="1179"/>
        <v>-152688.95699999999</v>
      </c>
      <c r="E338" s="166">
        <f t="shared" si="1179"/>
        <v>-168467.36799999999</v>
      </c>
      <c r="F338" s="166">
        <f t="shared" si="1179"/>
        <v>-166699.508</v>
      </c>
      <c r="G338" s="166">
        <f t="shared" ref="G338:O338" si="1180">G137</f>
        <v>-166699.508</v>
      </c>
      <c r="H338" s="166">
        <f t="shared" si="1180"/>
        <v>-168127.34099999999</v>
      </c>
      <c r="I338" s="166">
        <f t="shared" si="1180"/>
        <v>-165482.272</v>
      </c>
      <c r="J338" s="166">
        <f t="shared" si="1180"/>
        <v>-148775.18599999999</v>
      </c>
      <c r="K338" s="166">
        <f t="shared" si="1180"/>
        <v>-186551.639</v>
      </c>
      <c r="L338" s="166">
        <f t="shared" si="1180"/>
        <v>-152165.73300000001</v>
      </c>
      <c r="M338" s="166">
        <f t="shared" si="1180"/>
        <v>-194267.098</v>
      </c>
      <c r="N338" s="166">
        <f t="shared" si="1180"/>
        <v>-238051.59</v>
      </c>
      <c r="O338" s="166">
        <f t="shared" si="1180"/>
        <v>-242276.573</v>
      </c>
      <c r="P338" s="166">
        <f t="shared" si="1165"/>
        <v>-198387.57399999999</v>
      </c>
      <c r="Q338" s="336"/>
      <c r="R338" s="166">
        <f t="shared" ref="R338:X338" si="1181">R137</f>
        <v>-39871.027999999998</v>
      </c>
      <c r="S338" s="166">
        <f t="shared" si="1181"/>
        <v>-48800.654000000002</v>
      </c>
      <c r="T338" s="166">
        <f t="shared" si="1181"/>
        <v>-44726.382999999994</v>
      </c>
      <c r="U338" s="166">
        <f t="shared" si="1181"/>
        <v>-35069.302999999978</v>
      </c>
      <c r="V338" s="225">
        <f t="shared" si="1181"/>
        <v>-39692.322</v>
      </c>
      <c r="W338" s="225">
        <f t="shared" si="1181"/>
        <v>-32344.263999999996</v>
      </c>
      <c r="X338" s="225">
        <f t="shared" si="1181"/>
        <v>-53462.585000000006</v>
      </c>
      <c r="Y338" s="166">
        <f t="shared" si="1176"/>
        <v>-41200.337</v>
      </c>
      <c r="Z338" s="166">
        <f t="shared" si="1176"/>
        <v>-38400.623</v>
      </c>
      <c r="AA338" s="166">
        <f t="shared" si="1176"/>
        <v>-75011.545000000013</v>
      </c>
      <c r="AB338" s="225">
        <f t="shared" si="1176"/>
        <v>-18988.484999999979</v>
      </c>
      <c r="AC338" s="225">
        <f t="shared" ref="AC338:AM338" si="1182">AC137</f>
        <v>-35726.687999999987</v>
      </c>
      <c r="AD338" s="166">
        <f t="shared" si="1182"/>
        <v>-34457.868000000002</v>
      </c>
      <c r="AE338" s="166">
        <f t="shared" si="1182"/>
        <v>-37794.868000000002</v>
      </c>
      <c r="AF338" s="166">
        <f t="shared" si="1182"/>
        <v>-28435.629000000001</v>
      </c>
      <c r="AG338" s="225">
        <f t="shared" si="1182"/>
        <v>-48086.820999999982</v>
      </c>
      <c r="AH338" s="166">
        <f t="shared" si="1182"/>
        <v>-34738.993999999999</v>
      </c>
      <c r="AI338" s="166">
        <f t="shared" si="1182"/>
        <v>-60504.659999999996</v>
      </c>
      <c r="AJ338" s="166">
        <f t="shared" si="1182"/>
        <v>-37483.884999999987</v>
      </c>
      <c r="AK338" s="225">
        <f t="shared" si="1182"/>
        <v>-53824.100000000013</v>
      </c>
      <c r="AL338" s="166">
        <f t="shared" si="1182"/>
        <v>-27108.2</v>
      </c>
      <c r="AM338" s="166">
        <f t="shared" si="1182"/>
        <v>-53574.385000000009</v>
      </c>
      <c r="AN338" s="166">
        <f t="shared" ref="AN338:BA338" si="1183">AN137</f>
        <v>-60735.971999999994</v>
      </c>
      <c r="AO338" s="225">
        <f t="shared" si="1183"/>
        <v>-10747.176000000003</v>
      </c>
      <c r="AP338" s="166">
        <f t="shared" si="1183"/>
        <v>-23626.305</v>
      </c>
      <c r="AQ338" s="166">
        <f t="shared" si="1183"/>
        <v>-54062.786</v>
      </c>
      <c r="AR338" s="166">
        <f t="shared" si="1183"/>
        <v>-49295.942999999992</v>
      </c>
      <c r="AS338" s="225">
        <f t="shared" si="1183"/>
        <v>-67282.064000000013</v>
      </c>
      <c r="AT338" s="166">
        <f t="shared" si="1183"/>
        <v>-53382.000999999997</v>
      </c>
      <c r="AU338" s="166">
        <f t="shared" si="1183"/>
        <v>-65407.853999999999</v>
      </c>
      <c r="AV338" s="166">
        <f t="shared" si="1183"/>
        <v>-43311.169000000016</v>
      </c>
      <c r="AW338" s="225">
        <f t="shared" si="1183"/>
        <v>-75950.565999999992</v>
      </c>
      <c r="AX338" s="166">
        <f t="shared" si="1183"/>
        <v>-57979.741000000002</v>
      </c>
      <c r="AY338" s="166">
        <f t="shared" si="1183"/>
        <v>-65582.247999999992</v>
      </c>
      <c r="AZ338" s="166">
        <f t="shared" si="1183"/>
        <v>-56838.809000000016</v>
      </c>
      <c r="BA338" s="225">
        <f t="shared" si="1183"/>
        <v>-61875.775000000001</v>
      </c>
      <c r="BB338" s="166">
        <f t="shared" si="1168"/>
        <v>-51468.449000000001</v>
      </c>
      <c r="BC338" s="166">
        <f t="shared" si="1168"/>
        <v>-59084.064000000006</v>
      </c>
      <c r="BD338" s="166">
        <f t="shared" si="1168"/>
        <v>-40426.408999999978</v>
      </c>
      <c r="BE338" s="225">
        <f t="shared" si="1168"/>
        <v>-47408.651999999995</v>
      </c>
      <c r="BF338" s="166">
        <f t="shared" si="1169"/>
        <v>-39133.614000000001</v>
      </c>
      <c r="BG338" s="142"/>
      <c r="BH338" s="166"/>
      <c r="BI338" s="166"/>
      <c r="BJ338" s="166"/>
      <c r="BK338" s="225"/>
      <c r="BL338" s="166">
        <f t="shared" si="1170"/>
        <v>-34457.868000000002</v>
      </c>
      <c r="BM338" s="336"/>
      <c r="BN338" s="166"/>
      <c r="BO338" s="166"/>
      <c r="BP338" s="166"/>
      <c r="BQ338" s="166"/>
      <c r="BR338" s="166"/>
      <c r="BS338" s="166"/>
      <c r="BT338" s="166"/>
      <c r="BU338" s="56"/>
      <c r="BV338" s="56"/>
      <c r="BW338" s="56"/>
      <c r="BX338" s="336"/>
      <c r="BY338" s="336"/>
      <c r="BZ338" s="336"/>
      <c r="CA338" s="336"/>
      <c r="CJ338" s="6"/>
      <c r="CK338" s="6"/>
      <c r="CL338" s="6"/>
    </row>
    <row r="339" spans="2:90" s="5" customFormat="1" ht="13.5" customHeight="1" thickBot="1">
      <c r="B339" s="26" t="str">
        <f t="shared" si="1162"/>
        <v xml:space="preserve">Net cash from operations </v>
      </c>
      <c r="C339" s="167">
        <f t="shared" si="1179"/>
        <v>586591.71500000008</v>
      </c>
      <c r="D339" s="167">
        <f t="shared" si="1179"/>
        <v>383710.90400000004</v>
      </c>
      <c r="E339" s="167">
        <f t="shared" si="1179"/>
        <v>574314.39500000002</v>
      </c>
      <c r="F339" s="167">
        <f t="shared" si="1179"/>
        <v>603453.33499999985</v>
      </c>
      <c r="G339" s="167">
        <f t="shared" ref="G339:O339" si="1184">G138</f>
        <v>605265.70699999982</v>
      </c>
      <c r="H339" s="167">
        <f t="shared" si="1184"/>
        <v>500988.49699999997</v>
      </c>
      <c r="I339" s="167">
        <f t="shared" si="1184"/>
        <v>1782289.6360000004</v>
      </c>
      <c r="J339" s="167">
        <f t="shared" si="1184"/>
        <v>705197.93700000015</v>
      </c>
      <c r="K339" s="167">
        <f t="shared" si="1184"/>
        <v>743931.78899999987</v>
      </c>
      <c r="L339" s="167">
        <f t="shared" si="1184"/>
        <v>514971.11100000062</v>
      </c>
      <c r="M339" s="167">
        <f t="shared" si="1184"/>
        <v>39106.67399999997</v>
      </c>
      <c r="N339" s="167">
        <f t="shared" si="1184"/>
        <v>955307.82000000018</v>
      </c>
      <c r="O339" s="167">
        <f t="shared" si="1184"/>
        <v>639514.54299999983</v>
      </c>
      <c r="P339" s="167">
        <f t="shared" si="1165"/>
        <v>1195585.3079999997</v>
      </c>
      <c r="Q339" s="313"/>
      <c r="R339" s="167">
        <f t="shared" ref="R339:X339" si="1185">R138</f>
        <v>206452.75099999999</v>
      </c>
      <c r="S339" s="167">
        <f t="shared" si="1185"/>
        <v>-24530.319999999643</v>
      </c>
      <c r="T339" s="167">
        <f t="shared" si="1185"/>
        <v>94608.078999999794</v>
      </c>
      <c r="U339" s="167">
        <f t="shared" si="1185"/>
        <v>297783.91099999979</v>
      </c>
      <c r="V339" s="167">
        <f t="shared" si="1185"/>
        <v>164870.39800000016</v>
      </c>
      <c r="W339" s="167">
        <f t="shared" si="1185"/>
        <v>58185.890999999858</v>
      </c>
      <c r="X339" s="167">
        <f t="shared" si="1185"/>
        <v>117174.74700000022</v>
      </c>
      <c r="Y339" s="167">
        <f t="shared" si="1176"/>
        <v>263222.99399999966</v>
      </c>
      <c r="Z339" s="167">
        <f t="shared" si="1176"/>
        <v>185594.62599999999</v>
      </c>
      <c r="AA339" s="167">
        <f t="shared" si="1176"/>
        <v>-42937.950000000114</v>
      </c>
      <c r="AB339" s="167" t="e">
        <f t="shared" si="1176"/>
        <v>#REF!</v>
      </c>
      <c r="AC339" s="167" t="e">
        <f t="shared" ref="AC339:AM339" si="1186">AC138</f>
        <v>#REF!</v>
      </c>
      <c r="AD339" s="167">
        <f t="shared" si="1186"/>
        <v>1646451.2390000001</v>
      </c>
      <c r="AE339" s="167">
        <f t="shared" si="1186"/>
        <v>-19214.483999999997</v>
      </c>
      <c r="AF339" s="167">
        <f t="shared" si="1186"/>
        <v>150068.65799999988</v>
      </c>
      <c r="AG339" s="167">
        <f t="shared" si="1186"/>
        <v>-1072107.476</v>
      </c>
      <c r="AH339" s="167">
        <f t="shared" si="1186"/>
        <v>-34791.969000000172</v>
      </c>
      <c r="AI339" s="167">
        <f t="shared" si="1186"/>
        <v>16546.792000000154</v>
      </c>
      <c r="AJ339" s="167">
        <f t="shared" si="1186"/>
        <v>280483.91499999969</v>
      </c>
      <c r="AK339" s="167">
        <f t="shared" si="1186"/>
        <v>481693.05100000015</v>
      </c>
      <c r="AL339" s="167">
        <f t="shared" si="1186"/>
        <v>78776.031999999963</v>
      </c>
      <c r="AM339" s="167">
        <f t="shared" si="1186"/>
        <v>158643.25600000026</v>
      </c>
      <c r="AN339" s="167">
        <f t="shared" ref="AN339:BA339" si="1187">AN138</f>
        <v>-53779.77900000033</v>
      </c>
      <c r="AO339" s="167">
        <f t="shared" si="1187"/>
        <v>331331.60200000042</v>
      </c>
      <c r="AP339" s="167">
        <f t="shared" si="1187"/>
        <v>-58023.393000000135</v>
      </c>
      <c r="AQ339" s="167">
        <f t="shared" si="1187"/>
        <v>-267171.95500000013</v>
      </c>
      <c r="AR339" s="167">
        <f t="shared" si="1187"/>
        <v>-33667.245999999563</v>
      </c>
      <c r="AS339" s="167">
        <f t="shared" si="1187"/>
        <v>397969.2679999994</v>
      </c>
      <c r="AT339" s="167">
        <f t="shared" si="1187"/>
        <v>337303.79</v>
      </c>
      <c r="AU339" s="167">
        <f t="shared" si="1187"/>
        <v>-101446.79200000004</v>
      </c>
      <c r="AV339" s="167">
        <f t="shared" si="1187"/>
        <v>238983.81100000007</v>
      </c>
      <c r="AW339" s="167">
        <f t="shared" si="1187"/>
        <v>480467.01099999994</v>
      </c>
      <c r="AX339" s="167">
        <f t="shared" si="1187"/>
        <v>4632.965999999913</v>
      </c>
      <c r="AY339" s="167">
        <f t="shared" si="1187"/>
        <v>-73223.763000000152</v>
      </c>
      <c r="AZ339" s="167">
        <f t="shared" si="1187"/>
        <v>323427.78600000049</v>
      </c>
      <c r="BA339" s="167">
        <f t="shared" si="1187"/>
        <v>384677.55399999965</v>
      </c>
      <c r="BB339" s="167">
        <f t="shared" si="1168"/>
        <v>36688.788000000342</v>
      </c>
      <c r="BC339" s="167">
        <f t="shared" si="1168"/>
        <v>76693.403999999864</v>
      </c>
      <c r="BD339" s="167">
        <f t="shared" si="1168"/>
        <v>193412.3389999994</v>
      </c>
      <c r="BE339" s="167">
        <f t="shared" si="1168"/>
        <v>888790.77700000035</v>
      </c>
      <c r="BF339" s="167">
        <f t="shared" si="1169"/>
        <v>395151.95799999993</v>
      </c>
      <c r="BG339" s="142"/>
      <c r="BH339" s="167"/>
      <c r="BI339" s="167"/>
      <c r="BJ339" s="167"/>
      <c r="BK339" s="167"/>
      <c r="BL339" s="167">
        <f t="shared" si="1170"/>
        <v>-684469.8330000001</v>
      </c>
      <c r="BM339" s="313"/>
      <c r="BN339" s="167"/>
      <c r="BO339" s="167"/>
      <c r="BP339" s="167"/>
      <c r="BQ339" s="167"/>
      <c r="BR339" s="167"/>
      <c r="BS339" s="167"/>
      <c r="BT339" s="167"/>
      <c r="BU339" s="56"/>
      <c r="BV339" s="56"/>
      <c r="BW339" s="56"/>
      <c r="BX339" s="313"/>
      <c r="BY339" s="313"/>
      <c r="BZ339" s="313"/>
      <c r="CA339" s="313"/>
      <c r="CJ339" s="6"/>
      <c r="CK339" s="6"/>
      <c r="CL339" s="6"/>
    </row>
    <row r="340" spans="2:90" s="5" customFormat="1" ht="13.5" customHeight="1" thickTop="1">
      <c r="B340" s="1" t="str">
        <f t="shared" si="1162"/>
        <v>Gross Capex</v>
      </c>
      <c r="C340" s="159">
        <f t="shared" si="1179"/>
        <v>-543673.09700000007</v>
      </c>
      <c r="D340" s="159">
        <f t="shared" si="1179"/>
        <v>-478715.37199999997</v>
      </c>
      <c r="E340" s="159">
        <f t="shared" si="1179"/>
        <v>-455194.82900000003</v>
      </c>
      <c r="F340" s="159">
        <f t="shared" si="1179"/>
        <v>-533079.59600000002</v>
      </c>
      <c r="G340" s="159">
        <f t="shared" ref="G340:O340" si="1188">G139</f>
        <v>-533079.59600000002</v>
      </c>
      <c r="H340" s="159">
        <f t="shared" si="1188"/>
        <v>-463220.30700000003</v>
      </c>
      <c r="I340" s="159">
        <f t="shared" si="1188"/>
        <v>-463220.30700000003</v>
      </c>
      <c r="J340" s="159">
        <f t="shared" si="1188"/>
        <v>-550749.51799999992</v>
      </c>
      <c r="K340" s="159">
        <f t="shared" si="1188"/>
        <v>-402772.66899999999</v>
      </c>
      <c r="L340" s="159">
        <f t="shared" si="1188"/>
        <v>-367353.29700000002</v>
      </c>
      <c r="M340" s="159">
        <f t="shared" si="1188"/>
        <v>-415020.50200000004</v>
      </c>
      <c r="N340" s="159">
        <f t="shared" si="1188"/>
        <v>-380266.50599999999</v>
      </c>
      <c r="O340" s="159">
        <f t="shared" si="1188"/>
        <v>-246596.68299999999</v>
      </c>
      <c r="P340" s="159">
        <f t="shared" si="1165"/>
        <v>-301291.88899999997</v>
      </c>
      <c r="Q340" s="203"/>
      <c r="R340" s="159">
        <f t="shared" ref="R340:X340" si="1189">R139</f>
        <v>-86557.172000000006</v>
      </c>
      <c r="S340" s="159">
        <f t="shared" si="1189"/>
        <v>-97911.936000000002</v>
      </c>
      <c r="T340" s="159">
        <f t="shared" si="1189"/>
        <v>-128413.414</v>
      </c>
      <c r="U340" s="159">
        <f t="shared" si="1189"/>
        <v>-142312.30700000003</v>
      </c>
      <c r="V340" s="159">
        <f t="shared" si="1189"/>
        <v>-113773.283</v>
      </c>
      <c r="W340" s="159">
        <f t="shared" si="1189"/>
        <v>-126488.69099999999</v>
      </c>
      <c r="X340" s="159">
        <f t="shared" si="1189"/>
        <v>-137780.18800000002</v>
      </c>
      <c r="Y340" s="159">
        <f t="shared" si="1176"/>
        <v>-155037.43400000001</v>
      </c>
      <c r="Z340" s="159">
        <f t="shared" si="1176"/>
        <v>-108532.058</v>
      </c>
      <c r="AA340" s="159">
        <f t="shared" si="1176"/>
        <v>-114243.69099999998</v>
      </c>
      <c r="AB340" s="159">
        <f t="shared" si="1176"/>
        <v>-116475.963</v>
      </c>
      <c r="AC340" s="159">
        <f t="shared" ref="AC340:AM340" si="1190">AC139</f>
        <v>-123968.59500000004</v>
      </c>
      <c r="AD340" s="159">
        <f t="shared" si="1190"/>
        <v>-105810.041</v>
      </c>
      <c r="AE340" s="159">
        <f t="shared" si="1190"/>
        <v>-143814.75399999999</v>
      </c>
      <c r="AF340" s="159">
        <f t="shared" si="1190"/>
        <v>-134581.82</v>
      </c>
      <c r="AG340" s="159">
        <f t="shared" si="1190"/>
        <v>-166542.9029999999</v>
      </c>
      <c r="AH340" s="159">
        <f t="shared" si="1190"/>
        <v>-137866.49</v>
      </c>
      <c r="AI340" s="159">
        <f t="shared" si="1190"/>
        <v>-106214.08500000002</v>
      </c>
      <c r="AJ340" s="159">
        <f t="shared" si="1190"/>
        <v>-63494.614999999991</v>
      </c>
      <c r="AK340" s="159">
        <f t="shared" si="1190"/>
        <v>-95197.478999999992</v>
      </c>
      <c r="AL340" s="159">
        <f t="shared" si="1190"/>
        <v>-77225.527000000002</v>
      </c>
      <c r="AM340" s="159">
        <f t="shared" si="1190"/>
        <v>-62991.117999999988</v>
      </c>
      <c r="AN340" s="159">
        <f t="shared" ref="AN340:BA340" si="1191">AN139</f>
        <v>-96347.908000000025</v>
      </c>
      <c r="AO340" s="159">
        <f t="shared" si="1191"/>
        <v>-130788.74399999998</v>
      </c>
      <c r="AP340" s="159">
        <f t="shared" si="1191"/>
        <v>-69683.429999999993</v>
      </c>
      <c r="AQ340" s="159">
        <f t="shared" si="1191"/>
        <v>-95871.203000000009</v>
      </c>
      <c r="AR340" s="159">
        <f t="shared" si="1191"/>
        <v>-99262.117999999988</v>
      </c>
      <c r="AS340" s="159">
        <f t="shared" si="1191"/>
        <v>-150203.75100000008</v>
      </c>
      <c r="AT340" s="159">
        <f t="shared" si="1191"/>
        <v>-76159.451000000015</v>
      </c>
      <c r="AU340" s="159">
        <f t="shared" si="1191"/>
        <v>-91834.863999999987</v>
      </c>
      <c r="AV340" s="159">
        <f t="shared" si="1191"/>
        <v>-85753.678999999989</v>
      </c>
      <c r="AW340" s="159">
        <f t="shared" si="1191"/>
        <v>-126518.51199999997</v>
      </c>
      <c r="AX340" s="159">
        <f t="shared" si="1191"/>
        <v>-66650.438999999998</v>
      </c>
      <c r="AY340" s="159">
        <f t="shared" si="1191"/>
        <v>-61895.686999999991</v>
      </c>
      <c r="AZ340" s="159">
        <f t="shared" si="1191"/>
        <v>-43027.10500000001</v>
      </c>
      <c r="BA340" s="159">
        <f t="shared" si="1191"/>
        <v>-75023.452000000005</v>
      </c>
      <c r="BB340" s="159">
        <f t="shared" si="1168"/>
        <v>-35247.258999999998</v>
      </c>
      <c r="BC340" s="159">
        <f t="shared" si="1168"/>
        <v>-52177.357000000011</v>
      </c>
      <c r="BD340" s="159">
        <f t="shared" si="1168"/>
        <v>-62999.851999999977</v>
      </c>
      <c r="BE340" s="159">
        <f t="shared" si="1168"/>
        <v>-150867.42099999997</v>
      </c>
      <c r="BF340" s="159">
        <f t="shared" si="1169"/>
        <v>-47975.295000000006</v>
      </c>
      <c r="BG340" s="142"/>
      <c r="BH340" s="159"/>
      <c r="BI340" s="159"/>
      <c r="BJ340" s="159"/>
      <c r="BK340" s="159"/>
      <c r="BL340" s="159">
        <f t="shared" si="1170"/>
        <v>-105810.041</v>
      </c>
      <c r="BM340" s="203"/>
      <c r="BN340" s="159"/>
      <c r="BO340" s="159"/>
      <c r="BP340" s="159"/>
      <c r="BQ340" s="159"/>
      <c r="BR340" s="159"/>
      <c r="BS340" s="159"/>
      <c r="BT340" s="159"/>
      <c r="BU340" s="56"/>
      <c r="BV340" s="56"/>
      <c r="BW340" s="56"/>
      <c r="BX340" s="203"/>
      <c r="BY340" s="203"/>
      <c r="BZ340" s="203"/>
      <c r="CA340" s="203"/>
      <c r="CJ340" s="6"/>
      <c r="CK340" s="6"/>
      <c r="CL340" s="6"/>
    </row>
    <row r="341" spans="2:90" ht="13.5" customHeight="1">
      <c r="B341" s="1" t="str">
        <f t="shared" si="1162"/>
        <v>Net Payment for acquisition  of intangible assets</v>
      </c>
      <c r="C341" s="159">
        <f t="shared" si="1179"/>
        <v>-31274.803</v>
      </c>
      <c r="D341" s="159">
        <f t="shared" si="1179"/>
        <v>-31320.396000000001</v>
      </c>
      <c r="E341" s="159">
        <f t="shared" si="1179"/>
        <v>-40362.985999999997</v>
      </c>
      <c r="F341" s="159">
        <f t="shared" si="1179"/>
        <v>-43739.158000000003</v>
      </c>
      <c r="G341" s="159">
        <f t="shared" ref="G341:O341" si="1192">G140</f>
        <v>-43739.158000000003</v>
      </c>
      <c r="H341" s="159">
        <f t="shared" si="1192"/>
        <v>-55153.317000000003</v>
      </c>
      <c r="I341" s="159">
        <f t="shared" si="1192"/>
        <v>-55153.317000000003</v>
      </c>
      <c r="J341" s="159">
        <f t="shared" si="1192"/>
        <v>-65317.188999999998</v>
      </c>
      <c r="K341" s="159">
        <f t="shared" si="1192"/>
        <v>-49918.932000000001</v>
      </c>
      <c r="L341" s="159">
        <f t="shared" si="1192"/>
        <v>-46308.324000000001</v>
      </c>
      <c r="M341" s="159">
        <f t="shared" si="1192"/>
        <v>-48207.752999999997</v>
      </c>
      <c r="N341" s="159">
        <f t="shared" si="1192"/>
        <v>-15477.153</v>
      </c>
      <c r="O341" s="159">
        <f t="shared" si="1192"/>
        <v>-10273.776</v>
      </c>
      <c r="P341" s="159">
        <f t="shared" si="1165"/>
        <v>-10037.32</v>
      </c>
      <c r="Q341" s="203"/>
      <c r="R341" s="159">
        <f t="shared" ref="R341:X341" si="1193">R140</f>
        <v>-7480.4260000000004</v>
      </c>
      <c r="S341" s="159">
        <f t="shared" si="1193"/>
        <v>-9505.6189999999988</v>
      </c>
      <c r="T341" s="159">
        <f t="shared" si="1193"/>
        <v>-12510.139000000003</v>
      </c>
      <c r="U341" s="159">
        <f t="shared" si="1193"/>
        <v>-10866.801999999996</v>
      </c>
      <c r="V341" s="159">
        <f t="shared" si="1193"/>
        <v>-8465.5390000000007</v>
      </c>
      <c r="W341" s="159">
        <f t="shared" si="1193"/>
        <v>-10837.666000000001</v>
      </c>
      <c r="X341" s="159">
        <f t="shared" si="1193"/>
        <v>-11367.284</v>
      </c>
      <c r="Y341" s="159">
        <f t="shared" si="1176"/>
        <v>-13068.669000000002</v>
      </c>
      <c r="Z341" s="159">
        <f t="shared" si="1176"/>
        <v>-15961.34</v>
      </c>
      <c r="AA341" s="159">
        <f t="shared" si="1176"/>
        <v>-12480.064999999999</v>
      </c>
      <c r="AB341" s="159">
        <f t="shared" si="1176"/>
        <v>-11650.169000000002</v>
      </c>
      <c r="AC341" s="159">
        <f t="shared" ref="AC341:AM341" si="1194">AC140</f>
        <v>-15061.743000000002</v>
      </c>
      <c r="AD341" s="159">
        <f t="shared" si="1194"/>
        <v>-13229.056</v>
      </c>
      <c r="AE341" s="159">
        <f t="shared" si="1194"/>
        <v>-12815.005000000001</v>
      </c>
      <c r="AF341" s="159">
        <f t="shared" si="1194"/>
        <v>-15506.913999999997</v>
      </c>
      <c r="AG341" s="159">
        <f t="shared" si="1194"/>
        <v>-23766.214000000004</v>
      </c>
      <c r="AH341" s="159">
        <f t="shared" si="1194"/>
        <v>-14206.928</v>
      </c>
      <c r="AI341" s="159">
        <f t="shared" si="1194"/>
        <v>-544.05399999999827</v>
      </c>
      <c r="AJ341" s="159">
        <f t="shared" si="1194"/>
        <v>-26760.137000000002</v>
      </c>
      <c r="AK341" s="159">
        <f t="shared" si="1194"/>
        <v>-8407.8130000000019</v>
      </c>
      <c r="AL341" s="159">
        <f t="shared" si="1194"/>
        <v>-11341.903</v>
      </c>
      <c r="AM341" s="159">
        <f t="shared" si="1194"/>
        <v>-2139.368999999997</v>
      </c>
      <c r="AN341" s="159">
        <f t="shared" ref="AN341:BA341" si="1195">AN140</f>
        <v>-16849.437000000005</v>
      </c>
      <c r="AO341" s="159">
        <f t="shared" si="1195"/>
        <v>-15977.614999999996</v>
      </c>
      <c r="AP341" s="159">
        <f t="shared" si="1195"/>
        <v>-12718.504000000001</v>
      </c>
      <c r="AQ341" s="159">
        <f t="shared" si="1195"/>
        <v>8151.2960000000021</v>
      </c>
      <c r="AR341" s="159">
        <f t="shared" si="1195"/>
        <v>-32760.798000000003</v>
      </c>
      <c r="AS341" s="159">
        <f t="shared" si="1195"/>
        <v>-10879.746999999996</v>
      </c>
      <c r="AT341" s="159">
        <f t="shared" si="1195"/>
        <v>-3365.317</v>
      </c>
      <c r="AU341" s="159">
        <f t="shared" si="1195"/>
        <v>-1784.5479999999998</v>
      </c>
      <c r="AV341" s="159">
        <f t="shared" si="1195"/>
        <v>-3952.9660000000003</v>
      </c>
      <c r="AW341" s="159">
        <f t="shared" si="1195"/>
        <v>-6374.3219999999992</v>
      </c>
      <c r="AX341" s="159">
        <f t="shared" si="1195"/>
        <v>6201.9840000000004</v>
      </c>
      <c r="AY341" s="159">
        <f t="shared" si="1195"/>
        <v>-8241.27</v>
      </c>
      <c r="AZ341" s="159">
        <f t="shared" si="1195"/>
        <v>-2883.4799999999996</v>
      </c>
      <c r="BA341" s="159">
        <f t="shared" si="1195"/>
        <v>-5351.01</v>
      </c>
      <c r="BB341" s="159">
        <f t="shared" si="1168"/>
        <v>1746.3280000000004</v>
      </c>
      <c r="BC341" s="159">
        <f t="shared" si="1168"/>
        <v>174608.28700000001</v>
      </c>
      <c r="BD341" s="159">
        <f t="shared" si="1168"/>
        <v>-183547.46400000001</v>
      </c>
      <c r="BE341" s="159">
        <f t="shared" si="1168"/>
        <v>-2844.4710000000114</v>
      </c>
      <c r="BF341" s="159">
        <f t="shared" si="1169"/>
        <v>-2852.1819999999998</v>
      </c>
      <c r="BG341" s="142"/>
      <c r="BH341" s="159"/>
      <c r="BI341" s="159"/>
      <c r="BJ341" s="159"/>
      <c r="BK341" s="159"/>
      <c r="BL341" s="159">
        <f t="shared" si="1170"/>
        <v>-13229.056</v>
      </c>
      <c r="BM341" s="203"/>
      <c r="BN341" s="159"/>
      <c r="BO341" s="159"/>
      <c r="BP341" s="159"/>
      <c r="BQ341" s="159"/>
      <c r="BR341" s="159"/>
      <c r="BS341" s="159"/>
      <c r="BT341" s="159"/>
      <c r="BU341" s="56"/>
      <c r="BV341" s="56"/>
      <c r="BW341" s="56"/>
      <c r="BX341" s="203"/>
      <c r="BY341" s="203"/>
      <c r="BZ341" s="203"/>
      <c r="CA341" s="203"/>
      <c r="CJ341" s="6"/>
      <c r="CK341" s="6"/>
      <c r="CL341" s="6"/>
    </row>
    <row r="342" spans="2:90" ht="13.5" customHeight="1">
      <c r="B342" s="1" t="str">
        <f t="shared" si="1162"/>
        <v>Disposals/ Acquisition, of subsidiaries</v>
      </c>
      <c r="C342" s="159">
        <f t="shared" si="1179"/>
        <v>-291631.49199999997</v>
      </c>
      <c r="D342" s="159">
        <f t="shared" si="1179"/>
        <v>447.94399999999996</v>
      </c>
      <c r="E342" s="159">
        <f t="shared" si="1179"/>
        <v>53875.552000000003</v>
      </c>
      <c r="F342" s="159">
        <f t="shared" si="1179"/>
        <v>2251.308</v>
      </c>
      <c r="G342" s="159">
        <f t="shared" ref="G342:O342" si="1196">G141</f>
        <v>2251.308</v>
      </c>
      <c r="H342" s="159">
        <f t="shared" si="1196"/>
        <v>-637.97699999999895</v>
      </c>
      <c r="I342" s="159">
        <f t="shared" si="1196"/>
        <v>-637.97699999999895</v>
      </c>
      <c r="J342" s="159">
        <f t="shared" si="1196"/>
        <v>9540.2749999999996</v>
      </c>
      <c r="K342" s="159">
        <f t="shared" si="1196"/>
        <v>-12672.987999999999</v>
      </c>
      <c r="L342" s="159">
        <f t="shared" si="1196"/>
        <v>-17970.147999999997</v>
      </c>
      <c r="M342" s="159">
        <f t="shared" si="1196"/>
        <v>4239.8999999999996</v>
      </c>
      <c r="N342" s="159">
        <f t="shared" si="1196"/>
        <v>3272.3980000000001</v>
      </c>
      <c r="O342" s="159">
        <f t="shared" si="1196"/>
        <v>0</v>
      </c>
      <c r="P342" s="159">
        <f t="shared" si="1165"/>
        <v>388.39</v>
      </c>
      <c r="Q342" s="203"/>
      <c r="R342" s="159">
        <f t="shared" ref="R342:X342" si="1197">R141</f>
        <v>2019.836</v>
      </c>
      <c r="S342" s="159">
        <f t="shared" si="1197"/>
        <v>-229.62599999999998</v>
      </c>
      <c r="T342" s="159">
        <f t="shared" si="1197"/>
        <v>1967.8089999999995</v>
      </c>
      <c r="U342" s="159">
        <f t="shared" si="1197"/>
        <v>50117.532999999996</v>
      </c>
      <c r="V342" s="159">
        <f t="shared" si="1197"/>
        <v>818.27300000000002</v>
      </c>
      <c r="W342" s="159">
        <f t="shared" si="1197"/>
        <v>1350.2449999999999</v>
      </c>
      <c r="X342" s="159">
        <f t="shared" si="1197"/>
        <v>-164.70699999999999</v>
      </c>
      <c r="Y342" s="159">
        <f t="shared" si="1176"/>
        <v>247.49699999999996</v>
      </c>
      <c r="Z342" s="159">
        <f t="shared" si="1176"/>
        <v>21830.010999999999</v>
      </c>
      <c r="AA342" s="159">
        <f t="shared" si="1176"/>
        <v>6951.1740000000027</v>
      </c>
      <c r="AB342" s="159">
        <f t="shared" si="1176"/>
        <v>-86735.397000000012</v>
      </c>
      <c r="AC342" s="159">
        <f t="shared" ref="AC342:AM342" si="1198">AC141</f>
        <v>57316.235000000015</v>
      </c>
      <c r="AD342" s="159">
        <f t="shared" si="1198"/>
        <v>3200.7930000000001</v>
      </c>
      <c r="AE342" s="159">
        <f t="shared" si="1198"/>
        <v>1247.7509999999997</v>
      </c>
      <c r="AF342" s="159">
        <f t="shared" si="1198"/>
        <v>4085.511</v>
      </c>
      <c r="AG342" s="159">
        <f t="shared" si="1198"/>
        <v>1006.2199999999989</v>
      </c>
      <c r="AH342" s="159">
        <f t="shared" si="1198"/>
        <v>0</v>
      </c>
      <c r="AI342" s="159">
        <f t="shared" si="1198"/>
        <v>4647.8279999999995</v>
      </c>
      <c r="AJ342" s="159">
        <f t="shared" si="1198"/>
        <v>-43650.877</v>
      </c>
      <c r="AK342" s="159">
        <f t="shared" si="1198"/>
        <v>26330.061000000002</v>
      </c>
      <c r="AL342" s="159">
        <f t="shared" si="1198"/>
        <v>0</v>
      </c>
      <c r="AM342" s="159">
        <f t="shared" si="1198"/>
        <v>9792.0360000000001</v>
      </c>
      <c r="AN342" s="159">
        <f t="shared" ref="AN342:BA342" si="1199">AN141</f>
        <v>670.76399999999921</v>
      </c>
      <c r="AO342" s="159">
        <f t="shared" si="1199"/>
        <v>-28432.947999999997</v>
      </c>
      <c r="AP342" s="159">
        <f t="shared" si="1199"/>
        <v>0</v>
      </c>
      <c r="AQ342" s="159">
        <f t="shared" si="1199"/>
        <v>2741.2289999999998</v>
      </c>
      <c r="AR342" s="159">
        <f t="shared" si="1199"/>
        <v>1392.0050000000006</v>
      </c>
      <c r="AS342" s="159">
        <f t="shared" si="1199"/>
        <v>106.66599999999926</v>
      </c>
      <c r="AT342" s="159">
        <f t="shared" si="1199"/>
        <v>0</v>
      </c>
      <c r="AU342" s="159">
        <f t="shared" si="1199"/>
        <v>865.73699999999997</v>
      </c>
      <c r="AV342" s="159">
        <f t="shared" si="1199"/>
        <v>475.8850000000001</v>
      </c>
      <c r="AW342" s="159">
        <f t="shared" si="1199"/>
        <v>1930.7759999999998</v>
      </c>
      <c r="AX342" s="159">
        <f t="shared" si="1199"/>
        <v>0</v>
      </c>
      <c r="AY342" s="159">
        <f t="shared" si="1199"/>
        <v>27702.231</v>
      </c>
      <c r="AZ342" s="159">
        <f t="shared" si="1199"/>
        <v>-27702.231</v>
      </c>
      <c r="BA342" s="159">
        <f t="shared" si="1199"/>
        <v>0</v>
      </c>
      <c r="BB342" s="159">
        <f t="shared" si="1168"/>
        <v>388.39</v>
      </c>
      <c r="BC342" s="159">
        <f t="shared" si="1168"/>
        <v>0</v>
      </c>
      <c r="BD342" s="159">
        <f t="shared" si="1168"/>
        <v>0</v>
      </c>
      <c r="BE342" s="159">
        <f t="shared" si="1168"/>
        <v>0</v>
      </c>
      <c r="BF342" s="159">
        <f t="shared" si="1169"/>
        <v>7229.1379999999999</v>
      </c>
      <c r="BG342" s="142"/>
      <c r="BH342" s="159"/>
      <c r="BI342" s="159"/>
      <c r="BJ342" s="159"/>
      <c r="BK342" s="159"/>
      <c r="BL342" s="159">
        <f t="shared" si="1170"/>
        <v>3200.7930000000001</v>
      </c>
      <c r="BM342" s="203"/>
      <c r="BN342" s="159"/>
      <c r="BO342" s="159"/>
      <c r="BP342" s="159"/>
      <c r="BQ342" s="159"/>
      <c r="BR342" s="159"/>
      <c r="BS342" s="159"/>
      <c r="BT342" s="159"/>
      <c r="BU342" s="56"/>
      <c r="BV342" s="56"/>
      <c r="BW342" s="56"/>
      <c r="BX342" s="203"/>
      <c r="BY342" s="203"/>
      <c r="BZ342" s="203"/>
      <c r="CA342" s="203"/>
      <c r="CJ342" s="6"/>
      <c r="CK342" s="6"/>
      <c r="CL342" s="6"/>
    </row>
    <row r="343" spans="2:90" ht="13.5" customHeight="1">
      <c r="B343" s="1" t="str">
        <f t="shared" si="1162"/>
        <v>Deposits interest received</v>
      </c>
      <c r="C343" s="159">
        <f t="shared" si="1179"/>
        <v>19826.717000000001</v>
      </c>
      <c r="D343" s="159">
        <f t="shared" si="1179"/>
        <v>11698.120999999999</v>
      </c>
      <c r="E343" s="159">
        <f t="shared" si="1179"/>
        <v>11145.597</v>
      </c>
      <c r="F343" s="159">
        <f t="shared" si="1179"/>
        <v>15541.227999999999</v>
      </c>
      <c r="G343" s="159">
        <f t="shared" ref="G343:O343" si="1200">G142</f>
        <v>15541.227999999999</v>
      </c>
      <c r="H343" s="159">
        <f t="shared" si="1200"/>
        <v>19629.721000000001</v>
      </c>
      <c r="I343" s="159">
        <f t="shared" si="1200"/>
        <v>19291.7</v>
      </c>
      <c r="J343" s="159">
        <f t="shared" si="1200"/>
        <v>11556.512000000001</v>
      </c>
      <c r="K343" s="159">
        <f t="shared" si="1200"/>
        <v>24914.282999999999</v>
      </c>
      <c r="L343" s="159">
        <f t="shared" si="1200"/>
        <v>28120.697</v>
      </c>
      <c r="M343" s="159">
        <f t="shared" si="1200"/>
        <v>32170.116000000002</v>
      </c>
      <c r="N343" s="159">
        <f t="shared" si="1200"/>
        <v>43560.044000000002</v>
      </c>
      <c r="O343" s="159">
        <f t="shared" si="1200"/>
        <v>56512.5</v>
      </c>
      <c r="P343" s="159">
        <f t="shared" si="1165"/>
        <v>56105.286</v>
      </c>
      <c r="Q343" s="203"/>
      <c r="R343" s="159">
        <f t="shared" ref="R343:X343" si="1201">R142</f>
        <v>1802.665</v>
      </c>
      <c r="S343" s="159">
        <f t="shared" si="1201"/>
        <v>2779.2550000000001</v>
      </c>
      <c r="T343" s="159">
        <f t="shared" si="1201"/>
        <v>1127.79</v>
      </c>
      <c r="U343" s="159">
        <f t="shared" si="1201"/>
        <v>5435.8870000000006</v>
      </c>
      <c r="V343" s="159">
        <f t="shared" si="1201"/>
        <v>1090.9110000000001</v>
      </c>
      <c r="W343" s="159">
        <f t="shared" si="1201"/>
        <v>5351.9520000000002</v>
      </c>
      <c r="X343" s="159">
        <f t="shared" si="1201"/>
        <v>4074.1099999999997</v>
      </c>
      <c r="Y343" s="159">
        <f t="shared" si="1176"/>
        <v>5024.2549999999983</v>
      </c>
      <c r="Z343" s="159">
        <f t="shared" si="1176"/>
        <v>3718.47</v>
      </c>
      <c r="AA343" s="159">
        <f t="shared" si="1176"/>
        <v>5636.6149999999998</v>
      </c>
      <c r="AB343" s="159">
        <f t="shared" si="1176"/>
        <v>9148.1569999999992</v>
      </c>
      <c r="AC343" s="159">
        <f t="shared" ref="AC343:AM343" si="1202">AC142</f>
        <v>1126.4790000000025</v>
      </c>
      <c r="AD343" s="159">
        <f t="shared" si="1202"/>
        <v>3810.288</v>
      </c>
      <c r="AE343" s="159">
        <f t="shared" si="1202"/>
        <v>1582.7090000000003</v>
      </c>
      <c r="AF343" s="159">
        <f t="shared" si="1202"/>
        <v>3362.4919999999988</v>
      </c>
      <c r="AG343" s="159">
        <f t="shared" si="1202"/>
        <v>2801.0230000000015</v>
      </c>
      <c r="AH343" s="159">
        <f t="shared" si="1202"/>
        <v>5774.8869999999997</v>
      </c>
      <c r="AI343" s="159">
        <f t="shared" si="1202"/>
        <v>2347.277</v>
      </c>
      <c r="AJ343" s="159">
        <f t="shared" si="1202"/>
        <v>24191.272999999997</v>
      </c>
      <c r="AK343" s="159">
        <f t="shared" si="1202"/>
        <v>-7399.1539999999977</v>
      </c>
      <c r="AL343" s="159">
        <f t="shared" si="1202"/>
        <v>3584.7379999999998</v>
      </c>
      <c r="AM343" s="159">
        <f t="shared" si="1202"/>
        <v>6478.1290000000008</v>
      </c>
      <c r="AN343" s="159">
        <f t="shared" ref="AN343:BA343" si="1203">AN142</f>
        <v>6925.9450000000015</v>
      </c>
      <c r="AO343" s="159">
        <f t="shared" si="1203"/>
        <v>11131.885</v>
      </c>
      <c r="AP343" s="159">
        <f t="shared" si="1203"/>
        <v>4442.5450000000001</v>
      </c>
      <c r="AQ343" s="159">
        <f t="shared" si="1203"/>
        <v>10998.481</v>
      </c>
      <c r="AR343" s="159">
        <f t="shared" si="1203"/>
        <v>10663.824999999999</v>
      </c>
      <c r="AS343" s="159">
        <f t="shared" si="1203"/>
        <v>6065.2650000000049</v>
      </c>
      <c r="AT343" s="159">
        <f t="shared" si="1203"/>
        <v>13274.883</v>
      </c>
      <c r="AU343" s="159">
        <f t="shared" si="1203"/>
        <v>8536.3020000000015</v>
      </c>
      <c r="AV343" s="159">
        <f t="shared" si="1203"/>
        <v>11275.377999999999</v>
      </c>
      <c r="AW343" s="159">
        <f t="shared" si="1203"/>
        <v>10473.481000000002</v>
      </c>
      <c r="AX343" s="159">
        <f t="shared" si="1203"/>
        <v>14187.538</v>
      </c>
      <c r="AY343" s="159">
        <f t="shared" si="1203"/>
        <v>3816.6850000000013</v>
      </c>
      <c r="AZ343" s="159">
        <f t="shared" si="1203"/>
        <v>16481.615000000002</v>
      </c>
      <c r="BA343" s="159">
        <f t="shared" si="1203"/>
        <v>22026.661999999997</v>
      </c>
      <c r="BB343" s="159">
        <f t="shared" si="1168"/>
        <v>10965.905000000001</v>
      </c>
      <c r="BC343" s="159">
        <f t="shared" si="1168"/>
        <v>12553.356999999998</v>
      </c>
      <c r="BD343" s="159">
        <f t="shared" si="1168"/>
        <v>13901.875000000005</v>
      </c>
      <c r="BE343" s="159">
        <f t="shared" si="1168"/>
        <v>18684.148999999998</v>
      </c>
      <c r="BF343" s="159">
        <f t="shared" si="1169"/>
        <v>16916.448</v>
      </c>
      <c r="BG343" s="142"/>
      <c r="BH343" s="159"/>
      <c r="BI343" s="159"/>
      <c r="BJ343" s="159"/>
      <c r="BK343" s="159"/>
      <c r="BL343" s="159">
        <f t="shared" si="1170"/>
        <v>3810.288</v>
      </c>
      <c r="BM343" s="203"/>
      <c r="BN343" s="159"/>
      <c r="BO343" s="159"/>
      <c r="BP343" s="159"/>
      <c r="BQ343" s="159"/>
      <c r="BR343" s="159"/>
      <c r="BS343" s="159"/>
      <c r="BT343" s="159"/>
      <c r="BU343" s="56"/>
      <c r="BV343" s="56"/>
      <c r="BW343" s="56"/>
      <c r="BX343" s="203"/>
      <c r="BY343" s="203"/>
      <c r="BZ343" s="203"/>
      <c r="CA343" s="203"/>
      <c r="CJ343" s="6"/>
      <c r="CK343" s="6"/>
      <c r="CL343" s="6"/>
    </row>
    <row r="344" spans="2:90" ht="13.5" customHeight="1" thickBot="1">
      <c r="B344" s="61" t="str">
        <f t="shared" si="1162"/>
        <v>Disposed Cash from discontinued operations</v>
      </c>
      <c r="C344" s="168">
        <f t="shared" si="1179"/>
        <v>0</v>
      </c>
      <c r="D344" s="168">
        <f t="shared" si="1179"/>
        <v>0</v>
      </c>
      <c r="E344" s="168">
        <f t="shared" si="1179"/>
        <v>0</v>
      </c>
      <c r="F344" s="168">
        <f t="shared" si="1179"/>
        <v>0</v>
      </c>
      <c r="G344" s="168">
        <f t="shared" ref="G344:O344" si="1204">G143</f>
        <v>0</v>
      </c>
      <c r="H344" s="168">
        <f t="shared" si="1204"/>
        <v>0</v>
      </c>
      <c r="I344" s="168">
        <f t="shared" si="1204"/>
        <v>0</v>
      </c>
      <c r="J344" s="168">
        <f t="shared" si="1204"/>
        <v>0</v>
      </c>
      <c r="K344" s="168">
        <f t="shared" si="1204"/>
        <v>0</v>
      </c>
      <c r="L344" s="168">
        <f t="shared" si="1204"/>
        <v>0</v>
      </c>
      <c r="M344" s="168">
        <f t="shared" si="1204"/>
        <v>0</v>
      </c>
      <c r="N344" s="168">
        <f t="shared" si="1204"/>
        <v>0</v>
      </c>
      <c r="O344" s="168">
        <f t="shared" si="1204"/>
        <v>0</v>
      </c>
      <c r="P344" s="168">
        <f t="shared" si="1165"/>
        <v>0</v>
      </c>
      <c r="Q344" s="203"/>
      <c r="R344" s="168">
        <f t="shared" ref="R344:X344" si="1205">R143</f>
        <v>0</v>
      </c>
      <c r="S344" s="168">
        <f t="shared" si="1205"/>
        <v>0</v>
      </c>
      <c r="T344" s="168">
        <f t="shared" si="1205"/>
        <v>0</v>
      </c>
      <c r="U344" s="168">
        <f t="shared" si="1205"/>
        <v>0</v>
      </c>
      <c r="V344" s="168">
        <f t="shared" si="1205"/>
        <v>0</v>
      </c>
      <c r="W344" s="168">
        <f t="shared" si="1205"/>
        <v>0</v>
      </c>
      <c r="X344" s="168">
        <f t="shared" si="1205"/>
        <v>0</v>
      </c>
      <c r="Y344" s="168">
        <f t="shared" si="1176"/>
        <v>0</v>
      </c>
      <c r="Z344" s="168">
        <f t="shared" si="1176"/>
        <v>0</v>
      </c>
      <c r="AA344" s="168">
        <f t="shared" si="1176"/>
        <v>0</v>
      </c>
      <c r="AB344" s="168">
        <f t="shared" si="1176"/>
        <v>0</v>
      </c>
      <c r="AC344" s="168">
        <f t="shared" ref="AC344:AM344" si="1206">AC143</f>
        <v>0</v>
      </c>
      <c r="AD344" s="168">
        <f t="shared" si="1206"/>
        <v>0</v>
      </c>
      <c r="AE344" s="168">
        <f t="shared" si="1206"/>
        <v>0</v>
      </c>
      <c r="AF344" s="168">
        <f t="shared" si="1206"/>
        <v>0</v>
      </c>
      <c r="AG344" s="168">
        <f t="shared" si="1206"/>
        <v>0</v>
      </c>
      <c r="AH344" s="168">
        <f t="shared" si="1206"/>
        <v>0</v>
      </c>
      <c r="AI344" s="168">
        <f t="shared" si="1206"/>
        <v>0</v>
      </c>
      <c r="AJ344" s="168">
        <f t="shared" si="1206"/>
        <v>0</v>
      </c>
      <c r="AK344" s="168">
        <f t="shared" si="1206"/>
        <v>0</v>
      </c>
      <c r="AL344" s="168">
        <f t="shared" si="1206"/>
        <v>0</v>
      </c>
      <c r="AM344" s="168">
        <f t="shared" si="1206"/>
        <v>0</v>
      </c>
      <c r="AN344" s="168">
        <f t="shared" ref="AN344:BA344" si="1207">AN143</f>
        <v>0</v>
      </c>
      <c r="AO344" s="168">
        <f t="shared" si="1207"/>
        <v>0</v>
      </c>
      <c r="AP344" s="168">
        <f t="shared" si="1207"/>
        <v>0</v>
      </c>
      <c r="AQ344" s="168">
        <f t="shared" si="1207"/>
        <v>0</v>
      </c>
      <c r="AR344" s="168">
        <f t="shared" si="1207"/>
        <v>0</v>
      </c>
      <c r="AS344" s="168">
        <f t="shared" si="1207"/>
        <v>0</v>
      </c>
      <c r="AT344" s="168">
        <f t="shared" si="1207"/>
        <v>0</v>
      </c>
      <c r="AU344" s="168">
        <f t="shared" si="1207"/>
        <v>0</v>
      </c>
      <c r="AV344" s="168">
        <f t="shared" si="1207"/>
        <v>0</v>
      </c>
      <c r="AW344" s="168">
        <f t="shared" si="1207"/>
        <v>0</v>
      </c>
      <c r="AX344" s="168">
        <f t="shared" si="1207"/>
        <v>0</v>
      </c>
      <c r="AY344" s="168">
        <f t="shared" si="1207"/>
        <v>0</v>
      </c>
      <c r="AZ344" s="168">
        <f t="shared" si="1207"/>
        <v>0</v>
      </c>
      <c r="BA344" s="168">
        <f t="shared" si="1207"/>
        <v>0</v>
      </c>
      <c r="BB344" s="168">
        <f t="shared" si="1168"/>
        <v>0</v>
      </c>
      <c r="BC344" s="168">
        <f t="shared" si="1168"/>
        <v>0</v>
      </c>
      <c r="BD344" s="168">
        <f t="shared" si="1168"/>
        <v>0</v>
      </c>
      <c r="BE344" s="168">
        <f t="shared" si="1168"/>
        <v>0</v>
      </c>
      <c r="BF344" s="168">
        <f t="shared" si="1169"/>
        <v>0</v>
      </c>
      <c r="BG344" s="142"/>
      <c r="BH344" s="168"/>
      <c r="BI344" s="168"/>
      <c r="BJ344" s="168"/>
      <c r="BK344" s="168"/>
      <c r="BL344" s="168">
        <f t="shared" si="1170"/>
        <v>0</v>
      </c>
      <c r="BM344" s="203"/>
      <c r="BN344" s="168"/>
      <c r="BO344" s="168"/>
      <c r="BP344" s="168"/>
      <c r="BQ344" s="168"/>
      <c r="BR344" s="168"/>
      <c r="BS344" s="168"/>
      <c r="BT344" s="168"/>
      <c r="BU344" s="56"/>
      <c r="BV344" s="56"/>
      <c r="BW344" s="56"/>
      <c r="BX344" s="203"/>
      <c r="BY344" s="203"/>
      <c r="BZ344" s="203"/>
      <c r="CA344" s="203"/>
      <c r="CJ344" s="6"/>
      <c r="CK344" s="6"/>
      <c r="CL344" s="6"/>
    </row>
    <row r="345" spans="2:90" ht="13.5" customHeight="1" thickTop="1" thickBot="1">
      <c r="B345" s="73" t="str">
        <f t="shared" si="1162"/>
        <v xml:space="preserve">Free cash flow </v>
      </c>
      <c r="C345" s="169">
        <f t="shared" si="1179"/>
        <v>-260160.95999999996</v>
      </c>
      <c r="D345" s="169">
        <f t="shared" si="1179"/>
        <v>-114178.79899999994</v>
      </c>
      <c r="E345" s="169">
        <f t="shared" si="1179"/>
        <v>143777.72899999999</v>
      </c>
      <c r="F345" s="169">
        <f t="shared" si="1179"/>
        <v>44427.116999999824</v>
      </c>
      <c r="G345" s="169">
        <f t="shared" ref="G345:O345" si="1208">G144</f>
        <v>46239.488999999798</v>
      </c>
      <c r="H345" s="169">
        <f t="shared" si="1208"/>
        <v>1606.6169999999438</v>
      </c>
      <c r="I345" s="169">
        <f t="shared" si="1208"/>
        <v>1282569.7350000003</v>
      </c>
      <c r="J345" s="169">
        <f t="shared" si="1208"/>
        <v>110228.01700000023</v>
      </c>
      <c r="K345" s="169">
        <f t="shared" si="1208"/>
        <v>303481.48299999983</v>
      </c>
      <c r="L345" s="169">
        <f t="shared" si="1208"/>
        <v>111460.0390000006</v>
      </c>
      <c r="M345" s="169">
        <f t="shared" si="1208"/>
        <v>-387711.56500000012</v>
      </c>
      <c r="N345" s="169">
        <f t="shared" si="1208"/>
        <v>606396.60300000024</v>
      </c>
      <c r="O345" s="169">
        <f t="shared" si="1208"/>
        <v>439156.58399999986</v>
      </c>
      <c r="P345" s="169">
        <f t="shared" si="1165"/>
        <v>940749.77499999979</v>
      </c>
      <c r="Q345" s="146"/>
      <c r="R345" s="169">
        <f t="shared" ref="R345:X345" si="1209">R144</f>
        <v>116237.65399999997</v>
      </c>
      <c r="S345" s="169">
        <f t="shared" si="1209"/>
        <v>-129398.24599999964</v>
      </c>
      <c r="T345" s="169">
        <f t="shared" si="1209"/>
        <v>-43219.875000000211</v>
      </c>
      <c r="U345" s="169">
        <f t="shared" si="1209"/>
        <v>200158.22199999975</v>
      </c>
      <c r="V345" s="169">
        <f t="shared" si="1209"/>
        <v>44540.760000000162</v>
      </c>
      <c r="W345" s="169">
        <f t="shared" si="1209"/>
        <v>-72438.269000000131</v>
      </c>
      <c r="X345" s="169">
        <f t="shared" si="1209"/>
        <v>-28063.3219999998</v>
      </c>
      <c r="Y345" s="169">
        <f t="shared" si="1176"/>
        <v>100388.64299999966</v>
      </c>
      <c r="Z345" s="169">
        <f t="shared" si="1176"/>
        <v>86649.708999999988</v>
      </c>
      <c r="AA345" s="169">
        <f t="shared" si="1176"/>
        <v>-157073.9170000001</v>
      </c>
      <c r="AB345" s="169" t="e">
        <f t="shared" si="1176"/>
        <v>#REF!</v>
      </c>
      <c r="AC345" s="169" t="e">
        <f t="shared" ref="AC345:AM345" si="1210">AC144</f>
        <v>#REF!</v>
      </c>
      <c r="AD345" s="169">
        <f t="shared" si="1210"/>
        <v>1534423.223</v>
      </c>
      <c r="AE345" s="169">
        <f t="shared" si="1210"/>
        <v>-173013.783</v>
      </c>
      <c r="AF345" s="169">
        <f t="shared" si="1210"/>
        <v>7427.9269999998742</v>
      </c>
      <c r="AG345" s="169">
        <f t="shared" si="1210"/>
        <v>-1258609.3499999999</v>
      </c>
      <c r="AH345" s="169">
        <f t="shared" si="1210"/>
        <v>-181090.50000000017</v>
      </c>
      <c r="AI345" s="169">
        <f t="shared" si="1210"/>
        <v>-83216.241999999867</v>
      </c>
      <c r="AJ345" s="169">
        <f t="shared" si="1210"/>
        <v>170769.55899999969</v>
      </c>
      <c r="AK345" s="169">
        <f t="shared" si="1210"/>
        <v>397018.66600000014</v>
      </c>
      <c r="AL345" s="169">
        <f t="shared" si="1210"/>
        <v>-6206.6600000000399</v>
      </c>
      <c r="AM345" s="169">
        <f t="shared" si="1210"/>
        <v>109782.93400000028</v>
      </c>
      <c r="AN345" s="169">
        <f t="shared" ref="AN345:BA345" si="1211">AN144</f>
        <v>-159380.41500000036</v>
      </c>
      <c r="AO345" s="169">
        <f t="shared" si="1211"/>
        <v>167264.18000000046</v>
      </c>
      <c r="AP345" s="169">
        <f t="shared" si="1211"/>
        <v>-135982.78200000009</v>
      </c>
      <c r="AQ345" s="169">
        <f t="shared" si="1211"/>
        <v>-341152.15200000023</v>
      </c>
      <c r="AR345" s="169">
        <f t="shared" si="1211"/>
        <v>-153634.33199999953</v>
      </c>
      <c r="AS345" s="169">
        <f t="shared" si="1211"/>
        <v>243057.70099999933</v>
      </c>
      <c r="AT345" s="169">
        <f t="shared" si="1211"/>
        <v>271053.90499999997</v>
      </c>
      <c r="AU345" s="169">
        <f t="shared" si="1211"/>
        <v>-185664.16500000004</v>
      </c>
      <c r="AV345" s="169">
        <f t="shared" si="1211"/>
        <v>161028.42900000009</v>
      </c>
      <c r="AW345" s="169">
        <f t="shared" si="1211"/>
        <v>359978.43400000001</v>
      </c>
      <c r="AX345" s="169">
        <f t="shared" si="1211"/>
        <v>-41627.951000000088</v>
      </c>
      <c r="AY345" s="169">
        <f t="shared" si="1211"/>
        <v>-111841.80400000012</v>
      </c>
      <c r="AZ345" s="169">
        <f t="shared" si="1211"/>
        <v>266296.58500000049</v>
      </c>
      <c r="BA345" s="169">
        <f t="shared" si="1211"/>
        <v>326329.75399999967</v>
      </c>
      <c r="BB345" s="169">
        <f t="shared" si="1168"/>
        <v>14542.152000000346</v>
      </c>
      <c r="BC345" s="169">
        <f t="shared" si="1168"/>
        <v>211677.69099999985</v>
      </c>
      <c r="BD345" s="169">
        <f t="shared" si="1168"/>
        <v>-39233.102000000588</v>
      </c>
      <c r="BE345" s="169">
        <f t="shared" si="1168"/>
        <v>753763.03400000033</v>
      </c>
      <c r="BF345" s="169">
        <f t="shared" si="1169"/>
        <v>368470.06699999992</v>
      </c>
      <c r="BG345" s="142"/>
      <c r="BH345" s="169"/>
      <c r="BI345" s="169"/>
      <c r="BJ345" s="169"/>
      <c r="BK345" s="169"/>
      <c r="BL345" s="169">
        <f t="shared" si="1170"/>
        <v>-796497.84900000016</v>
      </c>
      <c r="BM345" s="146"/>
      <c r="BN345" s="170"/>
      <c r="BO345" s="169"/>
      <c r="BP345" s="169"/>
      <c r="BQ345" s="169"/>
      <c r="BR345" s="169"/>
      <c r="BS345" s="169"/>
      <c r="BT345" s="169"/>
      <c r="BU345" s="56"/>
      <c r="BV345" s="56"/>
      <c r="BW345" s="56"/>
      <c r="BX345" s="146"/>
      <c r="BY345" s="146"/>
      <c r="BZ345" s="146"/>
      <c r="CA345" s="146"/>
      <c r="CJ345" s="6"/>
      <c r="CK345" s="6"/>
      <c r="CL345" s="6"/>
    </row>
    <row r="346" spans="2:90" ht="13.5" customHeight="1" thickTop="1">
      <c r="B346" s="1" t="str">
        <f t="shared" si="1162"/>
        <v>Equity Issuance/Buyback</v>
      </c>
      <c r="C346" s="165">
        <f t="shared" si="1179"/>
        <v>49884.508999999998</v>
      </c>
      <c r="D346" s="165">
        <f t="shared" si="1179"/>
        <v>-1305.6490000000003</v>
      </c>
      <c r="E346" s="165">
        <f t="shared" si="1179"/>
        <v>-15411.49</v>
      </c>
      <c r="F346" s="165">
        <f t="shared" si="1179"/>
        <v>17853.599999999999</v>
      </c>
      <c r="G346" s="165">
        <f t="shared" ref="G346:O346" si="1212">G145</f>
        <v>17853.599999999999</v>
      </c>
      <c r="H346" s="165">
        <f t="shared" si="1212"/>
        <v>382327.87799999997</v>
      </c>
      <c r="I346" s="165">
        <f t="shared" si="1212"/>
        <v>382327.87799999997</v>
      </c>
      <c r="J346" s="165">
        <f t="shared" si="1212"/>
        <v>16252.467000000001</v>
      </c>
      <c r="K346" s="165">
        <f t="shared" si="1212"/>
        <v>4959.4840000000004</v>
      </c>
      <c r="L346" s="165">
        <f t="shared" si="1212"/>
        <v>18256.172999999999</v>
      </c>
      <c r="M346" s="165">
        <f t="shared" si="1212"/>
        <v>21887.95</v>
      </c>
      <c r="N346" s="165">
        <f t="shared" si="1212"/>
        <v>10333.961000000001</v>
      </c>
      <c r="O346" s="165">
        <f t="shared" si="1212"/>
        <v>312402.98700000002</v>
      </c>
      <c r="P346" s="165">
        <f t="shared" si="1165"/>
        <v>0</v>
      </c>
      <c r="Q346" s="203"/>
      <c r="R346" s="165">
        <f t="shared" ref="R346:X346" si="1213">R145</f>
        <v>-10036.616</v>
      </c>
      <c r="S346" s="165">
        <f t="shared" si="1213"/>
        <v>-9042.8680000000004</v>
      </c>
      <c r="T346" s="165">
        <f t="shared" si="1213"/>
        <v>0</v>
      </c>
      <c r="U346" s="165">
        <f t="shared" si="1213"/>
        <v>3667.9940000000006</v>
      </c>
      <c r="V346" s="159">
        <f t="shared" si="1213"/>
        <v>0</v>
      </c>
      <c r="W346" s="159">
        <f t="shared" si="1213"/>
        <v>1610</v>
      </c>
      <c r="X346" s="159">
        <f t="shared" si="1213"/>
        <v>8974.7520000000004</v>
      </c>
      <c r="Y346" s="165">
        <f t="shared" si="1176"/>
        <v>7268.8479999999981</v>
      </c>
      <c r="Z346" s="165">
        <f t="shared" si="1176"/>
        <v>8321.8050000000003</v>
      </c>
      <c r="AA346" s="165">
        <f t="shared" si="1176"/>
        <v>-17856.821</v>
      </c>
      <c r="AB346" s="159">
        <f t="shared" si="1176"/>
        <v>298.68199999999888</v>
      </c>
      <c r="AC346" s="159">
        <f t="shared" ref="AC346:AM346" si="1214">AC145</f>
        <v>391564.212</v>
      </c>
      <c r="AD346" s="165">
        <f t="shared" si="1214"/>
        <v>332.76799999999997</v>
      </c>
      <c r="AE346" s="165">
        <f t="shared" si="1214"/>
        <v>1723.8589999999999</v>
      </c>
      <c r="AF346" s="165">
        <f t="shared" si="1214"/>
        <v>555.80099999999993</v>
      </c>
      <c r="AG346" s="159">
        <f t="shared" si="1214"/>
        <v>13640.039000000001</v>
      </c>
      <c r="AH346" s="165">
        <f t="shared" si="1214"/>
        <v>2975.42</v>
      </c>
      <c r="AI346" s="165">
        <f t="shared" si="1214"/>
        <v>1001.9279999999999</v>
      </c>
      <c r="AJ346" s="165">
        <f t="shared" si="1214"/>
        <v>0</v>
      </c>
      <c r="AK346" s="159">
        <f t="shared" si="1214"/>
        <v>982.13600000000042</v>
      </c>
      <c r="AL346" s="165">
        <f t="shared" si="1214"/>
        <v>1846.3810000000001</v>
      </c>
      <c r="AM346" s="165">
        <f t="shared" si="1214"/>
        <v>680.8889999999999</v>
      </c>
      <c r="AN346" s="165">
        <f t="shared" ref="AN346:BA346" si="1215">AN145</f>
        <v>10953.452000000001</v>
      </c>
      <c r="AO346" s="159">
        <f t="shared" si="1215"/>
        <v>4775.4509999999973</v>
      </c>
      <c r="AP346" s="165">
        <f t="shared" si="1215"/>
        <v>2611.6999999999998</v>
      </c>
      <c r="AQ346" s="165">
        <f t="shared" si="1215"/>
        <v>13987.75</v>
      </c>
      <c r="AR346" s="165">
        <f t="shared" si="1215"/>
        <v>5288.5000000000009</v>
      </c>
      <c r="AS346" s="159">
        <f t="shared" si="1215"/>
        <v>0</v>
      </c>
      <c r="AT346" s="165">
        <f t="shared" si="1215"/>
        <v>1753.502</v>
      </c>
      <c r="AU346" s="165">
        <f t="shared" si="1215"/>
        <v>-155917.66999999998</v>
      </c>
      <c r="AV346" s="165">
        <f t="shared" si="1215"/>
        <v>7.73070496506989E-12</v>
      </c>
      <c r="AW346" s="159">
        <f t="shared" si="1215"/>
        <v>164498.12899999996</v>
      </c>
      <c r="AX346" s="165">
        <f t="shared" si="1215"/>
        <v>3607.77</v>
      </c>
      <c r="AY346" s="165">
        <f t="shared" si="1215"/>
        <v>0</v>
      </c>
      <c r="AZ346" s="165">
        <f t="shared" si="1215"/>
        <v>308426.68899999995</v>
      </c>
      <c r="BA346" s="159">
        <f t="shared" si="1215"/>
        <v>368.528000000068</v>
      </c>
      <c r="BB346" s="165">
        <f t="shared" si="1168"/>
        <v>0</v>
      </c>
      <c r="BC346" s="165">
        <f t="shared" si="1168"/>
        <v>0</v>
      </c>
      <c r="BD346" s="165">
        <f t="shared" si="1168"/>
        <v>0</v>
      </c>
      <c r="BE346" s="159">
        <f t="shared" si="1168"/>
        <v>0</v>
      </c>
      <c r="BF346" s="165">
        <f t="shared" si="1169"/>
        <v>0</v>
      </c>
      <c r="BG346" s="142"/>
      <c r="BH346" s="165"/>
      <c r="BI346" s="165"/>
      <c r="BJ346" s="165"/>
      <c r="BK346" s="159"/>
      <c r="BL346" s="165">
        <f t="shared" si="1170"/>
        <v>332.76799999999997</v>
      </c>
      <c r="BM346" s="203"/>
      <c r="BN346" s="159"/>
      <c r="BO346" s="165"/>
      <c r="BP346" s="165"/>
      <c r="BQ346" s="165"/>
      <c r="BR346" s="165"/>
      <c r="BS346" s="165"/>
      <c r="BT346" s="165"/>
      <c r="BU346" s="56"/>
      <c r="BV346" s="56"/>
      <c r="BW346" s="56"/>
      <c r="BX346" s="203"/>
      <c r="BY346" s="203"/>
      <c r="BZ346" s="203"/>
      <c r="CA346" s="203"/>
      <c r="CJ346" s="6"/>
      <c r="CK346" s="6"/>
      <c r="CL346" s="6"/>
    </row>
    <row r="347" spans="2:90" s="5" customFormat="1" ht="13.5" customHeight="1">
      <c r="B347" s="1" t="str">
        <f t="shared" si="1162"/>
        <v xml:space="preserve">Dividends received  / Dividends Paid </v>
      </c>
      <c r="C347" s="165">
        <f t="shared" si="1179"/>
        <v>-174484.55100000001</v>
      </c>
      <c r="D347" s="165">
        <f t="shared" si="1179"/>
        <v>-188179.77</v>
      </c>
      <c r="E347" s="165">
        <f t="shared" si="1179"/>
        <v>-214792.89800000002</v>
      </c>
      <c r="F347" s="165">
        <f t="shared" si="1179"/>
        <v>-209860.07500000001</v>
      </c>
      <c r="G347" s="165">
        <f t="shared" ref="G347:O347" si="1216">G146</f>
        <v>-209860.07500000001</v>
      </c>
      <c r="H347" s="165">
        <f t="shared" si="1216"/>
        <v>-148746.22700000001</v>
      </c>
      <c r="I347" s="165">
        <f t="shared" si="1216"/>
        <v>-148746.22700000001</v>
      </c>
      <c r="J347" s="165">
        <f t="shared" si="1216"/>
        <v>-201660.63699999999</v>
      </c>
      <c r="K347" s="165">
        <f t="shared" si="1216"/>
        <v>-91843.982000000004</v>
      </c>
      <c r="L347" s="165">
        <f t="shared" si="1216"/>
        <v>-53899.37</v>
      </c>
      <c r="M347" s="165">
        <f t="shared" si="1216"/>
        <v>-244607.58799999999</v>
      </c>
      <c r="N347" s="165">
        <f t="shared" si="1216"/>
        <v>-336.46800000000076</v>
      </c>
      <c r="O347" s="165">
        <f t="shared" si="1216"/>
        <v>-31334.295000000002</v>
      </c>
      <c r="P347" s="165">
        <f t="shared" si="1165"/>
        <v>-307277.48100000003</v>
      </c>
      <c r="Q347" s="203"/>
      <c r="R347" s="165">
        <f t="shared" ref="R347:X347" si="1217">R146</f>
        <v>-1639.46</v>
      </c>
      <c r="S347" s="165">
        <f t="shared" si="1217"/>
        <v>-146030.97200000001</v>
      </c>
      <c r="T347" s="165">
        <f t="shared" si="1217"/>
        <v>4.3010000000149375</v>
      </c>
      <c r="U347" s="165">
        <f t="shared" si="1217"/>
        <v>-67126.767000000007</v>
      </c>
      <c r="V347" s="159">
        <f t="shared" si="1217"/>
        <v>-1597.423</v>
      </c>
      <c r="W347" s="159">
        <f t="shared" si="1217"/>
        <v>-142736.40999999997</v>
      </c>
      <c r="X347" s="159">
        <f t="shared" si="1217"/>
        <v>2.3619999999839365</v>
      </c>
      <c r="Y347" s="165">
        <f t="shared" si="1176"/>
        <v>-65528.604000000028</v>
      </c>
      <c r="Z347" s="165">
        <f t="shared" si="1176"/>
        <v>-18.827000000000002</v>
      </c>
      <c r="AA347" s="165">
        <f t="shared" si="1176"/>
        <v>-143873.38999999998</v>
      </c>
      <c r="AB347" s="159">
        <f t="shared" si="1176"/>
        <v>8.7039999999785813</v>
      </c>
      <c r="AC347" s="159">
        <f t="shared" ref="AC347:AM347" si="1218">AC146</f>
        <v>-4862.7139999999972</v>
      </c>
      <c r="AD347" s="165">
        <f t="shared" si="1218"/>
        <v>-68609.434999999998</v>
      </c>
      <c r="AE347" s="165">
        <f t="shared" si="1218"/>
        <v>-130692.55700000003</v>
      </c>
      <c r="AF347" s="165">
        <f t="shared" si="1218"/>
        <v>7347.2310000000289</v>
      </c>
      <c r="AG347" s="159">
        <f t="shared" si="1218"/>
        <v>-9705.8759999999893</v>
      </c>
      <c r="AH347" s="165">
        <f t="shared" si="1218"/>
        <v>-44982.838000000003</v>
      </c>
      <c r="AI347" s="165">
        <f t="shared" si="1218"/>
        <v>-48423.781999999992</v>
      </c>
      <c r="AJ347" s="165">
        <f t="shared" si="1218"/>
        <v>-8982.5979999999981</v>
      </c>
      <c r="AK347" s="159">
        <f t="shared" si="1218"/>
        <v>10545.23599999999</v>
      </c>
      <c r="AL347" s="165">
        <f t="shared" si="1218"/>
        <v>4.681</v>
      </c>
      <c r="AM347" s="165">
        <f t="shared" si="1218"/>
        <v>-2171.0729999999999</v>
      </c>
      <c r="AN347" s="165">
        <f t="shared" ref="AN347:BA347" si="1219">AN146</f>
        <v>-70315.462999999989</v>
      </c>
      <c r="AO347" s="159">
        <f t="shared" si="1219"/>
        <v>18582.484999999986</v>
      </c>
      <c r="AP347" s="165">
        <f t="shared" si="1219"/>
        <v>-5409.067</v>
      </c>
      <c r="AQ347" s="165">
        <f t="shared" si="1219"/>
        <v>-170938.53099999999</v>
      </c>
      <c r="AR347" s="165">
        <f t="shared" si="1219"/>
        <v>-236.30500000000302</v>
      </c>
      <c r="AS347" s="159">
        <f t="shared" si="1219"/>
        <v>-68023.685000000012</v>
      </c>
      <c r="AT347" s="165">
        <f t="shared" si="1219"/>
        <v>-224.34299999999999</v>
      </c>
      <c r="AU347" s="165">
        <f t="shared" si="1219"/>
        <v>1245.9680000000001</v>
      </c>
      <c r="AV347" s="165">
        <f t="shared" si="1219"/>
        <v>-398.35999999999979</v>
      </c>
      <c r="AW347" s="159">
        <f t="shared" si="1219"/>
        <v>-959.73300000000097</v>
      </c>
      <c r="AX347" s="165">
        <f t="shared" si="1219"/>
        <v>-2962.1590000000001</v>
      </c>
      <c r="AY347" s="165">
        <f t="shared" si="1219"/>
        <v>-15897.757999999998</v>
      </c>
      <c r="AZ347" s="165">
        <f t="shared" si="1219"/>
        <v>-548.65100000000484</v>
      </c>
      <c r="BA347" s="159">
        <f t="shared" si="1219"/>
        <v>-11925.726999999999</v>
      </c>
      <c r="BB347" s="165">
        <f t="shared" si="1168"/>
        <v>-55491.516000000003</v>
      </c>
      <c r="BC347" s="165">
        <f t="shared" si="1168"/>
        <v>-133105.83600000001</v>
      </c>
      <c r="BD347" s="165">
        <f t="shared" si="1168"/>
        <v>-3480.8409999999858</v>
      </c>
      <c r="BE347" s="159">
        <f t="shared" si="1168"/>
        <v>-115199.288</v>
      </c>
      <c r="BF347" s="165">
        <f t="shared" si="1169"/>
        <v>22683.995000000003</v>
      </c>
      <c r="BG347" s="142"/>
      <c r="BH347" s="165"/>
      <c r="BI347" s="165"/>
      <c r="BJ347" s="165"/>
      <c r="BK347" s="159"/>
      <c r="BL347" s="165">
        <f t="shared" si="1170"/>
        <v>-68609.434999999998</v>
      </c>
      <c r="BM347" s="203"/>
      <c r="BN347" s="159"/>
      <c r="BO347" s="165"/>
      <c r="BP347" s="165"/>
      <c r="BQ347" s="165"/>
      <c r="BR347" s="165"/>
      <c r="BS347" s="165"/>
      <c r="BT347" s="165"/>
      <c r="BU347" s="56"/>
      <c r="BV347" s="56"/>
      <c r="BW347" s="56"/>
      <c r="BX347" s="203"/>
      <c r="BY347" s="203"/>
      <c r="BZ347" s="203"/>
      <c r="CA347" s="203"/>
      <c r="CJ347" s="6"/>
      <c r="CK347" s="6"/>
      <c r="CL347" s="6"/>
    </row>
    <row r="348" spans="2:90" ht="13.5" customHeight="1">
      <c r="B348" s="1" t="str">
        <f t="shared" si="1162"/>
        <v>Acquisition of bonds</v>
      </c>
      <c r="C348" s="165">
        <f t="shared" si="1179"/>
        <v>0</v>
      </c>
      <c r="D348" s="165">
        <f t="shared" si="1179"/>
        <v>0</v>
      </c>
      <c r="E348" s="165">
        <f t="shared" si="1179"/>
        <v>0</v>
      </c>
      <c r="F348" s="165">
        <f t="shared" si="1179"/>
        <v>0</v>
      </c>
      <c r="G348" s="165">
        <f t="shared" ref="G348:O348" si="1220">G147</f>
        <v>0</v>
      </c>
      <c r="H348" s="165">
        <f t="shared" si="1220"/>
        <v>0</v>
      </c>
      <c r="I348" s="165">
        <f t="shared" si="1220"/>
        <v>0</v>
      </c>
      <c r="J348" s="165">
        <f t="shared" si="1220"/>
        <v>0</v>
      </c>
      <c r="K348" s="165">
        <f t="shared" si="1220"/>
        <v>0</v>
      </c>
      <c r="L348" s="165">
        <f t="shared" si="1220"/>
        <v>0</v>
      </c>
      <c r="M348" s="165">
        <f t="shared" si="1220"/>
        <v>0</v>
      </c>
      <c r="N348" s="165">
        <f t="shared" si="1220"/>
        <v>0</v>
      </c>
      <c r="O348" s="165">
        <f t="shared" si="1220"/>
        <v>0</v>
      </c>
      <c r="P348" s="165">
        <f t="shared" si="1165"/>
        <v>0</v>
      </c>
      <c r="Q348" s="203"/>
      <c r="R348" s="165">
        <f t="shared" ref="R348:X348" si="1221">R147</f>
        <v>0</v>
      </c>
      <c r="S348" s="165">
        <f t="shared" si="1221"/>
        <v>0</v>
      </c>
      <c r="T348" s="165">
        <f t="shared" si="1221"/>
        <v>0</v>
      </c>
      <c r="U348" s="165">
        <f t="shared" si="1221"/>
        <v>0</v>
      </c>
      <c r="V348" s="159">
        <f t="shared" si="1221"/>
        <v>0</v>
      </c>
      <c r="W348" s="159">
        <f t="shared" si="1221"/>
        <v>0</v>
      </c>
      <c r="X348" s="159">
        <f t="shared" si="1221"/>
        <v>0</v>
      </c>
      <c r="Y348" s="165">
        <f t="shared" si="1176"/>
        <v>0</v>
      </c>
      <c r="Z348" s="165">
        <f t="shared" si="1176"/>
        <v>0</v>
      </c>
      <c r="AA348" s="165">
        <f t="shared" si="1176"/>
        <v>0</v>
      </c>
      <c r="AB348" s="159">
        <f t="shared" si="1176"/>
        <v>0</v>
      </c>
      <c r="AC348" s="159">
        <f t="shared" ref="AC348:AM348" si="1222">AC147</f>
        <v>0</v>
      </c>
      <c r="AD348" s="165">
        <f t="shared" si="1222"/>
        <v>0</v>
      </c>
      <c r="AE348" s="165">
        <f t="shared" si="1222"/>
        <v>0</v>
      </c>
      <c r="AF348" s="165">
        <f t="shared" si="1222"/>
        <v>0</v>
      </c>
      <c r="AG348" s="159">
        <f t="shared" si="1222"/>
        <v>0</v>
      </c>
      <c r="AH348" s="165">
        <f t="shared" si="1222"/>
        <v>0</v>
      </c>
      <c r="AI348" s="165">
        <f t="shared" si="1222"/>
        <v>0</v>
      </c>
      <c r="AJ348" s="165">
        <f t="shared" si="1222"/>
        <v>0</v>
      </c>
      <c r="AK348" s="159">
        <f t="shared" si="1222"/>
        <v>0</v>
      </c>
      <c r="AL348" s="165">
        <f t="shared" si="1222"/>
        <v>0</v>
      </c>
      <c r="AM348" s="165">
        <f t="shared" si="1222"/>
        <v>0</v>
      </c>
      <c r="AN348" s="165">
        <f t="shared" ref="AN348:BA348" si="1223">AN147</f>
        <v>0</v>
      </c>
      <c r="AO348" s="159">
        <f t="shared" si="1223"/>
        <v>0</v>
      </c>
      <c r="AP348" s="165">
        <f t="shared" si="1223"/>
        <v>0</v>
      </c>
      <c r="AQ348" s="165">
        <f t="shared" si="1223"/>
        <v>0</v>
      </c>
      <c r="AR348" s="165">
        <f t="shared" si="1223"/>
        <v>0</v>
      </c>
      <c r="AS348" s="159">
        <f t="shared" si="1223"/>
        <v>0</v>
      </c>
      <c r="AT348" s="165">
        <f t="shared" si="1223"/>
        <v>0</v>
      </c>
      <c r="AU348" s="165">
        <f t="shared" si="1223"/>
        <v>0</v>
      </c>
      <c r="AV348" s="165">
        <f t="shared" si="1223"/>
        <v>0</v>
      </c>
      <c r="AW348" s="159">
        <f t="shared" si="1223"/>
        <v>0</v>
      </c>
      <c r="AX348" s="165">
        <f t="shared" si="1223"/>
        <v>0</v>
      </c>
      <c r="AY348" s="165">
        <f t="shared" si="1223"/>
        <v>0</v>
      </c>
      <c r="AZ348" s="165">
        <f t="shared" si="1223"/>
        <v>0</v>
      </c>
      <c r="BA348" s="159">
        <f t="shared" si="1223"/>
        <v>0</v>
      </c>
      <c r="BB348" s="165">
        <f t="shared" si="1168"/>
        <v>0</v>
      </c>
      <c r="BC348" s="165">
        <f t="shared" si="1168"/>
        <v>0</v>
      </c>
      <c r="BD348" s="165">
        <f t="shared" si="1168"/>
        <v>0</v>
      </c>
      <c r="BE348" s="159">
        <f t="shared" si="1168"/>
        <v>0</v>
      </c>
      <c r="BF348" s="165">
        <f t="shared" si="1169"/>
        <v>0</v>
      </c>
      <c r="BG348" s="142"/>
      <c r="BH348" s="165"/>
      <c r="BI348" s="165"/>
      <c r="BJ348" s="165"/>
      <c r="BK348" s="159"/>
      <c r="BL348" s="165">
        <f t="shared" si="1170"/>
        <v>0</v>
      </c>
      <c r="BM348" s="203"/>
      <c r="BN348" s="159"/>
      <c r="BO348" s="165"/>
      <c r="BP348" s="165"/>
      <c r="BQ348" s="165"/>
      <c r="BR348" s="165"/>
      <c r="BS348" s="165"/>
      <c r="BT348" s="165"/>
      <c r="BU348" s="56"/>
      <c r="BV348" s="56"/>
      <c r="BW348" s="56"/>
      <c r="BX348" s="203"/>
      <c r="BY348" s="203"/>
      <c r="BZ348" s="203"/>
      <c r="CA348" s="203"/>
      <c r="CJ348" s="6"/>
      <c r="CK348" s="6"/>
      <c r="CL348" s="6"/>
    </row>
    <row r="349" spans="2:90" ht="13.5" customHeight="1">
      <c r="B349" s="1" t="str">
        <f t="shared" si="1162"/>
        <v>Change in debt /Finance Costs</v>
      </c>
      <c r="C349" s="165">
        <f t="shared" si="1179"/>
        <v>313851.41499999986</v>
      </c>
      <c r="D349" s="159">
        <f t="shared" si="1179"/>
        <v>233734.50500000021</v>
      </c>
      <c r="E349" s="159">
        <f t="shared" si="1179"/>
        <v>397485.0120000001</v>
      </c>
      <c r="F349" s="159">
        <f t="shared" si="1179"/>
        <v>83961.374999999942</v>
      </c>
      <c r="G349" s="159">
        <f t="shared" ref="G349:O349" si="1224">G148</f>
        <v>83961.374999999942</v>
      </c>
      <c r="H349" s="159">
        <f t="shared" si="1224"/>
        <v>-214163.80500000017</v>
      </c>
      <c r="I349" s="159">
        <f t="shared" si="1224"/>
        <v>-341513.80499999993</v>
      </c>
      <c r="J349" s="159">
        <f t="shared" si="1224"/>
        <v>-247625.554</v>
      </c>
      <c r="K349" s="159">
        <f t="shared" si="1224"/>
        <v>663030.08899999992</v>
      </c>
      <c r="L349" s="159">
        <f t="shared" si="1224"/>
        <v>-401820.45500000007</v>
      </c>
      <c r="M349" s="159">
        <f t="shared" si="1224"/>
        <v>666418.43100000033</v>
      </c>
      <c r="N349" s="159">
        <f t="shared" si="1224"/>
        <v>-185062.38300000015</v>
      </c>
      <c r="O349" s="159">
        <f t="shared" si="1224"/>
        <v>-266753.326</v>
      </c>
      <c r="P349" s="159">
        <f t="shared" si="1165"/>
        <v>-879883.84100000013</v>
      </c>
      <c r="Q349" s="203"/>
      <c r="R349" s="159">
        <f t="shared" ref="R349:X349" si="1225">R148</f>
        <v>-79134.364999999932</v>
      </c>
      <c r="S349" s="159">
        <f t="shared" si="1225"/>
        <v>175598.67299999992</v>
      </c>
      <c r="T349" s="159">
        <f t="shared" si="1225"/>
        <v>77820.528999999951</v>
      </c>
      <c r="U349" s="159">
        <f t="shared" si="1225"/>
        <v>223200.17500000013</v>
      </c>
      <c r="V349" s="159">
        <f t="shared" si="1225"/>
        <v>-64273.149000000121</v>
      </c>
      <c r="W349" s="159">
        <f t="shared" si="1225"/>
        <v>122663.59000000008</v>
      </c>
      <c r="X349" s="159">
        <f t="shared" si="1225"/>
        <v>63851.784000000203</v>
      </c>
      <c r="Y349" s="159">
        <f t="shared" si="1176"/>
        <v>-38280.850000000224</v>
      </c>
      <c r="Z349" s="159">
        <f t="shared" si="1176"/>
        <v>-52905.184999999969</v>
      </c>
      <c r="AA349" s="159">
        <f t="shared" si="1176"/>
        <v>219559.79899999985</v>
      </c>
      <c r="AB349" s="159">
        <f t="shared" si="1176"/>
        <v>158347.65500000009</v>
      </c>
      <c r="AC349" s="159">
        <f t="shared" ref="AC349:AM349" si="1226">AC148</f>
        <v>-539166.07400000014</v>
      </c>
      <c r="AD349" s="159">
        <f t="shared" si="1226"/>
        <v>-59004.100000000028</v>
      </c>
      <c r="AE349" s="159">
        <f t="shared" si="1226"/>
        <v>-16408.527999999984</v>
      </c>
      <c r="AF349" s="159">
        <f t="shared" si="1226"/>
        <v>59537.893999999993</v>
      </c>
      <c r="AG349" s="159">
        <f t="shared" si="1226"/>
        <v>-231750.81999999995</v>
      </c>
      <c r="AH349" s="159">
        <f t="shared" si="1226"/>
        <v>952034.46900000004</v>
      </c>
      <c r="AI349" s="159">
        <f t="shared" si="1226"/>
        <v>463443.9739999997</v>
      </c>
      <c r="AJ349" s="159">
        <f t="shared" si="1226"/>
        <v>-277055.3739999996</v>
      </c>
      <c r="AK349" s="159">
        <f t="shared" si="1226"/>
        <v>-475392.98000000021</v>
      </c>
      <c r="AL349" s="159">
        <f t="shared" si="1226"/>
        <v>-51039.496000000043</v>
      </c>
      <c r="AM349" s="159">
        <f t="shared" si="1226"/>
        <v>-279494.67499999999</v>
      </c>
      <c r="AN349" s="159">
        <f t="shared" ref="AN349:BA349" si="1227">AN148</f>
        <v>-102261.08899999998</v>
      </c>
      <c r="AO349" s="159">
        <f t="shared" si="1227"/>
        <v>30974.804999999935</v>
      </c>
      <c r="AP349" s="159">
        <f t="shared" si="1227"/>
        <v>116522.24300000002</v>
      </c>
      <c r="AQ349" s="159">
        <f t="shared" si="1227"/>
        <v>416514.60199999996</v>
      </c>
      <c r="AR349" s="159">
        <f t="shared" si="1227"/>
        <v>1219727.5480000002</v>
      </c>
      <c r="AS349" s="159">
        <f t="shared" si="1227"/>
        <v>-1086345.9619999998</v>
      </c>
      <c r="AT349" s="159">
        <f t="shared" si="1227"/>
        <v>-83165.062000000034</v>
      </c>
      <c r="AU349" s="159">
        <f t="shared" si="1227"/>
        <v>-55456.107999999891</v>
      </c>
      <c r="AV349" s="159">
        <f t="shared" si="1227"/>
        <v>-62139.736000000034</v>
      </c>
      <c r="AW349" s="159">
        <f t="shared" si="1227"/>
        <v>15698.522999999812</v>
      </c>
      <c r="AX349" s="159">
        <f t="shared" si="1227"/>
        <v>-5859.4809999999998</v>
      </c>
      <c r="AY349" s="159">
        <f t="shared" si="1227"/>
        <v>18227.050999999949</v>
      </c>
      <c r="AZ349" s="159">
        <f t="shared" si="1227"/>
        <v>8816.1140000000596</v>
      </c>
      <c r="BA349" s="159">
        <f t="shared" si="1227"/>
        <v>-287937.01</v>
      </c>
      <c r="BB349" s="159">
        <f t="shared" si="1168"/>
        <v>-413241.54699999996</v>
      </c>
      <c r="BC349" s="159">
        <f t="shared" si="1168"/>
        <v>-19297.731000000087</v>
      </c>
      <c r="BD349" s="159">
        <f t="shared" si="1168"/>
        <v>-166214.95099999994</v>
      </c>
      <c r="BE349" s="159">
        <f t="shared" si="1168"/>
        <v>-281129.61200000002</v>
      </c>
      <c r="BF349" s="159">
        <f t="shared" si="1169"/>
        <v>125273.927</v>
      </c>
      <c r="BG349" s="142"/>
      <c r="BH349" s="159"/>
      <c r="BI349" s="159"/>
      <c r="BJ349" s="159"/>
      <c r="BK349" s="159"/>
      <c r="BL349" s="159">
        <f t="shared" si="1170"/>
        <v>-25661.091000000015</v>
      </c>
      <c r="BM349" s="203"/>
      <c r="BN349" s="159"/>
      <c r="BO349" s="159"/>
      <c r="BP349" s="159"/>
      <c r="BQ349" s="159"/>
      <c r="BR349" s="159"/>
      <c r="BS349" s="159"/>
      <c r="BT349" s="159"/>
      <c r="BU349" s="56"/>
      <c r="BV349" s="56"/>
      <c r="BW349" s="56"/>
      <c r="BX349" s="203"/>
      <c r="BY349" s="203"/>
      <c r="BZ349" s="203"/>
      <c r="CA349" s="203"/>
      <c r="CJ349" s="6"/>
      <c r="CK349" s="6"/>
      <c r="CL349" s="6"/>
    </row>
    <row r="350" spans="2:90" ht="13.5" customHeight="1" thickBot="1">
      <c r="B350" s="61" t="str">
        <f t="shared" si="1162"/>
        <v>Other items</v>
      </c>
      <c r="C350" s="159">
        <f t="shared" si="1179"/>
        <v>21649.303000000004</v>
      </c>
      <c r="D350" s="168">
        <f t="shared" si="1179"/>
        <v>26635.674999999999</v>
      </c>
      <c r="E350" s="168">
        <f t="shared" si="1179"/>
        <v>-104855.057</v>
      </c>
      <c r="F350" s="168">
        <f t="shared" si="1179"/>
        <v>-42136.351000000002</v>
      </c>
      <c r="G350" s="168">
        <f t="shared" ref="G350:O350" si="1228">G149</f>
        <v>-42136.351000000002</v>
      </c>
      <c r="H350" s="168">
        <f t="shared" si="1228"/>
        <v>-114203.53200000001</v>
      </c>
      <c r="I350" s="168">
        <f t="shared" si="1228"/>
        <v>-114203.53200000001</v>
      </c>
      <c r="J350" s="168">
        <f t="shared" si="1228"/>
        <v>-13547.960999999996</v>
      </c>
      <c r="K350" s="168">
        <f t="shared" si="1228"/>
        <v>-21182.056000000004</v>
      </c>
      <c r="L350" s="168">
        <f t="shared" si="1228"/>
        <v>-26717.808999999994</v>
      </c>
      <c r="M350" s="168">
        <f t="shared" si="1228"/>
        <v>-24935.923999999999</v>
      </c>
      <c r="N350" s="168">
        <f t="shared" si="1228"/>
        <v>-167654.44999999998</v>
      </c>
      <c r="O350" s="168">
        <f t="shared" si="1228"/>
        <v>31250.199999999997</v>
      </c>
      <c r="P350" s="168">
        <f t="shared" si="1165"/>
        <v>191975.27100000001</v>
      </c>
      <c r="Q350" s="203"/>
      <c r="R350" s="168">
        <f t="shared" ref="R350:X350" si="1229">R149</f>
        <v>6628.01</v>
      </c>
      <c r="S350" s="168">
        <f t="shared" si="1229"/>
        <v>10381.178000000002</v>
      </c>
      <c r="T350" s="168">
        <f t="shared" si="1229"/>
        <v>-14993.114000000001</v>
      </c>
      <c r="U350" s="168">
        <f t="shared" si="1229"/>
        <v>-106871.13099999999</v>
      </c>
      <c r="V350" s="168">
        <f t="shared" si="1229"/>
        <v>2057.1439999999998</v>
      </c>
      <c r="W350" s="168">
        <f t="shared" si="1229"/>
        <v>-10059.969000000001</v>
      </c>
      <c r="X350" s="168">
        <f t="shared" si="1229"/>
        <v>-19933.685999999998</v>
      </c>
      <c r="Y350" s="168">
        <f t="shared" si="1176"/>
        <v>-14199.840000000004</v>
      </c>
      <c r="Z350" s="168">
        <f t="shared" si="1176"/>
        <v>-960.72299999999996</v>
      </c>
      <c r="AA350" s="168">
        <f t="shared" si="1176"/>
        <v>-13859.236999999999</v>
      </c>
      <c r="AB350" s="168">
        <f t="shared" si="1176"/>
        <v>-77872.679000000004</v>
      </c>
      <c r="AC350" s="168">
        <f t="shared" ref="AC350:AM350" si="1230">AC149</f>
        <v>-21510.893000000004</v>
      </c>
      <c r="AD350" s="168">
        <f t="shared" si="1230"/>
        <v>-6947.6390000000001</v>
      </c>
      <c r="AE350" s="168">
        <f t="shared" si="1230"/>
        <v>-10639.967000000001</v>
      </c>
      <c r="AF350" s="168">
        <f t="shared" si="1230"/>
        <v>13355.627</v>
      </c>
      <c r="AG350" s="168">
        <f t="shared" si="1230"/>
        <v>-9315.9819999999963</v>
      </c>
      <c r="AH350" s="168">
        <f t="shared" si="1230"/>
        <v>-8390.524999999996</v>
      </c>
      <c r="AI350" s="168">
        <f t="shared" si="1230"/>
        <v>-19256.573000000004</v>
      </c>
      <c r="AJ350" s="168">
        <f t="shared" si="1230"/>
        <v>11338.629000000001</v>
      </c>
      <c r="AK350" s="168">
        <f t="shared" si="1230"/>
        <v>-4873.587000000005</v>
      </c>
      <c r="AL350" s="168">
        <f t="shared" si="1230"/>
        <v>-16655.787</v>
      </c>
      <c r="AM350" s="168">
        <f t="shared" si="1230"/>
        <v>2794.5510000000031</v>
      </c>
      <c r="AN350" s="168">
        <f t="shared" ref="AN350:BA350" si="1231">AN149</f>
        <v>-17678.381000000005</v>
      </c>
      <c r="AO350" s="168">
        <f t="shared" si="1231"/>
        <v>4821.8080000000082</v>
      </c>
      <c r="AP350" s="168">
        <f t="shared" si="1231"/>
        <v>-27318.265999999996</v>
      </c>
      <c r="AQ350" s="168">
        <f t="shared" si="1231"/>
        <v>-6191.5480000000025</v>
      </c>
      <c r="AR350" s="168">
        <f t="shared" si="1231"/>
        <v>-11355.160999999993</v>
      </c>
      <c r="AS350" s="168">
        <f t="shared" si="1231"/>
        <v>19929.050999999992</v>
      </c>
      <c r="AT350" s="168">
        <f t="shared" si="1231"/>
        <v>-26668.923999999999</v>
      </c>
      <c r="AU350" s="168">
        <f t="shared" si="1231"/>
        <v>-2945.4840000000004</v>
      </c>
      <c r="AV350" s="168">
        <f t="shared" si="1231"/>
        <v>24980.190999999999</v>
      </c>
      <c r="AW350" s="168">
        <f t="shared" si="1231"/>
        <v>-163020.23299999998</v>
      </c>
      <c r="AX350" s="168">
        <f t="shared" si="1231"/>
        <v>7186.75</v>
      </c>
      <c r="AY350" s="168">
        <f t="shared" si="1231"/>
        <v>-20382.554</v>
      </c>
      <c r="AZ350" s="168">
        <f t="shared" si="1231"/>
        <v>35472.810000000005</v>
      </c>
      <c r="BA350" s="168">
        <f t="shared" si="1231"/>
        <v>8973.1939999999922</v>
      </c>
      <c r="BB350" s="168">
        <f t="shared" si="1168"/>
        <v>-11102.517</v>
      </c>
      <c r="BC350" s="168">
        <f t="shared" si="1168"/>
        <v>16598.156000000003</v>
      </c>
      <c r="BD350" s="168">
        <f t="shared" si="1168"/>
        <v>187587.18700000003</v>
      </c>
      <c r="BE350" s="168">
        <f t="shared" si="1168"/>
        <v>-1107.5550000000294</v>
      </c>
      <c r="BF350" s="168">
        <f t="shared" si="1169"/>
        <v>-179687.715</v>
      </c>
      <c r="BG350" s="142"/>
      <c r="BH350" s="168"/>
      <c r="BI350" s="168"/>
      <c r="BJ350" s="168"/>
      <c r="BK350" s="168"/>
      <c r="BL350" s="168">
        <f t="shared" si="1170"/>
        <v>-6947.6390000000001</v>
      </c>
      <c r="BM350" s="203"/>
      <c r="BN350" s="168"/>
      <c r="BO350" s="168"/>
      <c r="BP350" s="168"/>
      <c r="BQ350" s="168"/>
      <c r="BR350" s="168"/>
      <c r="BS350" s="168"/>
      <c r="BT350" s="168"/>
      <c r="BU350" s="56"/>
      <c r="BV350" s="56"/>
      <c r="BW350" s="56"/>
      <c r="BX350" s="203"/>
      <c r="BY350" s="203"/>
      <c r="BZ350" s="203"/>
      <c r="CA350" s="203"/>
      <c r="CJ350" s="6"/>
      <c r="CK350" s="6"/>
      <c r="CL350" s="6"/>
    </row>
    <row r="351" spans="2:90" ht="13.5" customHeight="1" thickTop="1" thickBot="1">
      <c r="B351" s="101" t="str">
        <f t="shared" si="1162"/>
        <v>Cash flow after financing activities</v>
      </c>
      <c r="C351" s="170">
        <f t="shared" si="1179"/>
        <v>-49260.284000000116</v>
      </c>
      <c r="D351" s="169">
        <f t="shared" si="1179"/>
        <v>-43294.037999999724</v>
      </c>
      <c r="E351" s="169">
        <f t="shared" si="1179"/>
        <v>206203.29600000006</v>
      </c>
      <c r="F351" s="169">
        <f t="shared" si="1179"/>
        <v>-105754.33400000024</v>
      </c>
      <c r="G351" s="169">
        <f t="shared" ref="G351:O351" si="1232">G150</f>
        <v>-103941.96200000026</v>
      </c>
      <c r="H351" s="169">
        <f t="shared" si="1232"/>
        <v>-93179.069000000251</v>
      </c>
      <c r="I351" s="169">
        <f t="shared" si="1232"/>
        <v>1060434.0490000006</v>
      </c>
      <c r="J351" s="169">
        <f t="shared" si="1232"/>
        <v>-336353.66799999977</v>
      </c>
      <c r="K351" s="169">
        <f t="shared" si="1232"/>
        <v>858445.01799999981</v>
      </c>
      <c r="L351" s="169">
        <f t="shared" si="1232"/>
        <v>-352721.4219999995</v>
      </c>
      <c r="M351" s="169">
        <f t="shared" si="1232"/>
        <v>31051.304000000237</v>
      </c>
      <c r="N351" s="169">
        <f t="shared" si="1232"/>
        <v>263677.26300000015</v>
      </c>
      <c r="O351" s="169">
        <f t="shared" si="1232"/>
        <v>484722.14999999985</v>
      </c>
      <c r="P351" s="169">
        <f t="shared" si="1165"/>
        <v>-54436.276000000362</v>
      </c>
      <c r="Q351" s="146"/>
      <c r="R351" s="169">
        <f t="shared" ref="R351:X351" si="1233">R150</f>
        <v>32055.223000000035</v>
      </c>
      <c r="S351" s="169">
        <f t="shared" si="1233"/>
        <v>-98492.234999999739</v>
      </c>
      <c r="T351" s="169">
        <f t="shared" si="1233"/>
        <v>19611.840999999753</v>
      </c>
      <c r="U351" s="169">
        <f t="shared" si="1233"/>
        <v>253028.49299999984</v>
      </c>
      <c r="V351" s="169">
        <f t="shared" si="1233"/>
        <v>-19272.667999999961</v>
      </c>
      <c r="W351" s="169">
        <f t="shared" si="1233"/>
        <v>-100961.05800000003</v>
      </c>
      <c r="X351" s="169">
        <f t="shared" si="1233"/>
        <v>24831.890000000389</v>
      </c>
      <c r="Y351" s="169">
        <f t="shared" si="1176"/>
        <v>-10351.803000000597</v>
      </c>
      <c r="Z351" s="169">
        <f t="shared" si="1176"/>
        <v>41086.779000000024</v>
      </c>
      <c r="AA351" s="169">
        <f t="shared" si="1176"/>
        <v>-113103.56600000022</v>
      </c>
      <c r="AB351" s="169" t="e">
        <f t="shared" si="1176"/>
        <v>#REF!</v>
      </c>
      <c r="AC351" s="169" t="e">
        <f t="shared" ref="AC351:AM351" si="1234">AC150</f>
        <v>#REF!</v>
      </c>
      <c r="AD351" s="169">
        <f t="shared" si="1234"/>
        <v>1400194.8169999998</v>
      </c>
      <c r="AE351" s="169">
        <f t="shared" si="1234"/>
        <v>-329030.97600000002</v>
      </c>
      <c r="AF351" s="169">
        <f t="shared" si="1234"/>
        <v>88224.479999999894</v>
      </c>
      <c r="AG351" s="169">
        <f t="shared" si="1234"/>
        <v>-1495741.9889999998</v>
      </c>
      <c r="AH351" s="169">
        <f t="shared" si="1234"/>
        <v>720546.02599999984</v>
      </c>
      <c r="AI351" s="169">
        <f t="shared" si="1234"/>
        <v>313549.30499999982</v>
      </c>
      <c r="AJ351" s="169">
        <f t="shared" si="1234"/>
        <v>-103929.78399999991</v>
      </c>
      <c r="AK351" s="169">
        <f t="shared" si="1234"/>
        <v>-71720.529000000097</v>
      </c>
      <c r="AL351" s="169">
        <f t="shared" si="1234"/>
        <v>-72050.881000000081</v>
      </c>
      <c r="AM351" s="169">
        <f t="shared" si="1234"/>
        <v>-168407.37399999969</v>
      </c>
      <c r="AN351" s="169">
        <f t="shared" ref="AN351:BA351" si="1235">AN150</f>
        <v>-338681.89600000036</v>
      </c>
      <c r="AO351" s="169">
        <f t="shared" si="1235"/>
        <v>226418.7290000004</v>
      </c>
      <c r="AP351" s="169">
        <f t="shared" si="1235"/>
        <v>-49576.172000000071</v>
      </c>
      <c r="AQ351" s="169">
        <f t="shared" si="1235"/>
        <v>-87779.879000000248</v>
      </c>
      <c r="AR351" s="169">
        <f t="shared" si="1235"/>
        <v>1059790.2500000007</v>
      </c>
      <c r="AS351" s="169">
        <f t="shared" si="1235"/>
        <v>-891382.89500000048</v>
      </c>
      <c r="AT351" s="169">
        <f t="shared" si="1235"/>
        <v>162749.07799999992</v>
      </c>
      <c r="AU351" s="169">
        <f t="shared" si="1235"/>
        <v>-398737.45899999992</v>
      </c>
      <c r="AV351" s="169">
        <f t="shared" si="1235"/>
        <v>123470.52400000006</v>
      </c>
      <c r="AW351" s="169">
        <f t="shared" si="1235"/>
        <v>376195.11999999976</v>
      </c>
      <c r="AX351" s="169">
        <f t="shared" si="1235"/>
        <v>-39655.071000000091</v>
      </c>
      <c r="AY351" s="169">
        <f t="shared" si="1235"/>
        <v>-129895.06500000018</v>
      </c>
      <c r="AZ351" s="169">
        <f t="shared" si="1235"/>
        <v>618463.5470000006</v>
      </c>
      <c r="BA351" s="169">
        <f t="shared" si="1235"/>
        <v>35808.738999999681</v>
      </c>
      <c r="BB351" s="169">
        <f t="shared" si="1168"/>
        <v>-465293.42799999961</v>
      </c>
      <c r="BC351" s="169">
        <f t="shared" si="1168"/>
        <v>75872.279999999751</v>
      </c>
      <c r="BD351" s="169">
        <f t="shared" si="1168"/>
        <v>-21341.70700000049</v>
      </c>
      <c r="BE351" s="169">
        <f t="shared" si="1168"/>
        <v>356326.5790000002</v>
      </c>
      <c r="BF351" s="169">
        <f t="shared" si="1169"/>
        <v>336740.27399999998</v>
      </c>
      <c r="BG351" s="142"/>
      <c r="BH351" s="169"/>
      <c r="BI351" s="169"/>
      <c r="BJ351" s="169"/>
      <c r="BK351" s="169"/>
      <c r="BL351" s="169">
        <f t="shared" si="1170"/>
        <v>-897383.24600000004</v>
      </c>
      <c r="BM351" s="146"/>
      <c r="BN351" s="169"/>
      <c r="BO351" s="169"/>
      <c r="BP351" s="169"/>
      <c r="BQ351" s="169"/>
      <c r="BR351" s="169"/>
      <c r="BS351" s="169"/>
      <c r="BT351" s="169"/>
      <c r="BU351" s="56"/>
      <c r="BV351" s="56"/>
      <c r="BW351" s="56"/>
      <c r="BX351" s="146"/>
      <c r="BY351" s="146"/>
      <c r="BZ351" s="146"/>
      <c r="CA351" s="146"/>
      <c r="CJ351" s="6"/>
      <c r="CK351" s="6"/>
      <c r="CL351" s="6"/>
    </row>
    <row r="352" spans="2:90" ht="13.5" customHeight="1" thickTop="1">
      <c r="B352" s="234" t="str">
        <f t="shared" si="1162"/>
        <v>Balancing figure</v>
      </c>
      <c r="C352" s="233">
        <f t="shared" si="1179"/>
        <v>14723.615000000078</v>
      </c>
      <c r="D352" s="233">
        <f t="shared" si="1179"/>
        <v>12770.607999999746</v>
      </c>
      <c r="E352" s="233">
        <f t="shared" si="1179"/>
        <v>-184188.98500000002</v>
      </c>
      <c r="F352" s="233">
        <f t="shared" si="1179"/>
        <v>28194.026000000216</v>
      </c>
      <c r="G352" s="233">
        <f t="shared" ref="G352:O352" si="1236">G151</f>
        <v>26381.654000000242</v>
      </c>
      <c r="H352" s="233">
        <f t="shared" si="1236"/>
        <v>-71927.412999999739</v>
      </c>
      <c r="I352" s="233">
        <f t="shared" si="1236"/>
        <v>-1522172.1460000006</v>
      </c>
      <c r="J352" s="233">
        <f t="shared" si="1236"/>
        <v>-71384.152000000176</v>
      </c>
      <c r="K352" s="233">
        <f t="shared" si="1236"/>
        <v>-148853.19899999979</v>
      </c>
      <c r="L352" s="233">
        <f t="shared" si="1236"/>
        <v>-334131.82300000062</v>
      </c>
      <c r="M352" s="233">
        <f t="shared" si="1236"/>
        <v>6160.8349999997299</v>
      </c>
      <c r="N352" s="233">
        <f t="shared" si="1236"/>
        <v>-200121.31200000015</v>
      </c>
      <c r="O352" s="233">
        <f t="shared" si="1236"/>
        <v>12116.489000000176</v>
      </c>
      <c r="P352" s="233">
        <f t="shared" si="1165"/>
        <v>-282787.71699999965</v>
      </c>
      <c r="Q352" s="146"/>
      <c r="R352" s="233">
        <f t="shared" ref="R352:X352" si="1237">R151</f>
        <v>-45989.14000000005</v>
      </c>
      <c r="S352" s="233">
        <f t="shared" si="1237"/>
        <v>42524.188999999671</v>
      </c>
      <c r="T352" s="233">
        <f t="shared" si="1237"/>
        <v>-35929.825999999666</v>
      </c>
      <c r="U352" s="233">
        <f t="shared" si="1237"/>
        <v>-144794.20799999996</v>
      </c>
      <c r="V352" s="233">
        <f t="shared" si="1237"/>
        <v>-30750.468000000023</v>
      </c>
      <c r="W352" s="233">
        <f t="shared" si="1237"/>
        <v>62798.065000000046</v>
      </c>
      <c r="X352" s="233">
        <f t="shared" si="1237"/>
        <v>1309.4309999995603</v>
      </c>
      <c r="Y352" s="233">
        <f t="shared" si="1176"/>
        <v>-5163.0019999993674</v>
      </c>
      <c r="Z352" s="233">
        <f t="shared" si="1176"/>
        <v>-124549.24700000003</v>
      </c>
      <c r="AA352" s="233">
        <f t="shared" si="1176"/>
        <v>45889.790000000241</v>
      </c>
      <c r="AB352" s="233" t="e">
        <f t="shared" si="1176"/>
        <v>#REF!</v>
      </c>
      <c r="AC352" s="233" t="e">
        <f t="shared" ref="AC352:AM352" si="1238">AC151</f>
        <v>#REF!</v>
      </c>
      <c r="AD352" s="233">
        <f t="shared" si="1238"/>
        <v>-1423521.3609999998</v>
      </c>
      <c r="AE352" s="233">
        <f t="shared" si="1238"/>
        <v>35395.090999999316</v>
      </c>
      <c r="AF352" s="233">
        <f t="shared" si="1238"/>
        <v>-79830.364999999292</v>
      </c>
      <c r="AG352" s="233">
        <f t="shared" si="1238"/>
        <v>1396572.4829999995</v>
      </c>
      <c r="AH352" s="233">
        <f t="shared" si="1238"/>
        <v>-66530.532999999821</v>
      </c>
      <c r="AI352" s="233">
        <f t="shared" si="1238"/>
        <v>-8242.0189999999711</v>
      </c>
      <c r="AJ352" s="233">
        <f t="shared" si="1238"/>
        <v>-78150.548999999999</v>
      </c>
      <c r="AK352" s="233">
        <f t="shared" si="1238"/>
        <v>4069.9020000000019</v>
      </c>
      <c r="AL352" s="233">
        <f t="shared" si="1238"/>
        <v>-120282.34499999994</v>
      </c>
      <c r="AM352" s="233">
        <f t="shared" si="1238"/>
        <v>-72936.537000000186</v>
      </c>
      <c r="AN352" s="233">
        <f t="shared" ref="AN352:BA352" si="1239">AN151</f>
        <v>38205.537000000215</v>
      </c>
      <c r="AO352" s="233">
        <f t="shared" si="1239"/>
        <v>-179118.47800000067</v>
      </c>
      <c r="AP352" s="233">
        <f t="shared" si="1239"/>
        <v>-122583.71499999994</v>
      </c>
      <c r="AQ352" s="233">
        <f t="shared" si="1239"/>
        <v>174013.92300000016</v>
      </c>
      <c r="AR352" s="233">
        <f t="shared" si="1239"/>
        <v>-99746.481000000495</v>
      </c>
      <c r="AS352" s="233">
        <f t="shared" si="1239"/>
        <v>54477.108000000007</v>
      </c>
      <c r="AT352" s="233">
        <f t="shared" si="1239"/>
        <v>-238576.15099999993</v>
      </c>
      <c r="AU352" s="233">
        <f t="shared" si="1239"/>
        <v>65540.423999999854</v>
      </c>
      <c r="AV352" s="233">
        <f t="shared" si="1239"/>
        <v>-24051.659999999945</v>
      </c>
      <c r="AW352" s="233">
        <f t="shared" si="1239"/>
        <v>-3033.9250000001339</v>
      </c>
      <c r="AX352" s="233">
        <f t="shared" si="1239"/>
        <v>-154815.27999999991</v>
      </c>
      <c r="AY352" s="233">
        <f t="shared" si="1239"/>
        <v>170210.16600000008</v>
      </c>
      <c r="AZ352" s="233">
        <f t="shared" si="1239"/>
        <v>-236778.87700000056</v>
      </c>
      <c r="BA352" s="233">
        <f t="shared" si="1239"/>
        <v>233500.48000000056</v>
      </c>
      <c r="BB352" s="233">
        <f t="shared" si="1168"/>
        <v>-81269.366000000387</v>
      </c>
      <c r="BC352" s="233">
        <f t="shared" si="1168"/>
        <v>32660.523000000336</v>
      </c>
      <c r="BD352" s="233">
        <f t="shared" si="1168"/>
        <v>-114653.12699999957</v>
      </c>
      <c r="BE352" s="233">
        <f t="shared" si="1168"/>
        <v>-119525.74700000003</v>
      </c>
      <c r="BF352" s="233">
        <f t="shared" si="1169"/>
        <v>-268618.679</v>
      </c>
      <c r="BG352" s="142"/>
      <c r="BH352" s="233"/>
      <c r="BI352" s="233"/>
      <c r="BJ352" s="233"/>
      <c r="BK352" s="233"/>
      <c r="BL352" s="233">
        <f t="shared" si="1170"/>
        <v>874056.70200000005</v>
      </c>
      <c r="BM352" s="146"/>
      <c r="BN352" s="233"/>
      <c r="BO352" s="233"/>
      <c r="BP352" s="233"/>
      <c r="BQ352" s="233"/>
      <c r="BR352" s="233"/>
      <c r="BS352" s="233"/>
      <c r="BT352" s="233"/>
      <c r="BU352" s="56"/>
      <c r="BV352" s="56"/>
      <c r="BW352" s="56"/>
      <c r="BX352" s="146"/>
      <c r="BY352" s="146"/>
      <c r="BZ352" s="146"/>
      <c r="CA352" s="146"/>
      <c r="CJ352" s="6"/>
      <c r="CK352" s="6"/>
      <c r="CL352" s="6"/>
    </row>
    <row r="353" spans="2:90" s="5" customFormat="1" ht="13.5" customHeight="1">
      <c r="B353" s="5" t="str">
        <f t="shared" si="1162"/>
        <v>Net increase in Cash and cash equivalents - Non Banking Business</v>
      </c>
      <c r="C353" s="165">
        <f t="shared" si="1179"/>
        <v>-34536.669000000038</v>
      </c>
      <c r="D353" s="159">
        <f t="shared" si="1179"/>
        <v>-30523.429999999978</v>
      </c>
      <c r="E353" s="159">
        <f t="shared" si="1179"/>
        <v>22014.311000000045</v>
      </c>
      <c r="F353" s="159">
        <f t="shared" si="1179"/>
        <v>-77560.308000000019</v>
      </c>
      <c r="G353" s="159">
        <f t="shared" ref="G353:O353" si="1240">G152</f>
        <v>-77560.308000000019</v>
      </c>
      <c r="H353" s="159">
        <f t="shared" si="1240"/>
        <v>-165106.48199999999</v>
      </c>
      <c r="I353" s="159">
        <f t="shared" si="1240"/>
        <v>-461738.09700000007</v>
      </c>
      <c r="J353" s="159">
        <f t="shared" si="1240"/>
        <v>-407737.81999999995</v>
      </c>
      <c r="K353" s="159">
        <f t="shared" si="1240"/>
        <v>709591.81900000002</v>
      </c>
      <c r="L353" s="159">
        <f t="shared" si="1240"/>
        <v>-686853.24500000011</v>
      </c>
      <c r="M353" s="159">
        <f t="shared" si="1240"/>
        <v>37212.138999999966</v>
      </c>
      <c r="N353" s="159">
        <f t="shared" si="1240"/>
        <v>63555.951000000001</v>
      </c>
      <c r="O353" s="159">
        <f t="shared" si="1240"/>
        <v>496838.63900000002</v>
      </c>
      <c r="P353" s="159">
        <f t="shared" si="1165"/>
        <v>-337223.99300000002</v>
      </c>
      <c r="Q353" s="203"/>
      <c r="R353" s="159">
        <f t="shared" ref="R353:X353" si="1241">R152</f>
        <v>-13933.917000000016</v>
      </c>
      <c r="S353" s="159">
        <f t="shared" si="1241"/>
        <v>-55968.046000000068</v>
      </c>
      <c r="T353" s="159">
        <f t="shared" si="1241"/>
        <v>-16317.984999999913</v>
      </c>
      <c r="U353" s="159">
        <f t="shared" si="1241"/>
        <v>108234.28499999989</v>
      </c>
      <c r="V353" s="159">
        <f t="shared" si="1241"/>
        <v>-50023.135999999984</v>
      </c>
      <c r="W353" s="159">
        <f t="shared" si="1241"/>
        <v>-38162.992999999988</v>
      </c>
      <c r="X353" s="159">
        <f t="shared" si="1241"/>
        <v>26141.320999999949</v>
      </c>
      <c r="Y353" s="159">
        <f t="shared" si="1176"/>
        <v>-15514.804999999964</v>
      </c>
      <c r="Z353" s="159">
        <f t="shared" si="1176"/>
        <v>-83462.468000000008</v>
      </c>
      <c r="AA353" s="159">
        <f t="shared" si="1176"/>
        <v>-67213.775999999983</v>
      </c>
      <c r="AB353" s="159" t="e">
        <f t="shared" si="1176"/>
        <v>#REF!</v>
      </c>
      <c r="AC353" s="159" t="e">
        <f t="shared" ref="AC353:AM353" si="1242">AC152</f>
        <v>#REF!</v>
      </c>
      <c r="AD353" s="159">
        <f t="shared" si="1242"/>
        <v>-23326.543999999994</v>
      </c>
      <c r="AE353" s="159">
        <f t="shared" si="1242"/>
        <v>-293635.88500000071</v>
      </c>
      <c r="AF353" s="159">
        <f t="shared" si="1242"/>
        <v>8394.1150000006019</v>
      </c>
      <c r="AG353" s="159">
        <f t="shared" si="1242"/>
        <v>-99169.506000000285</v>
      </c>
      <c r="AH353" s="159">
        <f t="shared" si="1242"/>
        <v>654015.49300000002</v>
      </c>
      <c r="AI353" s="159">
        <f t="shared" si="1242"/>
        <v>305307.28599999985</v>
      </c>
      <c r="AJ353" s="159">
        <f t="shared" si="1242"/>
        <v>-182080.33299999993</v>
      </c>
      <c r="AK353" s="159">
        <f t="shared" si="1242"/>
        <v>-67650.627000000095</v>
      </c>
      <c r="AL353" s="159">
        <f t="shared" si="1242"/>
        <v>-192333.22600000002</v>
      </c>
      <c r="AM353" s="159">
        <f t="shared" si="1242"/>
        <v>-241343.91099999988</v>
      </c>
      <c r="AN353" s="159">
        <f t="shared" ref="AN353:BA353" si="1243">AN152</f>
        <v>-300476.35900000017</v>
      </c>
      <c r="AO353" s="159">
        <f t="shared" si="1243"/>
        <v>47300.250999999727</v>
      </c>
      <c r="AP353" s="159">
        <f t="shared" si="1243"/>
        <v>-172159.88700000002</v>
      </c>
      <c r="AQ353" s="159">
        <f t="shared" si="1243"/>
        <v>86234.043999999907</v>
      </c>
      <c r="AR353" s="159">
        <f t="shared" si="1243"/>
        <v>960043.7690000002</v>
      </c>
      <c r="AS353" s="159">
        <f t="shared" si="1243"/>
        <v>-836905.78700000048</v>
      </c>
      <c r="AT353" s="159">
        <f t="shared" si="1243"/>
        <v>-75827.073000000004</v>
      </c>
      <c r="AU353" s="159">
        <f t="shared" si="1243"/>
        <v>-333197.03500000003</v>
      </c>
      <c r="AV353" s="159">
        <f t="shared" si="1243"/>
        <v>99418.864000000118</v>
      </c>
      <c r="AW353" s="159">
        <f t="shared" si="1243"/>
        <v>373161.1949999996</v>
      </c>
      <c r="AX353" s="159">
        <f t="shared" si="1243"/>
        <v>-194470.351</v>
      </c>
      <c r="AY353" s="159">
        <f t="shared" si="1243"/>
        <v>40315.100999999908</v>
      </c>
      <c r="AZ353" s="159">
        <f t="shared" si="1243"/>
        <v>381684.67000000004</v>
      </c>
      <c r="BA353" s="159">
        <f t="shared" si="1243"/>
        <v>269309.21900000027</v>
      </c>
      <c r="BB353" s="159">
        <f t="shared" si="1168"/>
        <v>-546562.79399999999</v>
      </c>
      <c r="BC353" s="159">
        <f t="shared" si="1168"/>
        <v>108532.80300000009</v>
      </c>
      <c r="BD353" s="159">
        <f t="shared" si="1168"/>
        <v>-135994.83400000006</v>
      </c>
      <c r="BE353" s="159">
        <f t="shared" si="1168"/>
        <v>236800.83200000017</v>
      </c>
      <c r="BF353" s="159">
        <f t="shared" si="1169"/>
        <v>68121.594999999972</v>
      </c>
      <c r="BG353" s="142"/>
      <c r="BH353" s="159"/>
      <c r="BI353" s="159"/>
      <c r="BJ353" s="159"/>
      <c r="BK353" s="159"/>
      <c r="BL353" s="159">
        <f t="shared" si="1170"/>
        <v>-23326.543999999994</v>
      </c>
      <c r="BM353" s="203"/>
      <c r="BN353" s="159"/>
      <c r="BO353" s="159"/>
      <c r="BP353" s="159"/>
      <c r="BQ353" s="159"/>
      <c r="BR353" s="159"/>
      <c r="BS353" s="159"/>
      <c r="BT353" s="159"/>
      <c r="BU353" s="56"/>
      <c r="BV353" s="56"/>
      <c r="BW353" s="56"/>
      <c r="BX353" s="203"/>
      <c r="BY353" s="203"/>
      <c r="BZ353" s="203"/>
      <c r="CA353" s="203"/>
      <c r="CJ353" s="6"/>
      <c r="CK353" s="6"/>
      <c r="CL353" s="6"/>
    </row>
    <row r="354" spans="2:90" ht="13.5" customHeight="1">
      <c r="B354" s="5"/>
      <c r="C354" s="165"/>
      <c r="D354" s="159"/>
      <c r="E354" s="159"/>
      <c r="F354" s="159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203"/>
      <c r="R354" s="159"/>
      <c r="S354" s="159"/>
      <c r="T354" s="159"/>
      <c r="U354" s="159"/>
      <c r="V354" s="159"/>
      <c r="W354" s="159"/>
      <c r="X354" s="159"/>
      <c r="Y354" s="159"/>
      <c r="Z354" s="159"/>
      <c r="AA354" s="159"/>
      <c r="AB354" s="159"/>
      <c r="AC354" s="159"/>
      <c r="AD354" s="159"/>
      <c r="AE354" s="159"/>
      <c r="AF354" s="159"/>
      <c r="AG354" s="159"/>
      <c r="AH354" s="159"/>
      <c r="AI354" s="159"/>
      <c r="AJ354" s="159"/>
      <c r="AK354" s="159"/>
      <c r="AL354" s="159"/>
      <c r="AM354" s="159"/>
      <c r="AN354" s="159"/>
      <c r="AO354" s="159"/>
      <c r="AP354" s="159"/>
      <c r="AQ354" s="159"/>
      <c r="AR354" s="159"/>
      <c r="AS354" s="159"/>
      <c r="AT354" s="159"/>
      <c r="AU354" s="159"/>
      <c r="AV354" s="159"/>
      <c r="AW354" s="159"/>
      <c r="AX354" s="159"/>
      <c r="AY354" s="159"/>
      <c r="AZ354" s="159"/>
      <c r="BA354" s="159"/>
      <c r="BB354" s="159"/>
      <c r="BC354" s="159"/>
      <c r="BD354" s="159"/>
      <c r="BE354" s="159"/>
      <c r="BF354" s="159"/>
      <c r="BG354" s="142"/>
      <c r="BH354" s="159"/>
      <c r="BI354" s="159"/>
      <c r="BJ354" s="159"/>
      <c r="BK354" s="159"/>
      <c r="BL354" s="159"/>
      <c r="BM354" s="203"/>
      <c r="BN354" s="159"/>
      <c r="BO354" s="159"/>
      <c r="BP354" s="159"/>
      <c r="BQ354" s="159"/>
      <c r="BR354" s="159"/>
      <c r="BS354" s="159"/>
      <c r="BT354" s="159"/>
      <c r="BU354" s="56"/>
      <c r="BV354" s="56"/>
      <c r="BW354" s="56"/>
      <c r="BX354" s="203"/>
      <c r="BY354" s="203"/>
      <c r="BZ354" s="203"/>
      <c r="CA354" s="203"/>
      <c r="CJ354" s="6"/>
      <c r="CK354" s="6"/>
      <c r="CL354" s="6"/>
    </row>
    <row r="355" spans="2:90" s="5" customFormat="1" ht="13.5" customHeight="1" thickBot="1">
      <c r="B355" s="61" t="str">
        <f t="shared" ref="B355:AD355" si="1244">B154</f>
        <v>Cash and cash equivalents - Non Banking Business</v>
      </c>
      <c r="C355" s="168">
        <f t="shared" si="1244"/>
        <v>211219.86799999999</v>
      </c>
      <c r="D355" s="168">
        <f t="shared" si="1244"/>
        <v>207308.226</v>
      </c>
      <c r="E355" s="168">
        <f t="shared" si="1244"/>
        <v>201319.63399999999</v>
      </c>
      <c r="F355" s="168">
        <f t="shared" si="1244"/>
        <v>232027.185</v>
      </c>
      <c r="G355" s="168">
        <f t="shared" si="1244"/>
        <v>232027.185</v>
      </c>
      <c r="H355" s="168">
        <f t="shared" si="1244"/>
        <v>352100.505</v>
      </c>
      <c r="I355" s="168">
        <f t="shared" ref="I355:N355" si="1245">I154</f>
        <v>317491.38199999998</v>
      </c>
      <c r="J355" s="168">
        <f t="shared" si="1245"/>
        <v>299965.353</v>
      </c>
      <c r="K355" s="168">
        <f t="shared" si="1245"/>
        <v>1216193.92</v>
      </c>
      <c r="L355" s="168">
        <f t="shared" si="1245"/>
        <v>533265.53799999994</v>
      </c>
      <c r="M355" s="168">
        <f>M154</f>
        <v>624072.76100000006</v>
      </c>
      <c r="N355" s="168">
        <f t="shared" si="1245"/>
        <v>1077819.1440000001</v>
      </c>
      <c r="O355" s="168">
        <f>O154</f>
        <v>1638385.1910000001</v>
      </c>
      <c r="P355" s="168">
        <f>P154</f>
        <v>1584721.2420000001</v>
      </c>
      <c r="Q355" s="203"/>
      <c r="R355" s="168">
        <f t="shared" si="1244"/>
        <v>193206.2</v>
      </c>
      <c r="S355" s="168">
        <f t="shared" si="1244"/>
        <v>177135</v>
      </c>
      <c r="T355" s="168">
        <f t="shared" si="1244"/>
        <v>159692.177</v>
      </c>
      <c r="U355" s="168">
        <f t="shared" si="1244"/>
        <v>201319.63399999999</v>
      </c>
      <c r="V355" s="168">
        <f t="shared" si="1244"/>
        <v>194491.576</v>
      </c>
      <c r="W355" s="168">
        <f t="shared" si="1244"/>
        <v>176831.27100000001</v>
      </c>
      <c r="X355" s="94">
        <f t="shared" si="1244"/>
        <v>208937.655</v>
      </c>
      <c r="Y355" s="168">
        <f t="shared" si="1244"/>
        <v>232027.185</v>
      </c>
      <c r="Z355" s="168">
        <f t="shared" si="1244"/>
        <v>218718.345</v>
      </c>
      <c r="AA355" s="168">
        <f t="shared" si="1244"/>
        <v>213362.99600000001</v>
      </c>
      <c r="AB355" s="94">
        <f t="shared" si="1244"/>
        <v>206510.514</v>
      </c>
      <c r="AC355" s="94">
        <f t="shared" si="1244"/>
        <v>352100.505</v>
      </c>
      <c r="AD355" s="168">
        <f t="shared" si="1244"/>
        <v>293633.41700000002</v>
      </c>
      <c r="AE355" s="168">
        <f t="shared" ref="AE355:AJ355" si="1246">AE154</f>
        <v>192945.21299999999</v>
      </c>
      <c r="AF355" s="168">
        <f t="shared" si="1246"/>
        <v>229137.32399999999</v>
      </c>
      <c r="AG355" s="94">
        <f t="shared" si="1246"/>
        <v>299965.353</v>
      </c>
      <c r="AH355" s="168">
        <f t="shared" si="1246"/>
        <v>909838.07200000004</v>
      </c>
      <c r="AI355" s="168">
        <f t="shared" si="1246"/>
        <v>1430984.8219999999</v>
      </c>
      <c r="AJ355" s="168">
        <f t="shared" si="1246"/>
        <v>1213621.4539999999</v>
      </c>
      <c r="AK355" s="94">
        <f t="shared" ref="AK355:AP355" si="1247">AK154</f>
        <v>1216193.92</v>
      </c>
      <c r="AL355" s="168">
        <f t="shared" si="1247"/>
        <v>1019794.078</v>
      </c>
      <c r="AM355" s="168">
        <f t="shared" si="1247"/>
        <v>814874.99</v>
      </c>
      <c r="AN355" s="168">
        <f t="shared" si="1247"/>
        <v>527594.04</v>
      </c>
      <c r="AO355" s="94">
        <f t="shared" si="1247"/>
        <v>533265.53799999994</v>
      </c>
      <c r="AP355" s="168">
        <f t="shared" si="1247"/>
        <v>352744.19099999999</v>
      </c>
      <c r="AQ355" s="168">
        <f t="shared" ref="AQ355:AV355" si="1248">AQ154</f>
        <v>547018.77300000004</v>
      </c>
      <c r="AR355" s="168">
        <f t="shared" si="1248"/>
        <v>658219.54099999997</v>
      </c>
      <c r="AS355" s="94">
        <f t="shared" si="1248"/>
        <v>624072.76100000006</v>
      </c>
      <c r="AT355" s="168">
        <f t="shared" si="1248"/>
        <v>524616.72100000002</v>
      </c>
      <c r="AU355" s="168">
        <f t="shared" si="1248"/>
        <v>403296.81</v>
      </c>
      <c r="AV355" s="168">
        <f t="shared" si="1248"/>
        <v>649839.18299999996</v>
      </c>
      <c r="AW355" s="94">
        <f t="shared" ref="AW355:BB355" si="1249">AW154</f>
        <v>1077819.1440000001</v>
      </c>
      <c r="AX355" s="168">
        <f t="shared" si="1249"/>
        <v>948928.08200000005</v>
      </c>
      <c r="AY355" s="168">
        <f t="shared" si="1249"/>
        <v>982869.77500000002</v>
      </c>
      <c r="AZ355" s="168">
        <f t="shared" si="1249"/>
        <v>1359756.862</v>
      </c>
      <c r="BA355" s="94">
        <f t="shared" si="1249"/>
        <v>1638385.1910000001</v>
      </c>
      <c r="BB355" s="168">
        <f t="shared" si="1249"/>
        <v>1074929.2690000001</v>
      </c>
      <c r="BC355" s="168">
        <f>BC154</f>
        <v>1467862.0460000001</v>
      </c>
      <c r="BD355" s="168">
        <f>BD154</f>
        <v>1340530.344</v>
      </c>
      <c r="BE355" s="94">
        <f>BE154</f>
        <v>1584721.2420000001</v>
      </c>
      <c r="BF355" s="168">
        <f>BF154</f>
        <v>1828563.2919999999</v>
      </c>
      <c r="BG355" s="142"/>
      <c r="BH355" s="168"/>
      <c r="BI355" s="168"/>
      <c r="BJ355" s="168"/>
      <c r="BK355" s="94"/>
      <c r="BL355" s="168">
        <f>BL154</f>
        <v>299965.353</v>
      </c>
      <c r="BM355" s="203"/>
      <c r="BN355" s="168"/>
      <c r="BO355" s="168"/>
      <c r="BP355" s="168"/>
      <c r="BQ355" s="168"/>
      <c r="BR355" s="168"/>
      <c r="BS355" s="168"/>
      <c r="BT355" s="168"/>
      <c r="BU355" s="56"/>
      <c r="BV355" s="56"/>
      <c r="BW355" s="56"/>
      <c r="BX355" s="203"/>
      <c r="BY355" s="203"/>
      <c r="BZ355" s="203"/>
      <c r="CA355" s="203"/>
      <c r="CJ355" s="6"/>
      <c r="CK355" s="6"/>
      <c r="CL355" s="6"/>
    </row>
    <row r="356" spans="2:90" ht="13.5" customHeight="1" thickTop="1" thickBot="1">
      <c r="B356" s="101"/>
      <c r="C356" s="170"/>
      <c r="D356" s="170"/>
      <c r="E356" s="170"/>
      <c r="F356" s="170"/>
      <c r="G356" s="170"/>
      <c r="H356" s="170"/>
      <c r="I356" s="170"/>
      <c r="J356" s="170"/>
      <c r="K356" s="170"/>
      <c r="L356" s="170"/>
      <c r="M356" s="170"/>
      <c r="N356" s="170"/>
      <c r="O356" s="170"/>
      <c r="P356" s="170"/>
      <c r="Q356" s="146"/>
      <c r="R356" s="170"/>
      <c r="S356" s="170"/>
      <c r="T356" s="170"/>
      <c r="U356" s="170"/>
      <c r="V356" s="170"/>
      <c r="W356" s="170"/>
      <c r="X356" s="170"/>
      <c r="Y356" s="170"/>
      <c r="Z356" s="170"/>
      <c r="AA356" s="170"/>
      <c r="AB356" s="170"/>
      <c r="AC356" s="170"/>
      <c r="AD356" s="170"/>
      <c r="AE356" s="170"/>
      <c r="AF356" s="170"/>
      <c r="AG356" s="170"/>
      <c r="AH356" s="170"/>
      <c r="AI356" s="170"/>
      <c r="AJ356" s="170"/>
      <c r="AK356" s="170"/>
      <c r="AL356" s="170"/>
      <c r="AM356" s="170"/>
      <c r="AN356" s="170"/>
      <c r="AO356" s="170"/>
      <c r="AP356" s="170"/>
      <c r="AQ356" s="170"/>
      <c r="AR356" s="170"/>
      <c r="AS356" s="170"/>
      <c r="AT356" s="170"/>
      <c r="AU356" s="170"/>
      <c r="AV356" s="170"/>
      <c r="AW356" s="170"/>
      <c r="AX356" s="170"/>
      <c r="AY356" s="170"/>
      <c r="AZ356" s="170"/>
      <c r="BA356" s="170"/>
      <c r="BB356" s="170"/>
      <c r="BC356" s="170"/>
      <c r="BD356" s="170"/>
      <c r="BE356" s="170"/>
      <c r="BF356" s="170"/>
      <c r="BG356" s="142"/>
      <c r="BH356" s="170"/>
      <c r="BI356" s="170"/>
      <c r="BJ356" s="170"/>
      <c r="BK356" s="170"/>
      <c r="BL356" s="170"/>
      <c r="BM356" s="146"/>
      <c r="BN356" s="170"/>
      <c r="BO356" s="170"/>
      <c r="BP356" s="170"/>
      <c r="BQ356" s="170"/>
      <c r="BR356" s="170"/>
      <c r="BS356" s="170"/>
      <c r="BT356" s="170"/>
      <c r="BU356" s="56"/>
      <c r="BV356" s="56"/>
      <c r="BW356" s="56"/>
      <c r="BX356" s="146"/>
      <c r="BY356" s="146"/>
      <c r="BZ356" s="146"/>
      <c r="CA356" s="146"/>
      <c r="CJ356" s="6"/>
      <c r="CK356" s="6"/>
      <c r="CL356" s="6"/>
    </row>
    <row r="357" spans="2:90" ht="13.5" customHeight="1" thickTop="1">
      <c r="B357" s="1" t="s">
        <v>491</v>
      </c>
      <c r="C357" s="293">
        <f>C254</f>
        <v>2741093.7170000002</v>
      </c>
      <c r="D357" s="293">
        <f t="shared" ref="D357:AB357" si="1250">D254</f>
        <v>3143409.8870000001</v>
      </c>
      <c r="E357" s="293">
        <f t="shared" si="1250"/>
        <v>3454459.4980000001</v>
      </c>
      <c r="F357" s="293">
        <f t="shared" si="1250"/>
        <v>3520168.9699999997</v>
      </c>
      <c r="G357" s="293">
        <f t="shared" ref="G357:J358" si="1251">G254</f>
        <v>3520168.9699999997</v>
      </c>
      <c r="H357" s="293">
        <f t="shared" si="1251"/>
        <v>3384298.6160000004</v>
      </c>
      <c r="I357" s="293">
        <f t="shared" si="1251"/>
        <v>2987056.49</v>
      </c>
      <c r="J357" s="293">
        <f t="shared" si="1251"/>
        <v>2957266.38</v>
      </c>
      <c r="K357" s="293">
        <f t="shared" ref="K357:M358" si="1252">K254</f>
        <v>2544338.625</v>
      </c>
      <c r="L357" s="293">
        <f t="shared" si="1252"/>
        <v>3118742.4670000002</v>
      </c>
      <c r="M357" s="293">
        <f t="shared" si="1252"/>
        <v>4022237.7650000006</v>
      </c>
      <c r="N357" s="293">
        <f t="shared" ref="N357:P358" si="1253">N254</f>
        <v>3540519.9589999998</v>
      </c>
      <c r="O357" s="293">
        <f t="shared" si="1253"/>
        <v>2970154.5959999994</v>
      </c>
      <c r="P357" s="293">
        <f t="shared" si="1253"/>
        <v>1840105.8109999998</v>
      </c>
      <c r="Q357" s="293"/>
      <c r="R357" s="293">
        <f t="shared" si="1250"/>
        <v>3034681.7469999995</v>
      </c>
      <c r="S357" s="293">
        <f t="shared" si="1250"/>
        <v>3203104.1710000001</v>
      </c>
      <c r="T357" s="293">
        <f t="shared" si="1250"/>
        <v>3319105.4859999996</v>
      </c>
      <c r="U357" s="293">
        <f t="shared" si="1250"/>
        <v>3454459.4980000001</v>
      </c>
      <c r="V357" s="293">
        <f t="shared" si="1250"/>
        <v>3460112.2290000003</v>
      </c>
      <c r="W357" s="293">
        <f t="shared" si="1250"/>
        <v>3539342.841</v>
      </c>
      <c r="X357" s="293">
        <f t="shared" si="1250"/>
        <v>3561990.9280000003</v>
      </c>
      <c r="Y357" s="293">
        <f t="shared" si="1250"/>
        <v>3520168.9699999997</v>
      </c>
      <c r="Z357" s="293">
        <f t="shared" si="1250"/>
        <v>3502663.1769999997</v>
      </c>
      <c r="AA357" s="293">
        <f t="shared" si="1250"/>
        <v>3747162.781</v>
      </c>
      <c r="AB357" s="293">
        <f t="shared" si="1250"/>
        <v>3931456.0689999997</v>
      </c>
      <c r="AC357" s="293">
        <f t="shared" ref="AC357:AE358" si="1254">AC254</f>
        <v>3384298.6160000004</v>
      </c>
      <c r="AD357" s="293">
        <f t="shared" si="1254"/>
        <v>2939587.4989999998</v>
      </c>
      <c r="AE357" s="293">
        <f t="shared" si="1254"/>
        <v>3085228.68</v>
      </c>
      <c r="AF357" s="293">
        <f t="shared" ref="AF357:AI358" si="1255">AF254</f>
        <v>3210857.1320000002</v>
      </c>
      <c r="AG357" s="293">
        <f t="shared" si="1255"/>
        <v>2957266.38</v>
      </c>
      <c r="AH357" s="293">
        <f t="shared" si="1255"/>
        <v>3465662.1089999997</v>
      </c>
      <c r="AI357" s="293">
        <f t="shared" si="1255"/>
        <v>3275681.54</v>
      </c>
      <c r="AJ357" s="293">
        <f t="shared" ref="AJ357:AM358" si="1256">AJ254</f>
        <v>3180283.1009999998</v>
      </c>
      <c r="AK357" s="293">
        <f t="shared" si="1256"/>
        <v>2544338.625</v>
      </c>
      <c r="AL357" s="293">
        <f t="shared" si="1256"/>
        <v>2704641.9670000002</v>
      </c>
      <c r="AM357" s="293">
        <f t="shared" si="1256"/>
        <v>2599612.1910000006</v>
      </c>
      <c r="AN357" s="293">
        <f t="shared" ref="AN357:AQ358" si="1257">AN254</f>
        <v>2999575.5630000001</v>
      </c>
      <c r="AO357" s="293">
        <f t="shared" si="1257"/>
        <v>3118742.4670000002</v>
      </c>
      <c r="AP357" s="293">
        <f t="shared" si="1257"/>
        <v>3405913.2140000002</v>
      </c>
      <c r="AQ357" s="293">
        <f t="shared" si="1257"/>
        <v>3977992.7050000001</v>
      </c>
      <c r="AR357" s="293">
        <f t="shared" ref="AR357:AU358" si="1258">AR254</f>
        <v>4375053.915</v>
      </c>
      <c r="AS357" s="293">
        <f t="shared" si="1258"/>
        <v>4022237.7650000006</v>
      </c>
      <c r="AT357" s="293">
        <f t="shared" si="1258"/>
        <v>3931382.1859999998</v>
      </c>
      <c r="AU357" s="293">
        <f t="shared" si="1258"/>
        <v>4051779.4649999994</v>
      </c>
      <c r="AV357" s="293">
        <f t="shared" ref="AV357:AY358" si="1259">AV254</f>
        <v>3948785.8499999996</v>
      </c>
      <c r="AW357" s="293">
        <f t="shared" si="1259"/>
        <v>3540519.9589999998</v>
      </c>
      <c r="AX357" s="293">
        <f t="shared" si="1259"/>
        <v>3919518.6719999998</v>
      </c>
      <c r="AY357" s="293">
        <f t="shared" si="1259"/>
        <v>3779284.8189999997</v>
      </c>
      <c r="AZ357" s="293">
        <f t="shared" ref="AZ357:BC358" si="1260">AZ254</f>
        <v>3352510.8310000002</v>
      </c>
      <c r="BA357" s="293">
        <f t="shared" si="1260"/>
        <v>2970154.5959999994</v>
      </c>
      <c r="BB357" s="293">
        <f t="shared" si="1260"/>
        <v>2917409.6089999992</v>
      </c>
      <c r="BC357" s="293">
        <f t="shared" si="1260"/>
        <v>2439215.8659999999</v>
      </c>
      <c r="BD357" s="293">
        <f t="shared" ref="BD357:BF358" si="1261">BD254</f>
        <v>2443445.4470000002</v>
      </c>
      <c r="BE357" s="293">
        <f t="shared" si="1261"/>
        <v>1840105.8109999998</v>
      </c>
      <c r="BF357" s="293">
        <f t="shared" si="1261"/>
        <v>1744761.0150000001</v>
      </c>
      <c r="BG357" s="142"/>
      <c r="BH357" s="293"/>
      <c r="BI357" s="293"/>
      <c r="BJ357" s="293"/>
      <c r="BK357" s="293"/>
      <c r="BL357" s="293">
        <f>BL254</f>
        <v>2933255.5629999996</v>
      </c>
      <c r="BM357" s="293"/>
      <c r="BN357" s="72"/>
      <c r="BO357" s="72"/>
      <c r="BP357" s="72"/>
      <c r="BQ357" s="72"/>
      <c r="BR357" s="72"/>
      <c r="BS357" s="72"/>
      <c r="BT357" s="72"/>
      <c r="BU357" s="56"/>
      <c r="BV357" s="56"/>
      <c r="BW357" s="56"/>
      <c r="BX357" s="72"/>
      <c r="BY357" s="72"/>
      <c r="BZ357" s="72"/>
      <c r="CA357" s="72"/>
      <c r="CJ357" s="6"/>
      <c r="CK357" s="6"/>
      <c r="CL357" s="6"/>
    </row>
    <row r="358" spans="2:90" ht="13.5" customHeight="1">
      <c r="B358" s="1" t="s">
        <v>492</v>
      </c>
      <c r="C358" s="293">
        <f>C255</f>
        <v>2952313.585</v>
      </c>
      <c r="D358" s="293">
        <f t="shared" ref="D358:AB358" si="1262">D255</f>
        <v>3350718.1129999999</v>
      </c>
      <c r="E358" s="293">
        <f t="shared" si="1262"/>
        <v>3655779.1320000002</v>
      </c>
      <c r="F358" s="293">
        <f t="shared" si="1262"/>
        <v>3752196.1549999998</v>
      </c>
      <c r="G358" s="293">
        <f t="shared" si="1251"/>
        <v>3752196.1549999998</v>
      </c>
      <c r="H358" s="293">
        <f t="shared" si="1251"/>
        <v>3736399.1210000003</v>
      </c>
      <c r="I358" s="293">
        <f t="shared" si="1251"/>
        <v>3304547.872</v>
      </c>
      <c r="J358" s="293">
        <f t="shared" si="1251"/>
        <v>3257231.733</v>
      </c>
      <c r="K358" s="293">
        <f t="shared" si="1252"/>
        <v>3760532.5449999999</v>
      </c>
      <c r="L358" s="293">
        <f t="shared" si="1252"/>
        <v>3652008.0049999999</v>
      </c>
      <c r="M358" s="293">
        <f t="shared" si="1252"/>
        <v>4646310.5260000005</v>
      </c>
      <c r="N358" s="293">
        <f t="shared" si="1253"/>
        <v>4618339.1030000001</v>
      </c>
      <c r="O358" s="293">
        <f t="shared" si="1253"/>
        <v>4608539.7869999995</v>
      </c>
      <c r="P358" s="293">
        <f t="shared" si="1253"/>
        <v>3424827.0529999998</v>
      </c>
      <c r="Q358" s="293"/>
      <c r="R358" s="293">
        <f t="shared" si="1262"/>
        <v>3227887.9469999997</v>
      </c>
      <c r="S358" s="293">
        <f t="shared" si="1262"/>
        <v>3380239.1710000001</v>
      </c>
      <c r="T358" s="293">
        <f t="shared" si="1262"/>
        <v>3478797.6629999997</v>
      </c>
      <c r="U358" s="293">
        <f t="shared" si="1262"/>
        <v>3655779.1320000002</v>
      </c>
      <c r="V358" s="293">
        <f t="shared" si="1262"/>
        <v>3654603.8050000002</v>
      </c>
      <c r="W358" s="293">
        <f t="shared" si="1262"/>
        <v>3716174.1120000002</v>
      </c>
      <c r="X358" s="293">
        <f t="shared" si="1262"/>
        <v>3770928.5830000001</v>
      </c>
      <c r="Y358" s="293">
        <f t="shared" si="1262"/>
        <v>3752196.1549999998</v>
      </c>
      <c r="Z358" s="293">
        <f t="shared" si="1262"/>
        <v>3721381.5219999999</v>
      </c>
      <c r="AA358" s="293">
        <f t="shared" si="1262"/>
        <v>3960525.7769999998</v>
      </c>
      <c r="AB358" s="293">
        <f t="shared" si="1262"/>
        <v>4137966.5829999996</v>
      </c>
      <c r="AC358" s="293">
        <f t="shared" si="1254"/>
        <v>3736399.1210000003</v>
      </c>
      <c r="AD358" s="293">
        <f t="shared" si="1254"/>
        <v>3233220.9159999997</v>
      </c>
      <c r="AE358" s="293">
        <f t="shared" si="1254"/>
        <v>3278173.8930000002</v>
      </c>
      <c r="AF358" s="293">
        <f t="shared" si="1255"/>
        <v>3439994.4560000002</v>
      </c>
      <c r="AG358" s="293">
        <f t="shared" si="1255"/>
        <v>3257231.733</v>
      </c>
      <c r="AH358" s="293">
        <f t="shared" si="1255"/>
        <v>4375500.1809999999</v>
      </c>
      <c r="AI358" s="293">
        <f t="shared" si="1255"/>
        <v>4706666.3619999997</v>
      </c>
      <c r="AJ358" s="293">
        <f t="shared" si="1256"/>
        <v>4393904.5549999997</v>
      </c>
      <c r="AK358" s="293">
        <f t="shared" si="1256"/>
        <v>3760532.5449999999</v>
      </c>
      <c r="AL358" s="293">
        <f t="shared" si="1256"/>
        <v>3724436.0449999999</v>
      </c>
      <c r="AM358" s="293">
        <f t="shared" si="1256"/>
        <v>3414487.1810000003</v>
      </c>
      <c r="AN358" s="293">
        <f t="shared" si="1257"/>
        <v>3527169.6030000001</v>
      </c>
      <c r="AO358" s="293">
        <f t="shared" si="1257"/>
        <v>3652008.0049999999</v>
      </c>
      <c r="AP358" s="293">
        <f t="shared" si="1257"/>
        <v>3758657.4050000003</v>
      </c>
      <c r="AQ358" s="293">
        <f t="shared" si="1257"/>
        <v>4525011.4780000001</v>
      </c>
      <c r="AR358" s="293">
        <f t="shared" si="1258"/>
        <v>5033273.4560000002</v>
      </c>
      <c r="AS358" s="293">
        <f t="shared" si="1258"/>
        <v>4646310.5260000005</v>
      </c>
      <c r="AT358" s="293">
        <f t="shared" si="1258"/>
        <v>4455998.9069999997</v>
      </c>
      <c r="AU358" s="293">
        <f t="shared" si="1258"/>
        <v>4455076.2749999994</v>
      </c>
      <c r="AV358" s="293">
        <f t="shared" si="1259"/>
        <v>4598625.0329999998</v>
      </c>
      <c r="AW358" s="293">
        <f t="shared" si="1259"/>
        <v>4618339.1030000001</v>
      </c>
      <c r="AX358" s="293">
        <f t="shared" si="1259"/>
        <v>4868446.7539999997</v>
      </c>
      <c r="AY358" s="293">
        <f t="shared" si="1259"/>
        <v>4762154.5939999996</v>
      </c>
      <c r="AZ358" s="293">
        <f t="shared" si="1260"/>
        <v>4712267.693</v>
      </c>
      <c r="BA358" s="293">
        <f t="shared" si="1260"/>
        <v>4608539.7869999995</v>
      </c>
      <c r="BB358" s="293">
        <f t="shared" si="1260"/>
        <v>3992338.8779999996</v>
      </c>
      <c r="BC358" s="293">
        <f t="shared" si="1260"/>
        <v>3907077.912</v>
      </c>
      <c r="BD358" s="293">
        <f t="shared" si="1261"/>
        <v>3783975.7910000002</v>
      </c>
      <c r="BE358" s="293">
        <f t="shared" si="1261"/>
        <v>3424827.0529999998</v>
      </c>
      <c r="BF358" s="293">
        <f t="shared" si="1261"/>
        <v>3573324.307</v>
      </c>
      <c r="BG358" s="142"/>
      <c r="BH358" s="293"/>
      <c r="BI358" s="293"/>
      <c r="BJ358" s="293"/>
      <c r="BK358" s="293"/>
      <c r="BL358" s="293">
        <f>BL255</f>
        <v>3233220.9159999997</v>
      </c>
      <c r="BM358" s="293"/>
      <c r="BN358" s="72"/>
      <c r="BO358" s="72"/>
      <c r="BP358" s="72"/>
      <c r="BQ358" s="72"/>
      <c r="BR358" s="72"/>
      <c r="BS358" s="72"/>
      <c r="BT358" s="72"/>
      <c r="BU358" s="72"/>
      <c r="BV358" s="72"/>
      <c r="BW358" s="72"/>
      <c r="BX358" s="72"/>
      <c r="BY358" s="72"/>
      <c r="BZ358" s="72"/>
      <c r="CA358" s="72"/>
      <c r="CJ358" s="6"/>
      <c r="CK358" s="6"/>
      <c r="CL358" s="6"/>
    </row>
    <row r="359" spans="2:90" ht="13.5" customHeight="1">
      <c r="C359" s="293"/>
      <c r="D359" s="293"/>
      <c r="E359" s="293"/>
      <c r="F359" s="293"/>
      <c r="G359" s="293"/>
      <c r="H359" s="293"/>
      <c r="I359" s="293"/>
      <c r="J359" s="293"/>
      <c r="K359" s="293"/>
      <c r="L359" s="293"/>
      <c r="M359" s="293"/>
      <c r="N359" s="293"/>
      <c r="O359" s="293"/>
      <c r="P359" s="293"/>
      <c r="Q359" s="293"/>
      <c r="R359" s="293"/>
      <c r="S359" s="293"/>
      <c r="T359" s="293"/>
      <c r="U359" s="293"/>
      <c r="V359" s="293"/>
      <c r="W359" s="293"/>
      <c r="X359" s="293"/>
      <c r="Y359" s="293"/>
      <c r="Z359" s="293"/>
      <c r="AA359" s="293"/>
      <c r="AB359" s="293"/>
      <c r="AC359" s="293"/>
      <c r="AD359" s="293"/>
      <c r="AE359" s="293"/>
      <c r="AF359" s="293"/>
      <c r="AG359" s="293"/>
      <c r="AH359" s="293"/>
      <c r="AI359" s="293"/>
      <c r="AJ359" s="293"/>
      <c r="AK359" s="293"/>
      <c r="AL359" s="293"/>
      <c r="AM359" s="293"/>
      <c r="AN359" s="293"/>
      <c r="AO359" s="293"/>
      <c r="AP359" s="293"/>
      <c r="AQ359" s="293"/>
      <c r="AR359" s="293"/>
      <c r="AS359" s="293"/>
      <c r="AT359" s="293"/>
      <c r="AU359" s="293"/>
      <c r="AV359" s="293"/>
      <c r="AW359" s="293"/>
      <c r="AX359" s="293"/>
      <c r="AY359" s="293"/>
      <c r="AZ359" s="293"/>
      <c r="BA359" s="293"/>
      <c r="BB359" s="293"/>
      <c r="BC359" s="293"/>
      <c r="BD359" s="293"/>
      <c r="BE359" s="293"/>
      <c r="BF359" s="293"/>
      <c r="BG359" s="142"/>
      <c r="BH359" s="293"/>
      <c r="BI359" s="293"/>
      <c r="BJ359" s="293"/>
      <c r="BK359" s="293"/>
      <c r="BL359" s="293"/>
      <c r="BM359" s="293"/>
      <c r="BN359" s="72"/>
      <c r="BO359" s="72"/>
      <c r="BP359" s="72"/>
      <c r="BQ359" s="72"/>
      <c r="BR359" s="72"/>
      <c r="BS359" s="72"/>
      <c r="BT359" s="72"/>
      <c r="BU359" s="72"/>
      <c r="BV359" s="72"/>
      <c r="BW359" s="72"/>
      <c r="BX359" s="72"/>
      <c r="BY359" s="72"/>
      <c r="BZ359" s="72"/>
      <c r="CA359" s="72"/>
      <c r="CJ359" s="6"/>
      <c r="CK359" s="6"/>
      <c r="CL359" s="6"/>
    </row>
    <row r="360" spans="2:90" ht="13.5" customHeight="1">
      <c r="B360" s="1" t="s">
        <v>493</v>
      </c>
      <c r="C360" s="293">
        <f>C204</f>
        <v>895706</v>
      </c>
      <c r="D360" s="293">
        <f t="shared" ref="D360:AC360" si="1263">D204</f>
        <v>974815</v>
      </c>
      <c r="E360" s="293">
        <f t="shared" si="1263"/>
        <v>1021405</v>
      </c>
      <c r="F360" s="293">
        <f t="shared" si="1263"/>
        <v>1084357.895</v>
      </c>
      <c r="G360" s="293">
        <f t="shared" si="1263"/>
        <v>1086759.895</v>
      </c>
      <c r="H360" s="293">
        <f t="shared" si="1263"/>
        <v>1074021.3770000001</v>
      </c>
      <c r="I360" s="293">
        <f t="shared" ref="I360:M361" si="1264">I204</f>
        <v>866383.94500000007</v>
      </c>
      <c r="J360" s="293">
        <f t="shared" si="1264"/>
        <v>791232.74500000011</v>
      </c>
      <c r="K360" s="293">
        <f t="shared" si="1264"/>
        <v>622552.37899999996</v>
      </c>
      <c r="L360" s="293">
        <f t="shared" si="1264"/>
        <v>1233363.9020000002</v>
      </c>
      <c r="M360" s="293">
        <f t="shared" si="1264"/>
        <v>756358.39300000027</v>
      </c>
      <c r="N360" s="293">
        <f t="shared" ref="N360:P361" si="1265">N204</f>
        <v>678211.42</v>
      </c>
      <c r="O360" s="293">
        <f t="shared" si="1265"/>
        <v>1150669.0729999999</v>
      </c>
      <c r="P360" s="293">
        <f t="shared" si="1265"/>
        <v>1502929.4209999999</v>
      </c>
      <c r="Q360" s="293"/>
      <c r="R360" s="293">
        <f t="shared" si="1263"/>
        <v>989922.36899999995</v>
      </c>
      <c r="S360" s="293">
        <f t="shared" si="1263"/>
        <v>1007042.23</v>
      </c>
      <c r="T360" s="293">
        <f t="shared" si="1263"/>
        <v>1021261.6799999999</v>
      </c>
      <c r="U360" s="293">
        <f t="shared" si="1263"/>
        <v>1021405.0259999998</v>
      </c>
      <c r="V360" s="293">
        <f t="shared" si="1263"/>
        <v>1054871.7509999999</v>
      </c>
      <c r="W360" s="293">
        <f t="shared" si="1263"/>
        <v>1068063.2729999998</v>
      </c>
      <c r="X360" s="293">
        <f t="shared" si="1263"/>
        <v>1064331.3839999998</v>
      </c>
      <c r="Y360" s="293">
        <f t="shared" si="1263"/>
        <v>1084357.895</v>
      </c>
      <c r="Z360" s="293">
        <f t="shared" si="1263"/>
        <v>1093140.9040000001</v>
      </c>
      <c r="AA360" s="293">
        <f t="shared" si="1263"/>
        <v>1100883.3220000002</v>
      </c>
      <c r="AB360" s="293">
        <f t="shared" si="1263"/>
        <v>1111669.1440000001</v>
      </c>
      <c r="AC360" s="293">
        <f t="shared" si="1263"/>
        <v>1074021.3769999999</v>
      </c>
      <c r="AD360" s="293">
        <f t="shared" ref="AD360:AS360" si="1266">AD204</f>
        <v>1055429.3629999999</v>
      </c>
      <c r="AE360" s="293">
        <f t="shared" si="1266"/>
        <v>1047361.4740000003</v>
      </c>
      <c r="AF360" s="293">
        <f t="shared" si="1266"/>
        <v>1040741.9489999999</v>
      </c>
      <c r="AG360" s="293">
        <f t="shared" si="1266"/>
        <v>791232.74499999988</v>
      </c>
      <c r="AH360" s="293">
        <f t="shared" si="1266"/>
        <v>745040.07599999988</v>
      </c>
      <c r="AI360" s="293">
        <f t="shared" si="1266"/>
        <v>496789.46600000007</v>
      </c>
      <c r="AJ360" s="293">
        <f t="shared" si="1266"/>
        <v>462598.05699999997</v>
      </c>
      <c r="AK360" s="293">
        <f t="shared" si="1266"/>
        <v>622552.37899999996</v>
      </c>
      <c r="AL360" s="293">
        <f t="shared" si="1266"/>
        <v>726367.31700000004</v>
      </c>
      <c r="AM360" s="293">
        <f t="shared" si="1266"/>
        <v>1038365.642</v>
      </c>
      <c r="AN360" s="293">
        <f t="shared" si="1266"/>
        <v>1215300.1140000001</v>
      </c>
      <c r="AO360" s="293">
        <f t="shared" si="1266"/>
        <v>1233363.9019999998</v>
      </c>
      <c r="AP360" s="293">
        <f t="shared" si="1266"/>
        <v>1193250.2919999999</v>
      </c>
      <c r="AQ360" s="293">
        <f t="shared" si="1266"/>
        <v>1101861.2599999998</v>
      </c>
      <c r="AR360" s="293">
        <f t="shared" si="1266"/>
        <v>923847.95200000005</v>
      </c>
      <c r="AS360" s="293">
        <f t="shared" si="1266"/>
        <v>756358.39299999992</v>
      </c>
      <c r="AT360" s="293">
        <f t="shared" ref="AT360:AW361" si="1267">AT204</f>
        <v>670077.89299999992</v>
      </c>
      <c r="AU360" s="293">
        <f t="shared" si="1267"/>
        <v>623951.23900000006</v>
      </c>
      <c r="AV360" s="293">
        <f t="shared" si="1267"/>
        <v>620234.51699999988</v>
      </c>
      <c r="AW360" s="293">
        <f t="shared" si="1267"/>
        <v>678211.42000000016</v>
      </c>
      <c r="AX360" s="293">
        <f t="shared" ref="AX360:BA361" si="1268">AX204</f>
        <v>789191.87600000016</v>
      </c>
      <c r="AY360" s="293">
        <f t="shared" si="1268"/>
        <v>908098.20499999996</v>
      </c>
      <c r="AZ360" s="293">
        <f t="shared" si="1268"/>
        <v>1018253.811</v>
      </c>
      <c r="BA360" s="293">
        <f t="shared" si="1268"/>
        <v>1150669.0729999999</v>
      </c>
      <c r="BB360" s="293">
        <f t="shared" ref="BB360:BE361" si="1269">BB204</f>
        <v>1257891.196</v>
      </c>
      <c r="BC360" s="293">
        <f t="shared" si="1269"/>
        <v>1347077.341</v>
      </c>
      <c r="BD360" s="293">
        <f t="shared" si="1269"/>
        <v>1410716.0219999999</v>
      </c>
      <c r="BE360" s="293">
        <f t="shared" si="1269"/>
        <v>1502929.4209999999</v>
      </c>
      <c r="BF360" s="293">
        <f>BF204</f>
        <v>1520152.9489999998</v>
      </c>
      <c r="BG360" s="142"/>
      <c r="BH360" s="293"/>
      <c r="BI360" s="293"/>
      <c r="BJ360" s="293"/>
      <c r="BK360" s="293"/>
      <c r="BL360" s="293">
        <f>BL204</f>
        <v>520449.9819999999</v>
      </c>
      <c r="BM360" s="293"/>
      <c r="BN360" s="72"/>
      <c r="BO360" s="72"/>
      <c r="BP360" s="72"/>
      <c r="BQ360" s="72"/>
      <c r="BR360" s="72"/>
      <c r="BS360" s="72"/>
      <c r="BT360" s="72"/>
      <c r="BU360" s="72"/>
      <c r="BV360" s="72"/>
      <c r="BW360" s="72"/>
      <c r="BX360" s="72"/>
      <c r="BY360" s="72"/>
      <c r="BZ360" s="72"/>
      <c r="CA360" s="72"/>
      <c r="CJ360" s="6"/>
      <c r="CK360" s="6"/>
      <c r="CL360" s="6"/>
    </row>
    <row r="361" spans="2:90" ht="13.5" customHeight="1">
      <c r="B361" s="1" t="s">
        <v>494</v>
      </c>
      <c r="C361" s="293">
        <f>C205</f>
        <v>1019857.167</v>
      </c>
      <c r="D361" s="293">
        <f t="shared" ref="D361:AC361" si="1270">D205</f>
        <v>1122238.5249999999</v>
      </c>
      <c r="E361" s="293">
        <f t="shared" si="1270"/>
        <v>1179039.737</v>
      </c>
      <c r="F361" s="293">
        <f t="shared" si="1270"/>
        <v>1246909.375</v>
      </c>
      <c r="G361" s="293">
        <f t="shared" si="1270"/>
        <v>1264707.129</v>
      </c>
      <c r="H361" s="293">
        <f t="shared" si="1270"/>
        <v>1268735.5990000002</v>
      </c>
      <c r="I361" s="293">
        <f t="shared" si="1264"/>
        <v>1058323.53</v>
      </c>
      <c r="J361" s="293">
        <f t="shared" si="1264"/>
        <v>865872.62500000012</v>
      </c>
      <c r="K361" s="293">
        <f t="shared" si="1264"/>
        <v>684094.75799999991</v>
      </c>
      <c r="L361" s="293">
        <f t="shared" si="1264"/>
        <v>1323465.9050000003</v>
      </c>
      <c r="M361" s="293">
        <f t="shared" si="1264"/>
        <v>872696.16900000023</v>
      </c>
      <c r="N361" s="293">
        <f t="shared" si="1265"/>
        <v>779056.87600000005</v>
      </c>
      <c r="O361" s="293">
        <f t="shared" si="1265"/>
        <v>1252389.5109999999</v>
      </c>
      <c r="P361" s="293">
        <f t="shared" si="1265"/>
        <v>1595918.9799999997</v>
      </c>
      <c r="Q361" s="293"/>
      <c r="R361" s="293">
        <f t="shared" si="1270"/>
        <v>1141356.0569999998</v>
      </c>
      <c r="S361" s="293">
        <f t="shared" si="1270"/>
        <v>1162458.5449999999</v>
      </c>
      <c r="T361" s="293">
        <f t="shared" si="1270"/>
        <v>1177271.3559999999</v>
      </c>
      <c r="U361" s="293">
        <f t="shared" si="1270"/>
        <v>1179039.7629999998</v>
      </c>
      <c r="V361" s="293">
        <f t="shared" si="1270"/>
        <v>1216283.5739999998</v>
      </c>
      <c r="W361" s="293">
        <f t="shared" si="1270"/>
        <v>1230422.6259999999</v>
      </c>
      <c r="X361" s="293">
        <f t="shared" si="1270"/>
        <v>1225725.2139999999</v>
      </c>
      <c r="Y361" s="293">
        <f t="shared" si="1270"/>
        <v>1246909.375</v>
      </c>
      <c r="Z361" s="293">
        <f t="shared" si="1270"/>
        <v>1261829.1740000001</v>
      </c>
      <c r="AA361" s="293">
        <f t="shared" si="1270"/>
        <v>1278480.78</v>
      </c>
      <c r="AB361" s="293">
        <f t="shared" si="1270"/>
        <v>1296810.6880000001</v>
      </c>
      <c r="AC361" s="293">
        <f t="shared" si="1270"/>
        <v>1268735.5989999999</v>
      </c>
      <c r="AD361" s="293">
        <f t="shared" ref="AD361:AS361" si="1271">AD205</f>
        <v>1219099.8049999999</v>
      </c>
      <c r="AE361" s="293">
        <f t="shared" si="1271"/>
        <v>1181819.7130000002</v>
      </c>
      <c r="AF361" s="293">
        <f t="shared" si="1271"/>
        <v>1149807.8979999998</v>
      </c>
      <c r="AG361" s="293">
        <f t="shared" si="1271"/>
        <v>865872.625</v>
      </c>
      <c r="AH361" s="293">
        <f t="shared" si="1271"/>
        <v>818237.96299999987</v>
      </c>
      <c r="AI361" s="293">
        <f t="shared" si="1271"/>
        <v>556529.44800000009</v>
      </c>
      <c r="AJ361" s="293">
        <f t="shared" si="1271"/>
        <v>517818.66799999995</v>
      </c>
      <c r="AK361" s="293">
        <f t="shared" si="1271"/>
        <v>684094.75800000003</v>
      </c>
      <c r="AL361" s="293">
        <f t="shared" si="1271"/>
        <v>789748.16399999999</v>
      </c>
      <c r="AM361" s="293">
        <f t="shared" si="1271"/>
        <v>1110822.5919999999</v>
      </c>
      <c r="AN361" s="293">
        <f t="shared" si="1271"/>
        <v>1292663.352</v>
      </c>
      <c r="AO361" s="293">
        <f t="shared" si="1271"/>
        <v>1323465.905</v>
      </c>
      <c r="AP361" s="293">
        <f t="shared" si="1271"/>
        <v>1299637.1839999999</v>
      </c>
      <c r="AQ361" s="293">
        <f t="shared" si="1271"/>
        <v>1220516.483</v>
      </c>
      <c r="AR361" s="293">
        <f t="shared" si="1271"/>
        <v>1051902.2230000002</v>
      </c>
      <c r="AS361" s="293">
        <f t="shared" si="1271"/>
        <v>872696.16899999988</v>
      </c>
      <c r="AT361" s="293">
        <f t="shared" si="1267"/>
        <v>778262.22999999986</v>
      </c>
      <c r="AU361" s="293">
        <f t="shared" si="1267"/>
        <v>728214.54900000012</v>
      </c>
      <c r="AV361" s="293">
        <f t="shared" si="1267"/>
        <v>716970.36699999997</v>
      </c>
      <c r="AW361" s="293">
        <f>AW205</f>
        <v>779056.87600000005</v>
      </c>
      <c r="AX361" s="293">
        <f t="shared" si="1268"/>
        <v>892185.12000000011</v>
      </c>
      <c r="AY361" s="293">
        <f t="shared" si="1268"/>
        <v>1013940.4890000001</v>
      </c>
      <c r="AZ361" s="293">
        <f t="shared" si="1268"/>
        <v>1125446.844</v>
      </c>
      <c r="BA361" s="293">
        <f t="shared" si="1268"/>
        <v>1252389.5109999999</v>
      </c>
      <c r="BB361" s="293">
        <f t="shared" si="1269"/>
        <v>1356128.24</v>
      </c>
      <c r="BC361" s="293">
        <f t="shared" si="1269"/>
        <v>1440788.6220000002</v>
      </c>
      <c r="BD361" s="293">
        <f t="shared" si="1269"/>
        <v>1503672.8119999997</v>
      </c>
      <c r="BE361" s="293">
        <f t="shared" si="1269"/>
        <v>1595918.98</v>
      </c>
      <c r="BF361" s="293">
        <f>BF205</f>
        <v>1613281.159</v>
      </c>
      <c r="BG361" s="142"/>
      <c r="BH361" s="293"/>
      <c r="BI361" s="293"/>
      <c r="BJ361" s="293"/>
      <c r="BK361" s="293"/>
      <c r="BL361" s="293">
        <f>BL205</f>
        <v>577680.21899999981</v>
      </c>
      <c r="BM361" s="293"/>
      <c r="BN361" s="72"/>
      <c r="BO361" s="72"/>
      <c r="BP361" s="72"/>
      <c r="BQ361" s="72"/>
      <c r="BR361" s="72"/>
      <c r="BS361" s="72"/>
      <c r="BT361" s="72"/>
      <c r="BU361" s="72"/>
      <c r="BV361" s="72"/>
      <c r="BW361" s="72"/>
      <c r="BX361" s="72"/>
      <c r="BY361" s="72"/>
      <c r="BZ361" s="72"/>
      <c r="CA361" s="72"/>
      <c r="CJ361" s="6"/>
      <c r="CK361" s="6"/>
      <c r="CL361" s="6"/>
    </row>
    <row r="362" spans="2:90" ht="13.5" customHeight="1">
      <c r="C362" s="293"/>
      <c r="D362" s="293"/>
      <c r="E362" s="293"/>
      <c r="F362" s="293"/>
      <c r="G362" s="293"/>
      <c r="H362" s="293"/>
      <c r="I362" s="293"/>
      <c r="J362" s="293"/>
      <c r="K362" s="293"/>
      <c r="L362" s="293"/>
      <c r="M362" s="293"/>
      <c r="N362" s="293"/>
      <c r="O362" s="293"/>
      <c r="P362" s="293"/>
      <c r="Q362" s="293"/>
      <c r="R362" s="293"/>
      <c r="S362" s="293"/>
      <c r="T362" s="293"/>
      <c r="U362" s="293"/>
      <c r="V362" s="293"/>
      <c r="W362" s="293"/>
      <c r="X362" s="293"/>
      <c r="Y362" s="293"/>
      <c r="Z362" s="293"/>
      <c r="AA362" s="293"/>
      <c r="AB362" s="293"/>
      <c r="AC362" s="293"/>
      <c r="AD362" s="293"/>
      <c r="AE362" s="293"/>
      <c r="AF362" s="293"/>
      <c r="AG362" s="293"/>
      <c r="AH362" s="293"/>
      <c r="AI362" s="293"/>
      <c r="AJ362" s="293"/>
      <c r="AK362" s="293"/>
      <c r="AL362" s="293"/>
      <c r="AM362" s="293"/>
      <c r="AN362" s="293"/>
      <c r="AO362" s="293"/>
      <c r="AP362" s="293"/>
      <c r="AQ362" s="293"/>
      <c r="AR362" s="293"/>
      <c r="AS362" s="293"/>
      <c r="AT362" s="293"/>
      <c r="AU362" s="293"/>
      <c r="AV362" s="293"/>
      <c r="AW362" s="293"/>
      <c r="AX362" s="293"/>
      <c r="AY362" s="293"/>
      <c r="AZ362" s="293"/>
      <c r="BA362" s="293"/>
      <c r="BB362" s="293"/>
      <c r="BC362" s="293"/>
      <c r="BD362" s="293"/>
      <c r="BE362" s="293"/>
      <c r="BF362" s="293"/>
      <c r="BG362" s="142"/>
      <c r="BH362" s="293"/>
      <c r="BI362" s="293"/>
      <c r="BJ362" s="293"/>
      <c r="BK362" s="293"/>
      <c r="BL362" s="293"/>
      <c r="BM362" s="293"/>
      <c r="BN362" s="72"/>
      <c r="BO362" s="72"/>
      <c r="BP362" s="72"/>
      <c r="BQ362" s="72"/>
      <c r="BR362" s="72"/>
      <c r="BS362" s="72"/>
      <c r="BT362" s="72"/>
      <c r="BU362" s="72"/>
      <c r="BV362" s="72"/>
      <c r="BW362" s="72"/>
      <c r="BX362" s="72"/>
      <c r="BY362" s="72"/>
      <c r="BZ362" s="72"/>
      <c r="CA362" s="72"/>
      <c r="CJ362" s="6"/>
      <c r="CK362" s="6"/>
      <c r="CL362" s="6"/>
    </row>
    <row r="363" spans="2:90" ht="13.5" customHeight="1">
      <c r="B363" s="5" t="s">
        <v>455</v>
      </c>
      <c r="C363" s="293">
        <f>C259</f>
        <v>2841670.2320000003</v>
      </c>
      <c r="D363" s="293">
        <f t="shared" ref="D363:AC363" si="1272">D259</f>
        <v>3232239.716</v>
      </c>
      <c r="E363" s="293">
        <f t="shared" si="1272"/>
        <v>3561781.6750000003</v>
      </c>
      <c r="F363" s="293">
        <f t="shared" si="1272"/>
        <v>3608796.139</v>
      </c>
      <c r="G363" s="293">
        <f t="shared" si="1272"/>
        <v>3608796.139</v>
      </c>
      <c r="H363" s="293">
        <f t="shared" si="1272"/>
        <v>3444549.9880000004</v>
      </c>
      <c r="I363" s="293">
        <f t="shared" ref="I363:K364" si="1273">I259</f>
        <v>3047307.8620000002</v>
      </c>
      <c r="J363" s="293">
        <f t="shared" si="1273"/>
        <v>3940522.409</v>
      </c>
      <c r="K363" s="293">
        <f t="shared" si="1273"/>
        <v>3477886.6859999998</v>
      </c>
      <c r="L363" s="293">
        <f t="shared" ref="L363:N364" si="1274">L259</f>
        <v>4193334.352</v>
      </c>
      <c r="M363" s="293">
        <f>M259</f>
        <v>5201720.3840000005</v>
      </c>
      <c r="N363" s="293">
        <f t="shared" si="1274"/>
        <v>4746096.443</v>
      </c>
      <c r="O363" s="293">
        <f>O259</f>
        <v>4369354.9869999997</v>
      </c>
      <c r="P363" s="293">
        <f>P259</f>
        <v>3288189.727</v>
      </c>
      <c r="Q363" s="293"/>
      <c r="R363" s="293">
        <f t="shared" si="1272"/>
        <v>3114701.4369999995</v>
      </c>
      <c r="S363" s="293">
        <f t="shared" si="1272"/>
        <v>3291934</v>
      </c>
      <c r="T363" s="293">
        <f t="shared" si="1272"/>
        <v>3389600.7509999997</v>
      </c>
      <c r="U363" s="293">
        <f t="shared" si="1272"/>
        <v>3561781.6750000003</v>
      </c>
      <c r="V363" s="293">
        <f t="shared" si="1272"/>
        <v>3525591.6260000002</v>
      </c>
      <c r="W363" s="293">
        <f t="shared" si="1272"/>
        <v>3640968.3459999999</v>
      </c>
      <c r="X363" s="293">
        <f t="shared" si="1272"/>
        <v>3655273.7270000004</v>
      </c>
      <c r="Y363" s="293">
        <f t="shared" si="1272"/>
        <v>3608796.139</v>
      </c>
      <c r="Z363" s="293">
        <f t="shared" si="1272"/>
        <v>3584363.9869999997</v>
      </c>
      <c r="AA363" s="293">
        <f t="shared" si="1272"/>
        <v>3818677.7409999999</v>
      </c>
      <c r="AB363" s="293">
        <f t="shared" si="1272"/>
        <v>4002351.3939999999</v>
      </c>
      <c r="AC363" s="293">
        <f t="shared" si="1272"/>
        <v>3444549.9880000004</v>
      </c>
      <c r="AD363" s="293">
        <f t="shared" ref="AD363:AG364" si="1275">AD259</f>
        <v>3975130.8709999998</v>
      </c>
      <c r="AE363" s="293">
        <f t="shared" si="1275"/>
        <v>4054757.213</v>
      </c>
      <c r="AF363" s="293">
        <f t="shared" si="1275"/>
        <v>4174622.5310000004</v>
      </c>
      <c r="AG363" s="293">
        <f t="shared" si="1275"/>
        <v>3940522.409</v>
      </c>
      <c r="AH363" s="293">
        <f t="shared" ref="AH363:AM364" si="1276">AH259</f>
        <v>4438803.0630000001</v>
      </c>
      <c r="AI363" s="293">
        <f t="shared" si="1276"/>
        <v>4269273.9510000004</v>
      </c>
      <c r="AJ363" s="293">
        <f t="shared" si="1276"/>
        <v>4135084.2849999997</v>
      </c>
      <c r="AK363" s="293">
        <f t="shared" si="1276"/>
        <v>3477886.6859999998</v>
      </c>
      <c r="AL363" s="293">
        <f>AL259</f>
        <v>3638211.5290000001</v>
      </c>
      <c r="AM363" s="293">
        <f t="shared" si="1276"/>
        <v>3536632.9170000004</v>
      </c>
      <c r="AN363" s="293">
        <f t="shared" ref="AN363:AQ364" si="1277">AN259</f>
        <v>3974629.858</v>
      </c>
      <c r="AO363" s="293">
        <f t="shared" si="1277"/>
        <v>4193334.352</v>
      </c>
      <c r="AP363" s="293">
        <f t="shared" si="1277"/>
        <v>4504123.301</v>
      </c>
      <c r="AQ363" s="293">
        <f t="shared" si="1277"/>
        <v>5154036.0549999997</v>
      </c>
      <c r="AR363" s="293">
        <f t="shared" ref="AR363:AU364" si="1278">AR259</f>
        <v>5571379.3020000001</v>
      </c>
      <c r="AS363" s="293">
        <f t="shared" si="1278"/>
        <v>5201720.3840000005</v>
      </c>
      <c r="AT363" s="293">
        <f t="shared" si="1278"/>
        <v>5072938.5299999993</v>
      </c>
      <c r="AU363" s="293">
        <f t="shared" si="1278"/>
        <v>5211592.4069999997</v>
      </c>
      <c r="AV363" s="293">
        <f t="shared" ref="AV363:AY364" si="1279">AV259</f>
        <v>5151926.68</v>
      </c>
      <c r="AW363" s="293">
        <f t="shared" si="1279"/>
        <v>4746096.443</v>
      </c>
      <c r="AX363" s="293">
        <f t="shared" si="1279"/>
        <v>5176770.6009999998</v>
      </c>
      <c r="AY363" s="293">
        <f t="shared" si="1279"/>
        <v>5096006.4389999993</v>
      </c>
      <c r="AZ363" s="293">
        <f t="shared" ref="AZ363:BC364" si="1280">AZ259</f>
        <v>4649655.6660000002</v>
      </c>
      <c r="BA363" s="293">
        <f t="shared" si="1280"/>
        <v>4369354.9869999997</v>
      </c>
      <c r="BB363" s="293">
        <f t="shared" si="1280"/>
        <v>4298624.8069999991</v>
      </c>
      <c r="BC363" s="293">
        <f t="shared" si="1280"/>
        <v>3877927.4479999999</v>
      </c>
      <c r="BD363" s="293">
        <f t="shared" ref="BD363:BF364" si="1281">BD259</f>
        <v>3853073.0090000001</v>
      </c>
      <c r="BE363" s="293">
        <f t="shared" si="1281"/>
        <v>3288189.727</v>
      </c>
      <c r="BF363" s="293">
        <f t="shared" si="1281"/>
        <v>3195870.2350000003</v>
      </c>
      <c r="BG363" s="142"/>
      <c r="BH363" s="293"/>
      <c r="BI363" s="293"/>
      <c r="BJ363" s="293"/>
      <c r="BK363" s="293"/>
      <c r="BL363" s="293">
        <f>BL259</f>
        <v>3968798.9349999996</v>
      </c>
      <c r="BM363" s="293"/>
      <c r="BN363" s="72"/>
      <c r="BO363" s="72"/>
      <c r="BP363" s="72"/>
      <c r="BQ363" s="72"/>
      <c r="BR363" s="72"/>
      <c r="BS363" s="72"/>
      <c r="BT363" s="72"/>
      <c r="BU363" s="72"/>
      <c r="BV363" s="72"/>
      <c r="BW363" s="72"/>
      <c r="BX363" s="72"/>
      <c r="BY363" s="72"/>
      <c r="BZ363" s="72"/>
      <c r="CA363" s="72"/>
      <c r="CJ363" s="6"/>
      <c r="CK363" s="6"/>
      <c r="CL363" s="6"/>
    </row>
    <row r="364" spans="2:90" ht="13.5" customHeight="1">
      <c r="B364" s="5" t="s">
        <v>456</v>
      </c>
      <c r="C364" s="293">
        <f>C260</f>
        <v>3052890.1</v>
      </c>
      <c r="D364" s="293">
        <f t="shared" ref="D364:AC364" si="1282">D260</f>
        <v>3439547.9419999998</v>
      </c>
      <c r="E364" s="293">
        <f t="shared" si="1282"/>
        <v>3763101.3090000004</v>
      </c>
      <c r="F364" s="293">
        <f t="shared" si="1282"/>
        <v>3840823.324</v>
      </c>
      <c r="G364" s="293">
        <f t="shared" si="1282"/>
        <v>3840823.324</v>
      </c>
      <c r="H364" s="293">
        <f t="shared" si="1282"/>
        <v>3796650.4930000002</v>
      </c>
      <c r="I364" s="293">
        <f t="shared" si="1273"/>
        <v>3364799.2439999999</v>
      </c>
      <c r="J364" s="293">
        <f t="shared" si="1273"/>
        <v>4240487.7620000001</v>
      </c>
      <c r="K364" s="293">
        <f t="shared" si="1273"/>
        <v>4694080.6059999997</v>
      </c>
      <c r="L364" s="293">
        <f t="shared" si="1274"/>
        <v>4726599.8899999997</v>
      </c>
      <c r="M364" s="293">
        <f>M260</f>
        <v>5825793.1450000005</v>
      </c>
      <c r="N364" s="293">
        <f t="shared" si="1274"/>
        <v>5823915.5870000003</v>
      </c>
      <c r="O364" s="293">
        <f>O260</f>
        <v>6007740.1779999994</v>
      </c>
      <c r="P364" s="293">
        <f>P260</f>
        <v>4872910.9689999996</v>
      </c>
      <c r="Q364" s="293"/>
      <c r="R364" s="293">
        <f t="shared" si="1282"/>
        <v>3307907.6369999996</v>
      </c>
      <c r="S364" s="293">
        <f t="shared" si="1282"/>
        <v>3469069</v>
      </c>
      <c r="T364" s="293">
        <f t="shared" si="1282"/>
        <v>3549292.9279999998</v>
      </c>
      <c r="U364" s="293">
        <f t="shared" si="1282"/>
        <v>3763101.3090000004</v>
      </c>
      <c r="V364" s="293">
        <f t="shared" si="1282"/>
        <v>3720083.202</v>
      </c>
      <c r="W364" s="293">
        <f t="shared" si="1282"/>
        <v>3817799.6170000001</v>
      </c>
      <c r="X364" s="293">
        <f t="shared" si="1282"/>
        <v>3864211.3820000002</v>
      </c>
      <c r="Y364" s="293">
        <f t="shared" si="1282"/>
        <v>3840823.324</v>
      </c>
      <c r="Z364" s="293">
        <f t="shared" si="1282"/>
        <v>3803082.3319999999</v>
      </c>
      <c r="AA364" s="293">
        <f t="shared" si="1282"/>
        <v>4032040.7369999997</v>
      </c>
      <c r="AB364" s="293">
        <f t="shared" si="1282"/>
        <v>4208861.9079999998</v>
      </c>
      <c r="AC364" s="293">
        <f t="shared" si="1282"/>
        <v>3796650.4930000002</v>
      </c>
      <c r="AD364" s="293">
        <f t="shared" si="1275"/>
        <v>4268764.2879999997</v>
      </c>
      <c r="AE364" s="293">
        <f t="shared" si="1275"/>
        <v>4247702.426</v>
      </c>
      <c r="AF364" s="293">
        <f t="shared" si="1275"/>
        <v>4403759.8550000004</v>
      </c>
      <c r="AG364" s="293">
        <f t="shared" si="1275"/>
        <v>4240487.7620000001</v>
      </c>
      <c r="AH364" s="293">
        <f t="shared" si="1276"/>
        <v>5348641.1349999998</v>
      </c>
      <c r="AI364" s="293">
        <f t="shared" si="1276"/>
        <v>5700258.773</v>
      </c>
      <c r="AJ364" s="293">
        <f t="shared" si="1276"/>
        <v>5348705.7390000001</v>
      </c>
      <c r="AK364" s="293">
        <f t="shared" si="1276"/>
        <v>4694080.6059999997</v>
      </c>
      <c r="AL364" s="293">
        <f>AL260</f>
        <v>4658005.6069999998</v>
      </c>
      <c r="AM364" s="293">
        <f t="shared" si="1276"/>
        <v>4351507.9070000006</v>
      </c>
      <c r="AN364" s="293">
        <f t="shared" si="1277"/>
        <v>4502223.898</v>
      </c>
      <c r="AO364" s="293">
        <f t="shared" si="1277"/>
        <v>4726599.8899999997</v>
      </c>
      <c r="AP364" s="293">
        <f t="shared" si="1277"/>
        <v>4856867.4920000006</v>
      </c>
      <c r="AQ364" s="293">
        <f t="shared" si="1277"/>
        <v>5701054.8279999997</v>
      </c>
      <c r="AR364" s="293">
        <f t="shared" si="1278"/>
        <v>6229598.8430000003</v>
      </c>
      <c r="AS364" s="293">
        <f t="shared" si="1278"/>
        <v>5825793.1450000005</v>
      </c>
      <c r="AT364" s="293">
        <f t="shared" si="1278"/>
        <v>5597555.2510000002</v>
      </c>
      <c r="AU364" s="293">
        <f t="shared" si="1278"/>
        <v>5614889.2169999992</v>
      </c>
      <c r="AV364" s="293">
        <f t="shared" si="1279"/>
        <v>5801765.8629999999</v>
      </c>
      <c r="AW364" s="293">
        <f t="shared" si="1279"/>
        <v>5823915.5870000003</v>
      </c>
      <c r="AX364" s="293">
        <f t="shared" si="1279"/>
        <v>6125698.6830000002</v>
      </c>
      <c r="AY364" s="293">
        <f t="shared" si="1279"/>
        <v>6078876.2139999997</v>
      </c>
      <c r="AZ364" s="293">
        <f t="shared" si="1280"/>
        <v>6009412.5279999999</v>
      </c>
      <c r="BA364" s="293">
        <f t="shared" si="1280"/>
        <v>6007740.1779999994</v>
      </c>
      <c r="BB364" s="293">
        <f t="shared" si="1280"/>
        <v>5373554.0759999994</v>
      </c>
      <c r="BC364" s="293">
        <f t="shared" si="1280"/>
        <v>5345789.4939999999</v>
      </c>
      <c r="BD364" s="293">
        <f t="shared" si="1281"/>
        <v>5193603.3530000001</v>
      </c>
      <c r="BE364" s="293">
        <f t="shared" si="1281"/>
        <v>4872910.9689999996</v>
      </c>
      <c r="BF364" s="293">
        <f t="shared" si="1281"/>
        <v>5024433.5269999998</v>
      </c>
      <c r="BG364" s="142"/>
      <c r="BH364" s="293"/>
      <c r="BI364" s="293"/>
      <c r="BJ364" s="293"/>
      <c r="BK364" s="293"/>
      <c r="BL364" s="293">
        <f>BL260</f>
        <v>4268764.2879999997</v>
      </c>
      <c r="BM364" s="293"/>
      <c r="BN364" s="72"/>
      <c r="BO364" s="72"/>
      <c r="BP364" s="72"/>
      <c r="BQ364" s="72"/>
      <c r="BR364" s="72"/>
      <c r="BS364" s="72"/>
      <c r="BT364" s="72"/>
      <c r="BU364" s="72"/>
      <c r="BV364" s="72"/>
      <c r="BW364" s="72"/>
      <c r="BX364" s="72"/>
      <c r="BY364" s="72"/>
      <c r="BZ364" s="72"/>
      <c r="CA364" s="72"/>
      <c r="CJ364" s="6"/>
      <c r="CK364" s="6"/>
      <c r="CL364" s="6"/>
    </row>
    <row r="365" spans="2:90" ht="13.5" customHeight="1">
      <c r="C365" s="293"/>
      <c r="D365" s="293"/>
      <c r="E365" s="293"/>
      <c r="F365" s="293"/>
      <c r="G365" s="293"/>
      <c r="H365" s="293"/>
      <c r="I365" s="293"/>
      <c r="J365" s="293"/>
      <c r="K365" s="293"/>
      <c r="L365" s="293"/>
      <c r="M365" s="293"/>
      <c r="N365" s="293"/>
      <c r="O365" s="293"/>
      <c r="P365" s="293"/>
      <c r="Q365" s="293"/>
      <c r="R365" s="293"/>
      <c r="S365" s="293"/>
      <c r="T365" s="293"/>
      <c r="U365" s="293"/>
      <c r="V365" s="293"/>
      <c r="W365" s="293"/>
      <c r="X365" s="293"/>
      <c r="Y365" s="293"/>
      <c r="Z365" s="293"/>
      <c r="AA365" s="293"/>
      <c r="AB365" s="293"/>
      <c r="AC365" s="293"/>
      <c r="AD365" s="293"/>
      <c r="AE365" s="293"/>
      <c r="AF365" s="293"/>
      <c r="AG365" s="293"/>
      <c r="AH365" s="293"/>
      <c r="AI365" s="293"/>
      <c r="AJ365" s="293"/>
      <c r="AK365" s="293"/>
      <c r="AL365" s="293"/>
      <c r="AM365" s="293"/>
      <c r="AN365" s="293"/>
      <c r="AO365" s="293"/>
      <c r="AP365" s="293"/>
      <c r="AQ365" s="293"/>
      <c r="AR365" s="293"/>
      <c r="AS365" s="293"/>
      <c r="AT365" s="293"/>
      <c r="AU365" s="293"/>
      <c r="AV365" s="293"/>
      <c r="AW365" s="293"/>
      <c r="AX365" s="293"/>
      <c r="AY365" s="293"/>
      <c r="AZ365" s="293"/>
      <c r="BA365" s="293"/>
      <c r="BB365" s="293"/>
      <c r="BC365" s="293"/>
      <c r="BD365" s="293"/>
      <c r="BE365" s="293"/>
      <c r="BF365" s="293"/>
      <c r="BG365" s="142"/>
      <c r="BH365" s="293"/>
      <c r="BI365" s="293"/>
      <c r="BJ365" s="293"/>
      <c r="BK365" s="293"/>
      <c r="BL365" s="293"/>
      <c r="BM365" s="293"/>
      <c r="BN365" s="72"/>
      <c r="BO365" s="72"/>
      <c r="BP365" s="72"/>
      <c r="BQ365" s="72"/>
      <c r="BR365" s="72"/>
      <c r="BS365" s="72"/>
      <c r="BT365" s="72"/>
      <c r="BU365" s="72"/>
      <c r="BV365" s="72"/>
      <c r="BW365" s="72"/>
      <c r="BX365" s="72"/>
      <c r="BY365" s="72"/>
      <c r="BZ365" s="72"/>
      <c r="CA365" s="72"/>
      <c r="CJ365" s="6"/>
      <c r="CK365" s="6"/>
      <c r="CL365" s="6"/>
    </row>
    <row r="366" spans="2:90" ht="13.5" customHeight="1">
      <c r="B366" s="5" t="s">
        <v>458</v>
      </c>
      <c r="C366" s="293">
        <f>C264</f>
        <v>3834879.5680000004</v>
      </c>
      <c r="D366" s="293">
        <f t="shared" ref="D366:AC366" si="1283">D264</f>
        <v>4411627.9160000002</v>
      </c>
      <c r="E366" s="293">
        <f t="shared" si="1283"/>
        <v>4822859.5710000005</v>
      </c>
      <c r="F366" s="293">
        <f t="shared" si="1283"/>
        <v>4909207.9790000003</v>
      </c>
      <c r="G366" s="293">
        <f t="shared" si="1283"/>
        <v>5032374.0109999999</v>
      </c>
      <c r="H366" s="293">
        <f t="shared" si="1283"/>
        <v>5002263.7640000004</v>
      </c>
      <c r="I366" s="293">
        <f t="shared" ref="I366:K367" si="1284">I264</f>
        <v>4582824.5420000004</v>
      </c>
      <c r="J366" s="293">
        <f t="shared" si="1284"/>
        <v>4537641.449</v>
      </c>
      <c r="K366" s="293">
        <f t="shared" si="1284"/>
        <v>3970225.7179999999</v>
      </c>
      <c r="L366" s="293">
        <f t="shared" ref="L366:N367" si="1285">L264</f>
        <v>4914150.3760000002</v>
      </c>
      <c r="M366" s="293">
        <f>M264</f>
        <v>6132422.5920000002</v>
      </c>
      <c r="N366" s="293">
        <f t="shared" si="1285"/>
        <v>5552860.091</v>
      </c>
      <c r="O366" s="293">
        <f>O264</f>
        <v>5183118.4909999995</v>
      </c>
      <c r="P366" s="293">
        <f>P264</f>
        <v>4032106.199</v>
      </c>
      <c r="Q366" s="293"/>
      <c r="R366" s="293">
        <f t="shared" si="1283"/>
        <v>4326170.9409999996</v>
      </c>
      <c r="S366" s="293">
        <f t="shared" si="1283"/>
        <v>4535264.5199999996</v>
      </c>
      <c r="T366" s="293">
        <f t="shared" si="1283"/>
        <v>4637678.159</v>
      </c>
      <c r="U366" s="293">
        <f t="shared" si="1283"/>
        <v>4822859.5710000005</v>
      </c>
      <c r="V366" s="293">
        <f t="shared" si="1283"/>
        <v>4816886.21</v>
      </c>
      <c r="W366" s="293">
        <f t="shared" si="1283"/>
        <v>4939843.17</v>
      </c>
      <c r="X366" s="293">
        <f t="shared" si="1283"/>
        <v>4946424.3670000006</v>
      </c>
      <c r="Y366" s="293">
        <f t="shared" si="1283"/>
        <v>4909207.9790000003</v>
      </c>
      <c r="Z366" s="293">
        <f t="shared" si="1283"/>
        <v>4933870.1469999999</v>
      </c>
      <c r="AA366" s="293">
        <f t="shared" si="1283"/>
        <v>5239457.4050000003</v>
      </c>
      <c r="AB366" s="293">
        <f t="shared" si="1283"/>
        <v>5483483.7459999993</v>
      </c>
      <c r="AC366" s="293">
        <f t="shared" si="1283"/>
        <v>5002263.7640000004</v>
      </c>
      <c r="AD366" s="293">
        <f t="shared" ref="AD366:AG367" si="1286">AD264</f>
        <v>5284494.4069999997</v>
      </c>
      <c r="AE366" s="293">
        <f t="shared" si="1286"/>
        <v>5130423.125</v>
      </c>
      <c r="AF366" s="293">
        <f t="shared" si="1286"/>
        <v>5047150.1230000006</v>
      </c>
      <c r="AG366" s="293">
        <f t="shared" si="1286"/>
        <v>4537641.449</v>
      </c>
      <c r="AH366" s="293">
        <f t="shared" ref="AH366:AM367" si="1287">AH264</f>
        <v>5024386.159</v>
      </c>
      <c r="AI366" s="293">
        <f t="shared" si="1287"/>
        <v>4747193.807</v>
      </c>
      <c r="AJ366" s="293">
        <f t="shared" si="1287"/>
        <v>4576849.1729999995</v>
      </c>
      <c r="AK366" s="293">
        <f t="shared" si="1287"/>
        <v>3970225.7179999999</v>
      </c>
      <c r="AL366" s="293">
        <f>AL264</f>
        <v>4145258.3050000002</v>
      </c>
      <c r="AM366" s="293">
        <f t="shared" si="1287"/>
        <v>4116288.5170000005</v>
      </c>
      <c r="AN366" s="293">
        <f t="shared" ref="AN366:AQ367" si="1288">AN264</f>
        <v>4593535.7620000001</v>
      </c>
      <c r="AO366" s="293">
        <f t="shared" si="1288"/>
        <v>4914150.3760000002</v>
      </c>
      <c r="AP366" s="293">
        <f t="shared" si="1288"/>
        <v>5355218.4369999999</v>
      </c>
      <c r="AQ366" s="293">
        <f t="shared" si="1288"/>
        <v>6103277.8389999997</v>
      </c>
      <c r="AR366" s="293">
        <f t="shared" ref="AR366:AU367" si="1289">AR264</f>
        <v>6595813.4700000007</v>
      </c>
      <c r="AS366" s="293">
        <f t="shared" si="1289"/>
        <v>6132422.5920000002</v>
      </c>
      <c r="AT366" s="293">
        <f t="shared" si="1289"/>
        <v>5938413.2259999998</v>
      </c>
      <c r="AU366" s="293">
        <f t="shared" si="1289"/>
        <v>6045698.8870000001</v>
      </c>
      <c r="AV366" s="293">
        <f t="shared" ref="AV366:AY367" si="1290">AV264</f>
        <v>5925813.4799999995</v>
      </c>
      <c r="AW366" s="293">
        <f t="shared" si="1290"/>
        <v>5552860.091</v>
      </c>
      <c r="AX366" s="293">
        <f t="shared" si="1290"/>
        <v>6000716.5529999994</v>
      </c>
      <c r="AY366" s="293">
        <f t="shared" si="1290"/>
        <v>5942744.7109999992</v>
      </c>
      <c r="AZ366" s="293">
        <f t="shared" ref="AZ366:BC367" si="1291">AZ264</f>
        <v>5507199.9299999997</v>
      </c>
      <c r="BA366" s="293">
        <f t="shared" si="1291"/>
        <v>5183118.4909999995</v>
      </c>
      <c r="BB366" s="293">
        <f t="shared" si="1291"/>
        <v>5084521.1589999991</v>
      </c>
      <c r="BC366" s="293">
        <f t="shared" si="1291"/>
        <v>4627617.6959999995</v>
      </c>
      <c r="BD366" s="293">
        <f t="shared" ref="BD366:BF367" si="1292">BD264</f>
        <v>4596727.3289999999</v>
      </c>
      <c r="BE366" s="293">
        <f t="shared" si="1292"/>
        <v>4032106.199</v>
      </c>
      <c r="BF366" s="293">
        <f t="shared" si="1292"/>
        <v>3940895.915</v>
      </c>
      <c r="BG366" s="142"/>
      <c r="BH366" s="293"/>
      <c r="BI366" s="293"/>
      <c r="BJ366" s="293"/>
      <c r="BK366" s="293"/>
      <c r="BL366" s="293">
        <f>BL264</f>
        <v>4426640.8309999993</v>
      </c>
      <c r="BM366" s="293"/>
      <c r="BN366" s="72"/>
      <c r="BO366" s="72"/>
      <c r="BP366" s="72"/>
      <c r="BQ366" s="72"/>
      <c r="BR366" s="72"/>
      <c r="BS366" s="72"/>
      <c r="BT366" s="72"/>
      <c r="BU366" s="72"/>
      <c r="BV366" s="72"/>
      <c r="BW366" s="72"/>
      <c r="BX366" s="72"/>
      <c r="BY366" s="72"/>
      <c r="BZ366" s="72"/>
      <c r="CA366" s="72"/>
      <c r="CJ366" s="6"/>
      <c r="CK366" s="6"/>
      <c r="CL366" s="6"/>
    </row>
    <row r="367" spans="2:90" ht="13.5" customHeight="1">
      <c r="B367" s="5" t="s">
        <v>459</v>
      </c>
      <c r="C367" s="293">
        <f>C265</f>
        <v>4046099.4360000002</v>
      </c>
      <c r="D367" s="293">
        <f t="shared" ref="D367:AC367" si="1293">D265</f>
        <v>4618936.142</v>
      </c>
      <c r="E367" s="293">
        <f t="shared" si="1293"/>
        <v>5024179.2050000001</v>
      </c>
      <c r="F367" s="293">
        <f t="shared" si="1293"/>
        <v>5141235.1639999999</v>
      </c>
      <c r="G367" s="293">
        <f t="shared" si="1293"/>
        <v>5264401.1960000005</v>
      </c>
      <c r="H367" s="293">
        <f t="shared" si="1293"/>
        <v>5354364.2690000003</v>
      </c>
      <c r="I367" s="293">
        <f t="shared" si="1284"/>
        <v>4900315.9239999996</v>
      </c>
      <c r="J367" s="293">
        <f t="shared" si="1284"/>
        <v>4837606.8020000001</v>
      </c>
      <c r="K367" s="293">
        <f t="shared" si="1284"/>
        <v>5186419.6379999993</v>
      </c>
      <c r="L367" s="293">
        <f t="shared" si="1285"/>
        <v>5447415.9139999999</v>
      </c>
      <c r="M367" s="293">
        <f>M265</f>
        <v>6756495.3530000001</v>
      </c>
      <c r="N367" s="293">
        <f t="shared" si="1285"/>
        <v>6630679.2350000003</v>
      </c>
      <c r="O367" s="293">
        <f>O265</f>
        <v>6821503.6819999991</v>
      </c>
      <c r="P367" s="293">
        <f>P265</f>
        <v>5616827.4409999996</v>
      </c>
      <c r="Q367" s="293"/>
      <c r="R367" s="293">
        <f t="shared" si="1293"/>
        <v>4519377.1409999998</v>
      </c>
      <c r="S367" s="293">
        <f t="shared" si="1293"/>
        <v>4712399.5199999996</v>
      </c>
      <c r="T367" s="293">
        <f t="shared" si="1293"/>
        <v>4797370.3360000001</v>
      </c>
      <c r="U367" s="293">
        <f t="shared" si="1293"/>
        <v>5024179.2050000001</v>
      </c>
      <c r="V367" s="293">
        <f t="shared" si="1293"/>
        <v>5011377.7860000003</v>
      </c>
      <c r="W367" s="293">
        <f t="shared" si="1293"/>
        <v>5116674.4409999996</v>
      </c>
      <c r="X367" s="293">
        <f t="shared" si="1293"/>
        <v>5155362.0219999999</v>
      </c>
      <c r="Y367" s="293">
        <f t="shared" si="1293"/>
        <v>5141235.1639999999</v>
      </c>
      <c r="Z367" s="293">
        <f t="shared" si="1293"/>
        <v>5152588.4920000006</v>
      </c>
      <c r="AA367" s="293">
        <f t="shared" si="1293"/>
        <v>5452820.4009999996</v>
      </c>
      <c r="AB367" s="293">
        <f t="shared" si="1293"/>
        <v>5689994.2599999998</v>
      </c>
      <c r="AC367" s="293">
        <f t="shared" si="1293"/>
        <v>5354364.2690000003</v>
      </c>
      <c r="AD367" s="293">
        <f t="shared" si="1286"/>
        <v>5578127.824</v>
      </c>
      <c r="AE367" s="293">
        <f t="shared" si="1286"/>
        <v>5323368.3379999995</v>
      </c>
      <c r="AF367" s="293">
        <f t="shared" si="1286"/>
        <v>5276287.4470000006</v>
      </c>
      <c r="AG367" s="293">
        <f t="shared" si="1286"/>
        <v>4837606.8020000001</v>
      </c>
      <c r="AH367" s="293">
        <f t="shared" si="1287"/>
        <v>5934224.2309999997</v>
      </c>
      <c r="AI367" s="293">
        <f t="shared" si="1287"/>
        <v>6178178.6289999997</v>
      </c>
      <c r="AJ367" s="293">
        <f t="shared" si="1287"/>
        <v>5790470.6270000003</v>
      </c>
      <c r="AK367" s="293">
        <f t="shared" si="1287"/>
        <v>5186419.6379999993</v>
      </c>
      <c r="AL367" s="293">
        <f>AL265</f>
        <v>5165052.3829999994</v>
      </c>
      <c r="AM367" s="293">
        <f t="shared" si="1287"/>
        <v>4931163.5070000002</v>
      </c>
      <c r="AN367" s="293">
        <f t="shared" si="1288"/>
        <v>5121129.8020000001</v>
      </c>
      <c r="AO367" s="293">
        <f t="shared" si="1288"/>
        <v>5447415.9139999999</v>
      </c>
      <c r="AP367" s="293">
        <f t="shared" si="1288"/>
        <v>5707962.6280000005</v>
      </c>
      <c r="AQ367" s="293">
        <f t="shared" si="1288"/>
        <v>6650296.6119999997</v>
      </c>
      <c r="AR367" s="293">
        <f t="shared" si="1289"/>
        <v>7254033.0109999999</v>
      </c>
      <c r="AS367" s="293">
        <f t="shared" si="1289"/>
        <v>6756495.3530000001</v>
      </c>
      <c r="AT367" s="293">
        <f t="shared" si="1289"/>
        <v>6463029.9470000006</v>
      </c>
      <c r="AU367" s="293">
        <f t="shared" si="1289"/>
        <v>6448995.6969999988</v>
      </c>
      <c r="AV367" s="293">
        <f t="shared" si="1290"/>
        <v>6575652.6629999997</v>
      </c>
      <c r="AW367" s="293">
        <f t="shared" si="1290"/>
        <v>6630679.2350000003</v>
      </c>
      <c r="AX367" s="293">
        <f t="shared" si="1290"/>
        <v>6949644.6349999998</v>
      </c>
      <c r="AY367" s="293">
        <f t="shared" si="1290"/>
        <v>6925614.4859999996</v>
      </c>
      <c r="AZ367" s="293">
        <f t="shared" si="1291"/>
        <v>6866956.7919999994</v>
      </c>
      <c r="BA367" s="293">
        <f t="shared" si="1291"/>
        <v>6821503.6819999991</v>
      </c>
      <c r="BB367" s="293">
        <f t="shared" si="1291"/>
        <v>6159450.4279999994</v>
      </c>
      <c r="BC367" s="293">
        <f t="shared" si="1291"/>
        <v>6095479.7419999996</v>
      </c>
      <c r="BD367" s="293">
        <f t="shared" si="1292"/>
        <v>5937257.6730000004</v>
      </c>
      <c r="BE367" s="293">
        <f t="shared" si="1292"/>
        <v>5616827.4409999996</v>
      </c>
      <c r="BF367" s="293">
        <f t="shared" si="1292"/>
        <v>5769459.2069999995</v>
      </c>
      <c r="BG367" s="142"/>
      <c r="BH367" s="293"/>
      <c r="BI367" s="293"/>
      <c r="BJ367" s="293"/>
      <c r="BK367" s="293"/>
      <c r="BL367" s="293">
        <f>BL265</f>
        <v>4726606.1839999994</v>
      </c>
      <c r="BM367" s="293"/>
      <c r="BN367" s="72"/>
      <c r="BO367" s="72"/>
      <c r="BP367" s="72"/>
      <c r="BQ367" s="72"/>
      <c r="BR367" s="72"/>
      <c r="BS367" s="72"/>
      <c r="BT367" s="72"/>
      <c r="BU367" s="72"/>
      <c r="BV367" s="72"/>
      <c r="BW367" s="72"/>
      <c r="BX367" s="72"/>
      <c r="BY367" s="72"/>
      <c r="BZ367" s="72"/>
      <c r="CA367" s="72"/>
      <c r="CJ367" s="6"/>
      <c r="CK367" s="6"/>
      <c r="CL367" s="6"/>
    </row>
    <row r="368" spans="2:90" ht="13.5" customHeight="1">
      <c r="C368" s="293"/>
      <c r="D368" s="293"/>
      <c r="E368" s="293"/>
      <c r="F368" s="293"/>
      <c r="G368" s="293"/>
      <c r="H368" s="293"/>
      <c r="I368" s="293"/>
      <c r="J368" s="293"/>
      <c r="K368" s="293"/>
      <c r="L368" s="293"/>
      <c r="M368" s="293"/>
      <c r="N368" s="293"/>
      <c r="O368" s="293"/>
      <c r="P368" s="293"/>
      <c r="Q368" s="293"/>
      <c r="R368" s="293"/>
      <c r="S368" s="293"/>
      <c r="T368" s="293"/>
      <c r="U368" s="293"/>
      <c r="V368" s="293"/>
      <c r="W368" s="293"/>
      <c r="X368" s="293"/>
      <c r="Y368" s="293"/>
      <c r="Z368" s="293"/>
      <c r="AA368" s="293"/>
      <c r="AB368" s="293"/>
      <c r="AC368" s="293"/>
      <c r="AD368" s="293"/>
      <c r="AE368" s="293"/>
      <c r="AF368" s="293"/>
      <c r="AG368" s="293"/>
      <c r="AH368" s="293"/>
      <c r="AI368" s="293"/>
      <c r="AJ368" s="293"/>
      <c r="AK368" s="293"/>
      <c r="AL368" s="293"/>
      <c r="AM368" s="293"/>
      <c r="AN368" s="293"/>
      <c r="AO368" s="293"/>
      <c r="AP368" s="293"/>
      <c r="AQ368" s="293"/>
      <c r="AR368" s="293"/>
      <c r="AS368" s="293"/>
      <c r="AT368" s="293"/>
      <c r="AU368" s="293"/>
      <c r="AV368" s="293"/>
      <c r="AW368" s="293"/>
      <c r="AX368" s="293"/>
      <c r="AY368" s="293"/>
      <c r="AZ368" s="293"/>
      <c r="BA368" s="293"/>
      <c r="BB368" s="293"/>
      <c r="BC368" s="293"/>
      <c r="BD368" s="293"/>
      <c r="BE368" s="293"/>
      <c r="BF368" s="293"/>
      <c r="BG368" s="142"/>
      <c r="BH368" s="293"/>
      <c r="BI368" s="293"/>
      <c r="BJ368" s="293"/>
      <c r="BK368" s="293"/>
      <c r="BL368" s="293"/>
      <c r="BM368" s="293"/>
      <c r="BN368" s="72"/>
      <c r="BO368" s="72"/>
      <c r="BP368" s="72"/>
      <c r="BQ368" s="72"/>
      <c r="BR368" s="72"/>
      <c r="BS368" s="72"/>
      <c r="BT368" s="72"/>
      <c r="BU368" s="72"/>
      <c r="BV368" s="72"/>
      <c r="BW368" s="72"/>
      <c r="BX368" s="72"/>
      <c r="BY368" s="72"/>
      <c r="BZ368" s="72"/>
      <c r="CA368" s="72"/>
      <c r="CJ368" s="6"/>
      <c r="CK368" s="6"/>
      <c r="CL368" s="6"/>
    </row>
    <row r="369" spans="1:90" s="5" customFormat="1" ht="13.5" customHeight="1">
      <c r="B369" s="5" t="str">
        <f>+B301</f>
        <v>Total Net Leverage</v>
      </c>
      <c r="C369" s="50">
        <f t="shared" ref="C369:AB369" si="1294">+C301</f>
        <v>3.0602605285662929</v>
      </c>
      <c r="D369" s="50">
        <f t="shared" si="1294"/>
        <v>3.2246219918651233</v>
      </c>
      <c r="E369" s="50">
        <f t="shared" si="1294"/>
        <v>3.3820663674056815</v>
      </c>
      <c r="F369" s="50">
        <f t="shared" si="1294"/>
        <v>3.2463165401677641</v>
      </c>
      <c r="G369" s="50">
        <f t="shared" ref="G369:J370" si="1295">+G301</f>
        <v>3.239141402066553</v>
      </c>
      <c r="H369" s="50">
        <f t="shared" si="1295"/>
        <v>3.1510533109249277</v>
      </c>
      <c r="I369" s="50">
        <f t="shared" si="1295"/>
        <v>3.4477283509679997</v>
      </c>
      <c r="J369" s="50">
        <f t="shared" si="1295"/>
        <v>3.7375429653129428</v>
      </c>
      <c r="K369" s="50">
        <f t="shared" ref="K369:M370" si="1296">+K301</f>
        <v>4.0869470759825015</v>
      </c>
      <c r="L369" s="50">
        <f t="shared" si="1296"/>
        <v>2.5286474348265786</v>
      </c>
      <c r="M369" s="50">
        <f t="shared" si="1296"/>
        <v>5.3178992951295232</v>
      </c>
      <c r="N369" s="50">
        <f t="shared" ref="N369:P370" si="1297">+N301</f>
        <v>5.2203779744670173</v>
      </c>
      <c r="O369" s="50">
        <f t="shared" si="1297"/>
        <v>2.5812413540030894</v>
      </c>
      <c r="P369" s="50">
        <f t="shared" si="1297"/>
        <v>1.2243461238357114</v>
      </c>
      <c r="Q369" s="50"/>
      <c r="R369" s="50">
        <f t="shared" si="1294"/>
        <v>3.065575485545978</v>
      </c>
      <c r="S369" s="50">
        <f t="shared" si="1294"/>
        <v>3.1807049154234575</v>
      </c>
      <c r="T369" s="50">
        <f t="shared" si="1294"/>
        <v>3.2500049213635429</v>
      </c>
      <c r="U369" s="50">
        <f t="shared" si="1294"/>
        <v>3.3820662813147355</v>
      </c>
      <c r="V369" s="50">
        <f t="shared" si="1294"/>
        <v>3.280125973342138</v>
      </c>
      <c r="W369" s="50">
        <f t="shared" si="1294"/>
        <v>3.3137951004144308</v>
      </c>
      <c r="X369" s="50">
        <f t="shared" si="1294"/>
        <v>3.3466935031204539</v>
      </c>
      <c r="Y369" s="50">
        <f t="shared" si="1294"/>
        <v>3.2463165401677641</v>
      </c>
      <c r="Z369" s="50">
        <f t="shared" si="1294"/>
        <v>3.2042192952282016</v>
      </c>
      <c r="AA369" s="50">
        <f t="shared" si="1294"/>
        <v>3.4037783170267697</v>
      </c>
      <c r="AB369" s="50">
        <f t="shared" si="1294"/>
        <v>3.5365343098881579</v>
      </c>
      <c r="AC369" s="50">
        <f t="shared" ref="AC369:AE370" si="1298">+AC301</f>
        <v>3.1510533109249286</v>
      </c>
      <c r="AD369" s="50">
        <f t="shared" si="1298"/>
        <v>2.7852053411176509</v>
      </c>
      <c r="AE369" s="50">
        <f t="shared" si="1298"/>
        <v>2.9457152631527856</v>
      </c>
      <c r="AF369" s="50">
        <f t="shared" ref="AF369:AI370" si="1299">+AF301</f>
        <v>3.0851616340488266</v>
      </c>
      <c r="AG369" s="50">
        <f t="shared" si="1299"/>
        <v>3.7375429653129437</v>
      </c>
      <c r="AH369" s="50">
        <f t="shared" si="1299"/>
        <v>4.6516452210283523</v>
      </c>
      <c r="AI369" s="50">
        <f t="shared" si="1299"/>
        <v>6.5937016869033203</v>
      </c>
      <c r="AJ369" s="50">
        <f t="shared" ref="AJ369:AM370" si="1300">+AJ301</f>
        <v>6.8748302178882694</v>
      </c>
      <c r="AK369" s="50">
        <f t="shared" si="1300"/>
        <v>4.0869470759825015</v>
      </c>
      <c r="AL369" s="50">
        <f t="shared" si="1300"/>
        <v>3.7235182581872692</v>
      </c>
      <c r="AM369" s="50">
        <f t="shared" si="1300"/>
        <v>2.5035614487329125</v>
      </c>
      <c r="AN369" s="50">
        <f t="shared" ref="AN369:AQ370" si="1301">+AN301</f>
        <v>2.4681768136491757</v>
      </c>
      <c r="AO369" s="50">
        <f t="shared" si="1301"/>
        <v>2.5286474348265795</v>
      </c>
      <c r="AP369" s="50">
        <f t="shared" si="1301"/>
        <v>2.8543158437375018</v>
      </c>
      <c r="AQ369" s="50">
        <f t="shared" si="1301"/>
        <v>3.610248267554121</v>
      </c>
      <c r="AR369" s="50">
        <f t="shared" ref="AR369:AU370" si="1302">+AR301</f>
        <v>4.7356861110409216</v>
      </c>
      <c r="AS369" s="50">
        <f t="shared" si="1302"/>
        <v>5.3178992951295259</v>
      </c>
      <c r="AT369" s="50">
        <f t="shared" si="1302"/>
        <v>5.8670525129531477</v>
      </c>
      <c r="AU369" s="50">
        <f t="shared" si="1302"/>
        <v>6.4937437603197052</v>
      </c>
      <c r="AV369" s="50">
        <f t="shared" ref="AV369:AY370" si="1303">+AV301</f>
        <v>6.3666012480243834</v>
      </c>
      <c r="AW369" s="50">
        <f t="shared" si="1303"/>
        <v>5.2203779744670165</v>
      </c>
      <c r="AX369" s="50">
        <f t="shared" si="1303"/>
        <v>4.9664964772141156</v>
      </c>
      <c r="AY369" s="50">
        <f t="shared" si="1303"/>
        <v>4.1617578343302641</v>
      </c>
      <c r="AZ369" s="50">
        <f t="shared" ref="AZ369:BC370" si="1304">+AZ301</f>
        <v>3.2924117688374657</v>
      </c>
      <c r="BA369" s="50">
        <f t="shared" si="1304"/>
        <v>2.5812413540030894</v>
      </c>
      <c r="BB369" s="50">
        <f t="shared" si="1304"/>
        <v>2.3192861340290349</v>
      </c>
      <c r="BC369" s="50">
        <f t="shared" si="1304"/>
        <v>1.8107467119811052</v>
      </c>
      <c r="BD369" s="50">
        <f t="shared" ref="BD369:BF370" si="1305">+BD301</f>
        <v>1.7320604635480636</v>
      </c>
      <c r="BE369" s="50">
        <f t="shared" si="1305"/>
        <v>1.2243461238357114</v>
      </c>
      <c r="BF369" s="50">
        <f t="shared" si="1305"/>
        <v>1.1477535968652062</v>
      </c>
      <c r="BG369" s="142"/>
      <c r="BH369" s="50"/>
      <c r="BI369" s="50"/>
      <c r="BJ369" s="50"/>
      <c r="BK369" s="50"/>
      <c r="BL369" s="50">
        <f>+BL301</f>
        <v>5.6359989709827678</v>
      </c>
      <c r="BM369" s="50"/>
      <c r="BN369" s="501"/>
      <c r="BO369" s="501"/>
      <c r="BP369" s="501"/>
      <c r="BQ369" s="501"/>
      <c r="BR369" s="501"/>
      <c r="BS369" s="501"/>
      <c r="BT369" s="501"/>
      <c r="BU369" s="501"/>
      <c r="BV369" s="501"/>
      <c r="BW369" s="501"/>
      <c r="BX369" s="501"/>
      <c r="BY369" s="501"/>
      <c r="BZ369" s="501"/>
      <c r="CA369" s="501"/>
      <c r="CJ369" s="8"/>
      <c r="CK369" s="8"/>
      <c r="CL369" s="8"/>
    </row>
    <row r="370" spans="1:90" s="5" customFormat="1" ht="13.5" customHeight="1">
      <c r="B370" s="1" t="str">
        <f>+B302</f>
        <v>Total Gross Leverage</v>
      </c>
      <c r="C370" s="51">
        <f t="shared" ref="C370:AB370" si="1306">+C302</f>
        <v>3.2960743648027364</v>
      </c>
      <c r="D370" s="51">
        <f t="shared" si="1306"/>
        <v>3.437286165067218</v>
      </c>
      <c r="E370" s="51">
        <f t="shared" si="1306"/>
        <v>3.5791670610580524</v>
      </c>
      <c r="F370" s="51">
        <f t="shared" si="1306"/>
        <v>3.4602931119895612</v>
      </c>
      <c r="G370" s="51">
        <f t="shared" si="1295"/>
        <v>3.4526450343477202</v>
      </c>
      <c r="H370" s="51">
        <f t="shared" si="1295"/>
        <v>3.4788871069183571</v>
      </c>
      <c r="I370" s="51">
        <f t="shared" si="1295"/>
        <v>3.8141841051775258</v>
      </c>
      <c r="J370" s="51">
        <f t="shared" si="1295"/>
        <v>4.1166543644499942</v>
      </c>
      <c r="K370" s="51">
        <f t="shared" si="1296"/>
        <v>6.040507870262271</v>
      </c>
      <c r="L370" s="51">
        <f t="shared" si="1296"/>
        <v>2.9610141816847166</v>
      </c>
      <c r="M370" s="51">
        <f t="shared" si="1296"/>
        <v>6.1430012134472323</v>
      </c>
      <c r="N370" s="51">
        <f t="shared" si="1297"/>
        <v>6.8095861656236929</v>
      </c>
      <c r="O370" s="51">
        <f t="shared" si="1297"/>
        <v>4.0050957265973208</v>
      </c>
      <c r="P370" s="51">
        <f t="shared" si="1297"/>
        <v>2.2787677219873923</v>
      </c>
      <c r="Q370" s="51"/>
      <c r="R370" s="51">
        <f t="shared" si="1306"/>
        <v>3.2607485678505763</v>
      </c>
      <c r="S370" s="51">
        <f t="shared" si="1306"/>
        <v>3.3566012132380982</v>
      </c>
      <c r="T370" s="51">
        <f t="shared" si="1306"/>
        <v>3.4063724617573037</v>
      </c>
      <c r="U370" s="51">
        <f t="shared" si="1306"/>
        <v>3.5791669699498825</v>
      </c>
      <c r="V370" s="51">
        <f t="shared" si="1306"/>
        <v>3.4645005912192643</v>
      </c>
      <c r="W370" s="51">
        <f t="shared" si="1306"/>
        <v>3.4793576428875115</v>
      </c>
      <c r="X370" s="51">
        <f t="shared" si="1306"/>
        <v>3.5430023390158722</v>
      </c>
      <c r="Y370" s="51">
        <f t="shared" si="1306"/>
        <v>3.4602931119895612</v>
      </c>
      <c r="Z370" s="51">
        <f t="shared" si="1306"/>
        <v>3.4043017770012929</v>
      </c>
      <c r="AA370" s="51">
        <f t="shared" si="1306"/>
        <v>3.597589043137488</v>
      </c>
      <c r="AB370" s="51">
        <f t="shared" si="1306"/>
        <v>3.7223004752212492</v>
      </c>
      <c r="AC370" s="51">
        <f t="shared" si="1298"/>
        <v>3.4788871069183576</v>
      </c>
      <c r="AD370" s="51">
        <f t="shared" si="1298"/>
        <v>3.0634176282624419</v>
      </c>
      <c r="AE370" s="51">
        <f t="shared" si="1298"/>
        <v>3.1299355326487781</v>
      </c>
      <c r="AF370" s="51">
        <f t="shared" si="1299"/>
        <v>3.3053289139592477</v>
      </c>
      <c r="AG370" s="51">
        <f t="shared" si="1299"/>
        <v>4.116654364449996</v>
      </c>
      <c r="AH370" s="51">
        <f t="shared" si="1299"/>
        <v>5.8728386860628428</v>
      </c>
      <c r="AI370" s="51">
        <f t="shared" si="1299"/>
        <v>9.4741669945151354</v>
      </c>
      <c r="AJ370" s="51">
        <f t="shared" si="1300"/>
        <v>9.4983203852929279</v>
      </c>
      <c r="AK370" s="51">
        <f t="shared" si="1300"/>
        <v>6.040507870262271</v>
      </c>
      <c r="AL370" s="51">
        <f t="shared" si="1300"/>
        <v>5.1274829660321846</v>
      </c>
      <c r="AM370" s="51">
        <f t="shared" si="1300"/>
        <v>3.2883283526440104</v>
      </c>
      <c r="AN370" s="51">
        <f t="shared" si="1301"/>
        <v>2.9023033589545109</v>
      </c>
      <c r="AO370" s="51">
        <f t="shared" si="1301"/>
        <v>2.961014181684718</v>
      </c>
      <c r="AP370" s="51">
        <f t="shared" si="1301"/>
        <v>3.1499321057781904</v>
      </c>
      <c r="AQ370" s="51">
        <f t="shared" si="1301"/>
        <v>4.1066980410945755</v>
      </c>
      <c r="AR370" s="51">
        <f t="shared" si="1302"/>
        <v>5.4481621625113483</v>
      </c>
      <c r="AS370" s="51">
        <f t="shared" si="1302"/>
        <v>6.1430012134472358</v>
      </c>
      <c r="AT370" s="51">
        <f t="shared" si="1302"/>
        <v>6.6499715235345036</v>
      </c>
      <c r="AU370" s="51">
        <f t="shared" si="1302"/>
        <v>7.1401032589343076</v>
      </c>
      <c r="AV370" s="51">
        <f t="shared" si="1303"/>
        <v>7.4143326547561372</v>
      </c>
      <c r="AW370" s="51">
        <f t="shared" si="1303"/>
        <v>6.8095861656236911</v>
      </c>
      <c r="AX370" s="51">
        <f t="shared" si="1303"/>
        <v>6.1689012546297404</v>
      </c>
      <c r="AY370" s="51">
        <f t="shared" si="1303"/>
        <v>5.244096473024082</v>
      </c>
      <c r="AZ370" s="51">
        <f t="shared" si="1304"/>
        <v>4.6277928372025512</v>
      </c>
      <c r="BA370" s="51">
        <f t="shared" si="1304"/>
        <v>4.0050957265973208</v>
      </c>
      <c r="BB370" s="51">
        <f t="shared" si="1304"/>
        <v>3.1738348202891782</v>
      </c>
      <c r="BC370" s="51">
        <f t="shared" si="1304"/>
        <v>2.900410980931198</v>
      </c>
      <c r="BD370" s="51">
        <f t="shared" si="1305"/>
        <v>2.6823086517691799</v>
      </c>
      <c r="BE370" s="51">
        <f t="shared" si="1305"/>
        <v>2.2787677219873923</v>
      </c>
      <c r="BF370" s="51">
        <f t="shared" si="1305"/>
        <v>2.3506347235326781</v>
      </c>
      <c r="BG370" s="142"/>
      <c r="BH370" s="51"/>
      <c r="BI370" s="51"/>
      <c r="BJ370" s="51"/>
      <c r="BK370" s="51"/>
      <c r="BL370" s="51">
        <f>+BL302</f>
        <v>6.2123566679266409</v>
      </c>
      <c r="BM370" s="51"/>
      <c r="BN370" s="51"/>
      <c r="BO370" s="51"/>
      <c r="BP370" s="51"/>
      <c r="BQ370" s="51"/>
      <c r="BR370" s="51"/>
      <c r="BS370" s="51"/>
      <c r="BT370" s="51"/>
      <c r="BU370" s="51"/>
      <c r="BV370" s="51"/>
      <c r="BW370" s="51"/>
      <c r="BX370" s="51"/>
      <c r="BY370" s="51"/>
      <c r="BZ370" s="51"/>
      <c r="CA370" s="51"/>
      <c r="CD370" s="262"/>
      <c r="CJ370" s="6"/>
      <c r="CK370" s="6"/>
      <c r="CL370" s="6"/>
    </row>
    <row r="371" spans="1:90" ht="12.75"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  <c r="AD371" s="50"/>
      <c r="AE371" s="50"/>
      <c r="AF371" s="50"/>
      <c r="AG371" s="50"/>
      <c r="AH371" s="50"/>
      <c r="AI371" s="50"/>
      <c r="AJ371" s="50"/>
      <c r="AK371" s="50"/>
      <c r="AL371" s="50"/>
      <c r="AM371" s="50"/>
      <c r="AN371" s="50"/>
      <c r="AO371" s="50"/>
      <c r="AP371" s="50"/>
      <c r="AQ371" s="50"/>
      <c r="AR371" s="50"/>
      <c r="AS371" s="50"/>
      <c r="AT371" s="50"/>
      <c r="AU371" s="50"/>
      <c r="AV371" s="50"/>
      <c r="AW371" s="50"/>
      <c r="AX371" s="50"/>
      <c r="AY371" s="50"/>
      <c r="AZ371" s="50"/>
      <c r="BA371" s="50"/>
      <c r="BB371" s="50"/>
      <c r="BC371" s="50"/>
      <c r="BD371" s="50"/>
      <c r="BE371" s="50"/>
      <c r="BF371" s="50"/>
      <c r="BG371" s="142"/>
      <c r="BH371" s="50"/>
      <c r="BI371" s="50"/>
      <c r="BJ371" s="50"/>
      <c r="BK371" s="50"/>
      <c r="BL371" s="50"/>
      <c r="BM371" s="50"/>
      <c r="BN371" s="50"/>
      <c r="BO371" s="50"/>
      <c r="BP371" s="50"/>
      <c r="BQ371" s="50"/>
      <c r="BR371" s="50"/>
      <c r="BS371" s="50"/>
      <c r="BT371" s="50"/>
      <c r="BU371" s="50"/>
      <c r="BV371" s="50"/>
      <c r="BW371" s="50"/>
      <c r="BX371" s="50"/>
      <c r="BY371" s="50"/>
      <c r="BZ371" s="50"/>
      <c r="CA371" s="50"/>
      <c r="CD371" s="262"/>
      <c r="CJ371" s="6"/>
      <c r="CK371" s="6"/>
      <c r="CL371" s="6"/>
    </row>
    <row r="372" spans="1:90" s="5" customFormat="1" ht="12.75">
      <c r="B372" s="5" t="str">
        <f>+B304</f>
        <v>Total Net Leverage- including finance leases</v>
      </c>
      <c r="C372" s="50">
        <f t="shared" ref="C372:AB372" si="1307">+C304</f>
        <v>3.1725479476524665</v>
      </c>
      <c r="D372" s="50">
        <f t="shared" si="1307"/>
        <v>3.3157467991362464</v>
      </c>
      <c r="E372" s="50">
        <f t="shared" si="1307"/>
        <v>3.4871394549664436</v>
      </c>
      <c r="F372" s="50">
        <f t="shared" si="1307"/>
        <v>3.3280489362785519</v>
      </c>
      <c r="G372" s="50">
        <f t="shared" ref="G372:J373" si="1308">+G304</f>
        <v>3.3206931499804746</v>
      </c>
      <c r="H372" s="50">
        <f t="shared" si="1308"/>
        <v>3.2071521682570756</v>
      </c>
      <c r="I372" s="50">
        <f t="shared" si="1308"/>
        <v>3.5172718511075365</v>
      </c>
      <c r="J372" s="50">
        <f t="shared" si="1308"/>
        <v>4.9802317129835156</v>
      </c>
      <c r="K372" s="50">
        <f t="shared" ref="K372:M373" si="1309">+K304</f>
        <v>5.5864964994375192</v>
      </c>
      <c r="L372" s="50">
        <f t="shared" si="1309"/>
        <v>3.3999165576357195</v>
      </c>
      <c r="M372" s="50">
        <f t="shared" si="1309"/>
        <v>6.8773222220329071</v>
      </c>
      <c r="N372" s="50">
        <f t="shared" ref="N372:P373" si="1310">+N304</f>
        <v>6.9979600800588111</v>
      </c>
      <c r="O372" s="50">
        <f t="shared" si="1310"/>
        <v>3.7972298808799221</v>
      </c>
      <c r="P372" s="50">
        <f t="shared" si="1310"/>
        <v>2.1878537215753928</v>
      </c>
      <c r="Q372" s="50"/>
      <c r="R372" s="50">
        <f t="shared" si="1307"/>
        <v>3.1464097938774831</v>
      </c>
      <c r="S372" s="50">
        <f t="shared" si="1307"/>
        <v>3.2689135588683307</v>
      </c>
      <c r="T372" s="50">
        <f t="shared" si="1307"/>
        <v>3.3190325431577929</v>
      </c>
      <c r="U372" s="50">
        <f t="shared" si="1307"/>
        <v>3.4871393662008483</v>
      </c>
      <c r="V372" s="50">
        <f t="shared" si="1307"/>
        <v>3.34219929831072</v>
      </c>
      <c r="W372" s="50">
        <f t="shared" si="1307"/>
        <v>3.4089444305796297</v>
      </c>
      <c r="X372" s="50">
        <f t="shared" si="1307"/>
        <v>3.4343380097114573</v>
      </c>
      <c r="Y372" s="50">
        <f t="shared" si="1307"/>
        <v>3.3280489362785519</v>
      </c>
      <c r="Z372" s="50">
        <f t="shared" si="1307"/>
        <v>3.2789588001731196</v>
      </c>
      <c r="AA372" s="50">
        <f t="shared" si="1307"/>
        <v>3.4687397516955021</v>
      </c>
      <c r="AB372" s="50">
        <f t="shared" si="1307"/>
        <v>3.600308073316461</v>
      </c>
      <c r="AC372" s="50">
        <f t="shared" ref="AC372:AE373" si="1311">+AC304</f>
        <v>3.2071521682570765</v>
      </c>
      <c r="AD372" s="50">
        <f t="shared" si="1311"/>
        <v>3.7663637286922822</v>
      </c>
      <c r="AE372" s="50">
        <f t="shared" si="1311"/>
        <v>3.8714019120012035</v>
      </c>
      <c r="AF372" s="50">
        <f t="shared" ref="AF372:AI373" si="1312">+AF304</f>
        <v>4.0111984868210602</v>
      </c>
      <c r="AG372" s="50">
        <f t="shared" si="1312"/>
        <v>4.9802317129835174</v>
      </c>
      <c r="AH372" s="50">
        <f t="shared" si="1312"/>
        <v>5.9578044268856223</v>
      </c>
      <c r="AI372" s="50">
        <f t="shared" si="1312"/>
        <v>8.5937288191211358</v>
      </c>
      <c r="AJ372" s="50">
        <f t="shared" ref="AJ372:AM373" si="1313">+AJ304</f>
        <v>8.9388276116343484</v>
      </c>
      <c r="AK372" s="50">
        <f t="shared" si="1313"/>
        <v>5.5864964994375192</v>
      </c>
      <c r="AL372" s="50">
        <f t="shared" si="1313"/>
        <v>5.0087764741760816</v>
      </c>
      <c r="AM372" s="50">
        <f t="shared" si="1313"/>
        <v>3.4059610352554408</v>
      </c>
      <c r="AN372" s="50">
        <f t="shared" ref="AN372:AQ373" si="1314">+AN304</f>
        <v>3.270492458787015</v>
      </c>
      <c r="AO372" s="50">
        <f t="shared" si="1314"/>
        <v>3.3999165576357209</v>
      </c>
      <c r="AP372" s="50">
        <f t="shared" si="1314"/>
        <v>3.7746676713153491</v>
      </c>
      <c r="AQ372" s="50">
        <f t="shared" si="1314"/>
        <v>4.6775726147228376</v>
      </c>
      <c r="AR372" s="50">
        <f t="shared" ref="AR372:AU373" si="1315">+AR304</f>
        <v>6.0306236431425244</v>
      </c>
      <c r="AS372" s="50">
        <f t="shared" si="1315"/>
        <v>6.8773222220329098</v>
      </c>
      <c r="AT372" s="50">
        <f t="shared" si="1315"/>
        <v>7.5706698922538544</v>
      </c>
      <c r="AU372" s="50">
        <f t="shared" si="1315"/>
        <v>8.3525635999257943</v>
      </c>
      <c r="AV372" s="50">
        <f t="shared" ref="AV372:AY373" si="1316">+AV304</f>
        <v>8.3064172321773579</v>
      </c>
      <c r="AW372" s="50">
        <f t="shared" si="1316"/>
        <v>6.9979600800588093</v>
      </c>
      <c r="AX372" s="50">
        <f t="shared" si="1316"/>
        <v>6.5595842512195333</v>
      </c>
      <c r="AY372" s="50">
        <f t="shared" si="1316"/>
        <v>5.611734954370931</v>
      </c>
      <c r="AZ372" s="50">
        <f t="shared" ref="AZ372:BC373" si="1317">+AZ304</f>
        <v>4.5663032298732054</v>
      </c>
      <c r="BA372" s="50">
        <f t="shared" si="1317"/>
        <v>3.7972298808799221</v>
      </c>
      <c r="BB372" s="50">
        <f t="shared" si="1317"/>
        <v>3.4173264115921191</v>
      </c>
      <c r="BC372" s="50">
        <f t="shared" si="1317"/>
        <v>2.8787711959591187</v>
      </c>
      <c r="BD372" s="50">
        <f t="shared" ref="BD372:BF373" si="1318">+BD304</f>
        <v>2.7312888979154164</v>
      </c>
      <c r="BE372" s="50">
        <f t="shared" si="1318"/>
        <v>2.1878537215753928</v>
      </c>
      <c r="BF372" s="50">
        <f t="shared" si="1318"/>
        <v>2.1023346611946749</v>
      </c>
      <c r="BG372" s="142"/>
      <c r="BH372" s="50"/>
      <c r="BI372" s="50"/>
      <c r="BJ372" s="50"/>
      <c r="BK372" s="50"/>
      <c r="BL372" s="50">
        <f>+BL304</f>
        <v>7.6257067389042588</v>
      </c>
      <c r="BM372" s="50"/>
      <c r="BN372" s="50"/>
      <c r="BO372" s="50"/>
      <c r="BP372" s="50"/>
      <c r="BQ372" s="50"/>
      <c r="BR372" s="50"/>
      <c r="BS372" s="50"/>
      <c r="BT372" s="50"/>
      <c r="BU372" s="50"/>
      <c r="BV372" s="50"/>
      <c r="BW372" s="50"/>
      <c r="BX372" s="50"/>
      <c r="BY372" s="50"/>
      <c r="BZ372" s="50"/>
      <c r="CA372" s="50"/>
      <c r="CD372" s="262"/>
      <c r="CJ372" s="8"/>
      <c r="CK372" s="8"/>
      <c r="CL372" s="8"/>
    </row>
    <row r="373" spans="1:90" s="5" customFormat="1" ht="12.75">
      <c r="B373" s="5" t="str">
        <f>+B305</f>
        <v>Total Gross Leverage - including finance leases</v>
      </c>
      <c r="C373" s="50">
        <f t="shared" ref="C373:AB373" si="1319">+C305</f>
        <v>3.40836178388891</v>
      </c>
      <c r="D373" s="50">
        <f t="shared" si="1319"/>
        <v>3.528410972338341</v>
      </c>
      <c r="E373" s="50">
        <f t="shared" si="1319"/>
        <v>3.6842401486188145</v>
      </c>
      <c r="F373" s="50">
        <f t="shared" si="1319"/>
        <v>3.5420255081003491</v>
      </c>
      <c r="G373" s="50">
        <f t="shared" si="1308"/>
        <v>3.5341967822616422</v>
      </c>
      <c r="H373" s="50">
        <f t="shared" si="1308"/>
        <v>3.5349859642505046</v>
      </c>
      <c r="I373" s="50">
        <f t="shared" si="1308"/>
        <v>3.8837276053170626</v>
      </c>
      <c r="J373" s="50">
        <f t="shared" si="1308"/>
        <v>5.3593431121205679</v>
      </c>
      <c r="K373" s="50">
        <f t="shared" si="1309"/>
        <v>7.5400572937172887</v>
      </c>
      <c r="L373" s="50">
        <f t="shared" si="1309"/>
        <v>3.832283304493858</v>
      </c>
      <c r="M373" s="50">
        <f t="shared" si="1309"/>
        <v>7.7024241403506162</v>
      </c>
      <c r="N373" s="50">
        <f t="shared" si="1310"/>
        <v>8.5871682712154858</v>
      </c>
      <c r="O373" s="50">
        <f t="shared" si="1310"/>
        <v>5.2210842534741522</v>
      </c>
      <c r="P373" s="50">
        <f t="shared" si="1310"/>
        <v>3.2422753197270731</v>
      </c>
      <c r="Q373" s="50"/>
      <c r="R373" s="50">
        <f t="shared" si="1319"/>
        <v>3.3415828761820814</v>
      </c>
      <c r="S373" s="50">
        <f t="shared" si="1319"/>
        <v>3.4448098566829715</v>
      </c>
      <c r="T373" s="50">
        <f t="shared" si="1319"/>
        <v>3.4754000835515537</v>
      </c>
      <c r="U373" s="50">
        <f t="shared" si="1319"/>
        <v>3.6842400548359953</v>
      </c>
      <c r="V373" s="50">
        <f t="shared" si="1319"/>
        <v>3.526573916187846</v>
      </c>
      <c r="W373" s="50">
        <f t="shared" si="1319"/>
        <v>3.5745069730527104</v>
      </c>
      <c r="X373" s="50">
        <f t="shared" si="1319"/>
        <v>3.6306468456068761</v>
      </c>
      <c r="Y373" s="50">
        <f t="shared" si="1319"/>
        <v>3.5420255081003491</v>
      </c>
      <c r="Z373" s="50">
        <f t="shared" si="1319"/>
        <v>3.4790412819462109</v>
      </c>
      <c r="AA373" s="50">
        <f t="shared" si="1319"/>
        <v>3.6625504778062203</v>
      </c>
      <c r="AB373" s="50">
        <f t="shared" si="1319"/>
        <v>3.7860742386495523</v>
      </c>
      <c r="AC373" s="50">
        <f t="shared" si="1311"/>
        <v>3.5349859642505055</v>
      </c>
      <c r="AD373" s="50">
        <f t="shared" si="1311"/>
        <v>4.0445760158370732</v>
      </c>
      <c r="AE373" s="50">
        <f t="shared" si="1311"/>
        <v>4.0556221814971964</v>
      </c>
      <c r="AF373" s="50">
        <f t="shared" si="1312"/>
        <v>4.2313657667314812</v>
      </c>
      <c r="AG373" s="50">
        <f t="shared" si="1312"/>
        <v>5.3593431121205688</v>
      </c>
      <c r="AH373" s="50">
        <f t="shared" si="1312"/>
        <v>7.1789978919201127</v>
      </c>
      <c r="AI373" s="50">
        <f t="shared" si="1312"/>
        <v>11.474194126732952</v>
      </c>
      <c r="AJ373" s="50">
        <f t="shared" si="1313"/>
        <v>11.562317779039008</v>
      </c>
      <c r="AK373" s="50">
        <f t="shared" si="1313"/>
        <v>7.5400572937172887</v>
      </c>
      <c r="AL373" s="50">
        <f t="shared" si="1313"/>
        <v>6.4127411820209961</v>
      </c>
      <c r="AM373" s="50">
        <f t="shared" si="1313"/>
        <v>4.1907279391665391</v>
      </c>
      <c r="AN373" s="50">
        <f t="shared" si="1314"/>
        <v>3.7046190040923501</v>
      </c>
      <c r="AO373" s="50">
        <f t="shared" si="1314"/>
        <v>3.8322833044938593</v>
      </c>
      <c r="AP373" s="50">
        <f t="shared" si="1314"/>
        <v>4.0702839333560377</v>
      </c>
      <c r="AQ373" s="50">
        <f t="shared" si="1314"/>
        <v>5.1740223882632925</v>
      </c>
      <c r="AR373" s="50">
        <f t="shared" si="1315"/>
        <v>6.7430996946129511</v>
      </c>
      <c r="AS373" s="50">
        <f t="shared" si="1315"/>
        <v>7.7024241403506197</v>
      </c>
      <c r="AT373" s="50">
        <f t="shared" si="1315"/>
        <v>8.353588902835213</v>
      </c>
      <c r="AU373" s="50">
        <f t="shared" si="1315"/>
        <v>8.998923098540395</v>
      </c>
      <c r="AV373" s="50">
        <f t="shared" si="1316"/>
        <v>9.3541486389091126</v>
      </c>
      <c r="AW373" s="50">
        <f t="shared" si="1316"/>
        <v>8.587168271215484</v>
      </c>
      <c r="AX373" s="50">
        <f t="shared" si="1316"/>
        <v>7.7619890286351589</v>
      </c>
      <c r="AY373" s="50">
        <f t="shared" si="1316"/>
        <v>6.6940735930647497</v>
      </c>
      <c r="AZ373" s="50">
        <f t="shared" si="1317"/>
        <v>5.9016842982382904</v>
      </c>
      <c r="BA373" s="50">
        <f t="shared" si="1317"/>
        <v>5.2210842534741522</v>
      </c>
      <c r="BB373" s="50">
        <f t="shared" si="1317"/>
        <v>4.2718750978522628</v>
      </c>
      <c r="BC373" s="50">
        <f t="shared" si="1317"/>
        <v>3.968435464909212</v>
      </c>
      <c r="BD373" s="50">
        <f t="shared" si="1318"/>
        <v>3.6815370861365326</v>
      </c>
      <c r="BE373" s="50">
        <f t="shared" si="1318"/>
        <v>3.2422753197270731</v>
      </c>
      <c r="BF373" s="50">
        <f t="shared" si="1318"/>
        <v>3.3052157878621466</v>
      </c>
      <c r="BG373" s="142"/>
      <c r="BH373" s="50"/>
      <c r="BI373" s="50"/>
      <c r="BJ373" s="50"/>
      <c r="BK373" s="50"/>
      <c r="BL373" s="50">
        <f>+BL305</f>
        <v>8.2020644358481327</v>
      </c>
      <c r="BM373" s="50"/>
      <c r="BN373" s="50"/>
      <c r="BO373" s="50"/>
      <c r="BP373" s="50"/>
      <c r="BQ373" s="50"/>
      <c r="BR373" s="50"/>
      <c r="BS373" s="50"/>
      <c r="BT373" s="50"/>
      <c r="BU373" s="50"/>
      <c r="BV373" s="50"/>
      <c r="BW373" s="50"/>
      <c r="BX373" s="50"/>
      <c r="BY373" s="50"/>
      <c r="BZ373" s="50"/>
      <c r="CA373" s="50"/>
      <c r="CD373" s="262"/>
      <c r="CJ373" s="8"/>
      <c r="CK373" s="8"/>
      <c r="CL373" s="8"/>
    </row>
    <row r="374" spans="1:90" ht="12.75"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  <c r="AG374" s="51"/>
      <c r="AH374" s="51"/>
      <c r="AI374" s="51"/>
      <c r="AJ374" s="51"/>
      <c r="AK374" s="51"/>
      <c r="AL374" s="51"/>
      <c r="AM374" s="51"/>
      <c r="AN374" s="51"/>
      <c r="AO374" s="51"/>
      <c r="AP374" s="51"/>
      <c r="AQ374" s="51"/>
      <c r="AR374" s="51"/>
      <c r="AS374" s="51"/>
      <c r="AT374" s="51"/>
      <c r="AU374" s="51"/>
      <c r="AV374" s="51"/>
      <c r="AW374" s="51"/>
      <c r="AX374" s="51"/>
      <c r="AY374" s="51"/>
      <c r="AZ374" s="51"/>
      <c r="BA374" s="51"/>
      <c r="BB374" s="51"/>
      <c r="BC374" s="51"/>
      <c r="BD374" s="51"/>
      <c r="BE374" s="51"/>
      <c r="BF374" s="51"/>
      <c r="BG374" s="142"/>
      <c r="BH374" s="51"/>
      <c r="BI374" s="51"/>
      <c r="BJ374" s="51"/>
      <c r="BK374" s="51"/>
      <c r="BL374" s="51"/>
      <c r="BM374" s="51"/>
      <c r="BN374" s="51"/>
      <c r="BO374" s="51"/>
      <c r="BP374" s="51"/>
      <c r="BQ374" s="51"/>
      <c r="BR374" s="51"/>
      <c r="BS374" s="51"/>
      <c r="BT374" s="51"/>
      <c r="BU374" s="51"/>
      <c r="BV374" s="51"/>
      <c r="BW374" s="51"/>
      <c r="BX374" s="51"/>
      <c r="BY374" s="51"/>
      <c r="BZ374" s="51"/>
      <c r="CA374" s="51"/>
      <c r="CD374" s="262"/>
      <c r="CJ374" s="6"/>
      <c r="CK374" s="6"/>
      <c r="CL374" s="6"/>
    </row>
    <row r="375" spans="1:90" s="5" customFormat="1" ht="12.75">
      <c r="B375" s="5" t="str">
        <f>+B307</f>
        <v>Lease adjusted net leverage</v>
      </c>
      <c r="C375" s="502">
        <f t="shared" ref="C375:AB375" si="1320">+C307</f>
        <v>3.7602124023706551</v>
      </c>
      <c r="D375" s="502">
        <f t="shared" si="1320"/>
        <v>3.9310964805810782</v>
      </c>
      <c r="E375" s="502">
        <f t="shared" si="1320"/>
        <v>4.0904979023620482</v>
      </c>
      <c r="F375" s="502">
        <f t="shared" si="1320"/>
        <v>3.9371008650889325</v>
      </c>
      <c r="G375" s="502">
        <f t="shared" ref="G375:J376" si="1321">+G307</f>
        <v>3.9790825050374172</v>
      </c>
      <c r="H375" s="502">
        <f t="shared" si="1321"/>
        <v>3.9427156989547036</v>
      </c>
      <c r="I375" s="502">
        <f t="shared" si="1321"/>
        <v>4.3302680249394063</v>
      </c>
      <c r="J375" s="502">
        <f t="shared" si="1321"/>
        <v>5.240541527687169</v>
      </c>
      <c r="K375" s="502">
        <f t="shared" ref="K375:M376" si="1322">+K307</f>
        <v>5.8036195593827378</v>
      </c>
      <c r="L375" s="502">
        <f t="shared" si="1322"/>
        <v>3.7130917822926457</v>
      </c>
      <c r="M375" s="502">
        <f t="shared" si="1322"/>
        <v>7.026984659537332</v>
      </c>
      <c r="N375" s="502">
        <f t="shared" ref="N375:P376" si="1323">+N307</f>
        <v>7.1276697017433159</v>
      </c>
      <c r="O375" s="502">
        <f t="shared" si="1323"/>
        <v>4.138583440276034</v>
      </c>
      <c r="P375" s="502">
        <f t="shared" si="1323"/>
        <v>2.5265105870224067</v>
      </c>
      <c r="Q375" s="502"/>
      <c r="R375" s="502">
        <f t="shared" si="1320"/>
        <v>3.790378045893176</v>
      </c>
      <c r="S375" s="502">
        <f t="shared" si="1320"/>
        <v>3.901441939161796</v>
      </c>
      <c r="T375" s="502">
        <f t="shared" si="1320"/>
        <v>3.9393451096588139</v>
      </c>
      <c r="U375" s="502">
        <f t="shared" si="1320"/>
        <v>4.0904978121590299</v>
      </c>
      <c r="V375" s="502">
        <f t="shared" si="1320"/>
        <v>3.9603315484716073</v>
      </c>
      <c r="W375" s="502">
        <f t="shared" si="1320"/>
        <v>4.0147531958665397</v>
      </c>
      <c r="X375" s="502">
        <f t="shared" si="1320"/>
        <v>4.0355083753706653</v>
      </c>
      <c r="Y375" s="502">
        <f t="shared" si="1320"/>
        <v>3.9371008650889325</v>
      </c>
      <c r="Z375" s="502">
        <f t="shared" si="1320"/>
        <v>3.9100935757885713</v>
      </c>
      <c r="AA375" s="502">
        <f t="shared" si="1320"/>
        <v>4.0981902011855045</v>
      </c>
      <c r="AB375" s="502">
        <f t="shared" si="1320"/>
        <v>4.2284381187950224</v>
      </c>
      <c r="AC375" s="502">
        <f t="shared" ref="AC375:AE376" si="1324">+AC307</f>
        <v>3.9427156989547045</v>
      </c>
      <c r="AD375" s="502">
        <f t="shared" si="1324"/>
        <v>4.3347512527901682</v>
      </c>
      <c r="AE375" s="502">
        <f t="shared" si="1324"/>
        <v>4.3411216351914064</v>
      </c>
      <c r="AF375" s="502">
        <f t="shared" ref="AF375:AI376" si="1325">+AF307</f>
        <v>4.3895594488254259</v>
      </c>
      <c r="AG375" s="502">
        <f t="shared" si="1325"/>
        <v>5.2405415276871699</v>
      </c>
      <c r="AH375" s="502">
        <f t="shared" si="1325"/>
        <v>6.1404950469158335</v>
      </c>
      <c r="AI375" s="502">
        <f t="shared" si="1325"/>
        <v>8.5299957155187212</v>
      </c>
      <c r="AJ375" s="502">
        <f t="shared" ref="AJ375:AM376" si="1326">+AJ307</f>
        <v>8.8387102587039212</v>
      </c>
      <c r="AK375" s="502">
        <f t="shared" si="1326"/>
        <v>5.803619559382736</v>
      </c>
      <c r="AL375" s="502">
        <f t="shared" si="1326"/>
        <v>5.2488356338869568</v>
      </c>
      <c r="AM375" s="502">
        <f t="shared" si="1326"/>
        <v>3.7056218937614123</v>
      </c>
      <c r="AN375" s="502">
        <f t="shared" ref="AN375:AQ376" si="1327">+AN307</f>
        <v>3.5535437396696619</v>
      </c>
      <c r="AO375" s="502">
        <f t="shared" si="1327"/>
        <v>3.7130917822926461</v>
      </c>
      <c r="AP375" s="502">
        <f t="shared" si="1327"/>
        <v>4.1205487984868245</v>
      </c>
      <c r="AQ375" s="502">
        <f t="shared" si="1327"/>
        <v>5.0005697784582885</v>
      </c>
      <c r="AR375" s="502">
        <f t="shared" ref="AR375:AU376" si="1328">+AR307</f>
        <v>6.2703674598090462</v>
      </c>
      <c r="AS375" s="502">
        <f t="shared" si="1328"/>
        <v>7.0269846595373346</v>
      </c>
      <c r="AT375" s="502">
        <f t="shared" si="1328"/>
        <v>7.6303500248238958</v>
      </c>
      <c r="AU375" s="502">
        <f t="shared" si="1328"/>
        <v>8.302084729427726</v>
      </c>
      <c r="AV375" s="502">
        <f t="shared" ref="AV375:AY376" si="1329">+AV307</f>
        <v>8.265074475525708</v>
      </c>
      <c r="AW375" s="502">
        <f t="shared" si="1329"/>
        <v>7.1276697017433159</v>
      </c>
      <c r="AX375" s="502">
        <f t="shared" si="1329"/>
        <v>6.7258648664752432</v>
      </c>
      <c r="AY375" s="502">
        <f t="shared" si="1329"/>
        <v>5.8610389618241179</v>
      </c>
      <c r="AZ375" s="502">
        <f t="shared" ref="AZ375:BC376" si="1330">+AZ307</f>
        <v>4.8933452160446942</v>
      </c>
      <c r="BA375" s="502">
        <f t="shared" si="1330"/>
        <v>4.138583440276034</v>
      </c>
      <c r="BB375" s="502">
        <f t="shared" si="1330"/>
        <v>3.7492922933306065</v>
      </c>
      <c r="BC375" s="502">
        <f t="shared" si="1330"/>
        <v>3.2118644090736015</v>
      </c>
      <c r="BD375" s="502">
        <f t="shared" ref="BD375:BF376" si="1331">+BD307</f>
        <v>3.0569996958886296</v>
      </c>
      <c r="BE375" s="502">
        <f t="shared" si="1331"/>
        <v>2.5265105870224063</v>
      </c>
      <c r="BF375" s="502">
        <f t="shared" si="1331"/>
        <v>2.4427830778379529</v>
      </c>
      <c r="BG375" s="142"/>
      <c r="BH375" s="502"/>
      <c r="BI375" s="502"/>
      <c r="BJ375" s="502"/>
      <c r="BK375" s="502"/>
      <c r="BL375" s="502">
        <f>+BL307</f>
        <v>7.6627876209138481</v>
      </c>
      <c r="BM375" s="502"/>
      <c r="BN375" s="503"/>
      <c r="BO375" s="503"/>
      <c r="BP375" s="503"/>
      <c r="BQ375" s="503"/>
      <c r="BR375" s="503"/>
      <c r="BS375" s="503"/>
      <c r="BT375" s="503"/>
      <c r="BU375" s="503"/>
      <c r="BV375" s="503"/>
      <c r="BW375" s="503"/>
      <c r="BX375" s="503"/>
      <c r="BY375" s="503"/>
      <c r="BZ375" s="503"/>
      <c r="CA375" s="503"/>
      <c r="CD375" s="262"/>
      <c r="CJ375" s="8"/>
      <c r="CK375" s="8"/>
      <c r="CL375" s="8"/>
    </row>
    <row r="376" spans="1:90" ht="12.75">
      <c r="B376" s="1" t="str">
        <f>+B308</f>
        <v>Lease adjusted gross leverage</v>
      </c>
      <c r="C376" s="51">
        <f t="shared" ref="C376:AB376" si="1332">+C308</f>
        <v>3.9673197060544854</v>
      </c>
      <c r="D376" s="51">
        <f t="shared" si="1332"/>
        <v>4.115823899380036</v>
      </c>
      <c r="E376" s="51">
        <f t="shared" si="1332"/>
        <v>4.2612467140282657</v>
      </c>
      <c r="F376" s="51">
        <f t="shared" si="1332"/>
        <v>4.1231827004268053</v>
      </c>
      <c r="G376" s="51">
        <f t="shared" si="1321"/>
        <v>4.162545679775322</v>
      </c>
      <c r="H376" s="51">
        <f t="shared" si="1321"/>
        <v>4.2202364883749111</v>
      </c>
      <c r="I376" s="51">
        <f t="shared" si="1321"/>
        <v>4.6302626607952293</v>
      </c>
      <c r="J376" s="51">
        <f t="shared" si="1321"/>
        <v>5.5869727975289658</v>
      </c>
      <c r="K376" s="51">
        <f t="shared" si="1322"/>
        <v>7.5814345561759149</v>
      </c>
      <c r="L376" s="51">
        <f t="shared" si="1322"/>
        <v>4.1160228559118028</v>
      </c>
      <c r="M376" s="51">
        <f t="shared" si="1322"/>
        <v>7.7420935177727337</v>
      </c>
      <c r="N376" s="51">
        <f t="shared" si="1323"/>
        <v>8.5111619437141073</v>
      </c>
      <c r="O376" s="51">
        <f t="shared" si="1323"/>
        <v>5.4467908123513498</v>
      </c>
      <c r="P376" s="51">
        <f t="shared" si="1323"/>
        <v>3.5194941042683761</v>
      </c>
      <c r="Q376" s="51"/>
      <c r="R376" s="51">
        <f t="shared" si="1332"/>
        <v>3.9596558087920153</v>
      </c>
      <c r="S376" s="51">
        <f t="shared" si="1332"/>
        <v>4.0538215666004671</v>
      </c>
      <c r="T376" s="51">
        <f t="shared" si="1332"/>
        <v>4.0749911322908297</v>
      </c>
      <c r="U376" s="51">
        <f t="shared" si="1332"/>
        <v>4.2612466200599215</v>
      </c>
      <c r="V376" s="51">
        <f t="shared" si="1332"/>
        <v>4.1202379881848188</v>
      </c>
      <c r="W376" s="51">
        <f t="shared" si="1332"/>
        <v>4.1584690762993173</v>
      </c>
      <c r="X376" s="51">
        <f t="shared" si="1332"/>
        <v>4.2059688118645493</v>
      </c>
      <c r="Y376" s="51">
        <f t="shared" si="1332"/>
        <v>4.1231827004268053</v>
      </c>
      <c r="Z376" s="51">
        <f t="shared" si="1332"/>
        <v>4.0834279299996599</v>
      </c>
      <c r="AA376" s="51">
        <f t="shared" si="1332"/>
        <v>4.265078119516196</v>
      </c>
      <c r="AB376" s="51">
        <f t="shared" si="1332"/>
        <v>4.387683038590132</v>
      </c>
      <c r="AC376" s="51">
        <f t="shared" si="1324"/>
        <v>4.2202364883749119</v>
      </c>
      <c r="AD376" s="51">
        <f t="shared" si="1324"/>
        <v>4.5756121042115989</v>
      </c>
      <c r="AE376" s="51">
        <f t="shared" si="1324"/>
        <v>4.5043827577447075</v>
      </c>
      <c r="AF376" s="51">
        <f t="shared" si="1325"/>
        <v>4.5888425850767653</v>
      </c>
      <c r="AG376" s="51">
        <f t="shared" si="1325"/>
        <v>5.5869727975289667</v>
      </c>
      <c r="AH376" s="51">
        <f t="shared" si="1325"/>
        <v>7.2524430536596851</v>
      </c>
      <c r="AI376" s="51">
        <f t="shared" si="1325"/>
        <v>11.101260950705342</v>
      </c>
      <c r="AJ376" s="51">
        <f t="shared" si="1326"/>
        <v>11.182429264987412</v>
      </c>
      <c r="AK376" s="51">
        <f t="shared" si="1326"/>
        <v>7.581434556175914</v>
      </c>
      <c r="AL376" s="51">
        <f t="shared" si="1326"/>
        <v>6.5401258508022302</v>
      </c>
      <c r="AM376" s="51">
        <f t="shared" si="1326"/>
        <v>4.4391998709007172</v>
      </c>
      <c r="AN376" s="51">
        <f t="shared" si="1327"/>
        <v>3.9616887057845518</v>
      </c>
      <c r="AO376" s="51">
        <f t="shared" si="1327"/>
        <v>4.1160228559118037</v>
      </c>
      <c r="AP376" s="51">
        <f t="shared" si="1327"/>
        <v>4.3919662335546112</v>
      </c>
      <c r="AQ376" s="51">
        <f t="shared" si="1327"/>
        <v>5.4487560836980515</v>
      </c>
      <c r="AR376" s="51">
        <f t="shared" si="1328"/>
        <v>6.8961095930681369</v>
      </c>
      <c r="AS376" s="51">
        <f t="shared" si="1328"/>
        <v>7.7420935177727372</v>
      </c>
      <c r="AT376" s="51">
        <f t="shared" si="1328"/>
        <v>8.3044373706790342</v>
      </c>
      <c r="AU376" s="51">
        <f t="shared" si="1328"/>
        <v>8.855900648862205</v>
      </c>
      <c r="AV376" s="51">
        <f t="shared" si="1329"/>
        <v>9.1714427341179086</v>
      </c>
      <c r="AW376" s="51">
        <f t="shared" si="1329"/>
        <v>8.5111619437141073</v>
      </c>
      <c r="AX376" s="51">
        <f t="shared" si="1329"/>
        <v>7.7894648534375905</v>
      </c>
      <c r="AY376" s="51">
        <f t="shared" si="1329"/>
        <v>6.8303954335923551</v>
      </c>
      <c r="AZ376" s="51">
        <f t="shared" si="1330"/>
        <v>6.1015380944992899</v>
      </c>
      <c r="BA376" s="51">
        <f t="shared" si="1330"/>
        <v>5.4467908123513498</v>
      </c>
      <c r="BB376" s="51">
        <f t="shared" si="1330"/>
        <v>4.5419380308753095</v>
      </c>
      <c r="BC376" s="51">
        <f t="shared" si="1330"/>
        <v>4.2306551071583902</v>
      </c>
      <c r="BD376" s="51">
        <f t="shared" si="1331"/>
        <v>3.9485037074674469</v>
      </c>
      <c r="BE376" s="51">
        <f t="shared" si="1331"/>
        <v>3.5194941042683756</v>
      </c>
      <c r="BF376" s="51">
        <f t="shared" si="1331"/>
        <v>3.5762267319704062</v>
      </c>
      <c r="BG376" s="143"/>
      <c r="BH376" s="51"/>
      <c r="BI376" s="51"/>
      <c r="BJ376" s="51"/>
      <c r="BK376" s="51"/>
      <c r="BL376" s="51">
        <f>+BL308</f>
        <v>8.1820461018763062</v>
      </c>
      <c r="BM376" s="51"/>
      <c r="BN376" s="51"/>
      <c r="BO376" s="51"/>
      <c r="BP376" s="51"/>
      <c r="BQ376" s="51"/>
      <c r="BR376" s="51"/>
      <c r="BS376" s="51"/>
      <c r="BT376" s="51"/>
      <c r="BU376" s="51"/>
      <c r="BV376" s="51"/>
      <c r="BW376" s="51"/>
      <c r="BX376" s="51"/>
      <c r="BY376" s="51"/>
      <c r="BZ376" s="51"/>
      <c r="CA376" s="51"/>
      <c r="CD376" s="346"/>
      <c r="CJ376" s="6"/>
      <c r="CK376" s="6"/>
      <c r="CL376" s="6"/>
    </row>
    <row r="377" spans="1:90" ht="12.75"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  <c r="AG377" s="51"/>
      <c r="AH377" s="51"/>
      <c r="AI377" s="51"/>
      <c r="AJ377" s="51"/>
      <c r="AK377" s="51"/>
      <c r="AL377" s="51"/>
      <c r="AM377" s="51"/>
      <c r="AN377" s="51"/>
      <c r="AO377" s="51"/>
      <c r="AP377" s="51"/>
      <c r="AQ377" s="51"/>
      <c r="AR377" s="51"/>
      <c r="AS377" s="51"/>
      <c r="AT377" s="51"/>
      <c r="AU377" s="51"/>
      <c r="AV377" s="51"/>
      <c r="AW377" s="51"/>
      <c r="AX377" s="51"/>
      <c r="AY377" s="51"/>
      <c r="AZ377" s="51"/>
      <c r="BA377" s="51"/>
      <c r="BB377" s="51"/>
      <c r="BC377" s="51"/>
      <c r="BD377" s="51"/>
      <c r="BE377" s="51"/>
      <c r="BF377" s="51"/>
      <c r="BG377" s="142"/>
      <c r="BH377" s="51"/>
      <c r="BI377" s="51"/>
      <c r="BJ377" s="51"/>
      <c r="BK377" s="51"/>
      <c r="BL377" s="51"/>
      <c r="BM377" s="51"/>
      <c r="BN377" s="51"/>
      <c r="BO377" s="51"/>
      <c r="BP377" s="51"/>
      <c r="BQ377" s="51"/>
      <c r="BR377" s="51"/>
      <c r="BS377" s="51"/>
      <c r="BT377" s="51"/>
      <c r="BU377" s="51"/>
      <c r="BV377" s="51"/>
      <c r="BW377" s="51"/>
      <c r="BX377" s="51"/>
      <c r="BY377" s="51"/>
      <c r="BZ377" s="51"/>
      <c r="CA377" s="51"/>
      <c r="CD377" s="262"/>
      <c r="CJ377" s="6"/>
      <c r="CK377" s="6"/>
      <c r="CL377" s="6"/>
    </row>
    <row r="378" spans="1:90" s="5" customFormat="1" ht="12.75">
      <c r="B378" s="5" t="str">
        <f>+B310</f>
        <v>EBITDA - Capex / Interest</v>
      </c>
      <c r="C378" s="502">
        <f t="shared" ref="C378:AB378" si="1333">+C310</f>
        <v>4.0855817403639723</v>
      </c>
      <c r="D378" s="502">
        <f t="shared" si="1333"/>
        <v>3.4701225839141698</v>
      </c>
      <c r="E378" s="502">
        <f t="shared" si="1333"/>
        <v>4.3149985461872964</v>
      </c>
      <c r="F378" s="502">
        <f t="shared" si="1333"/>
        <v>3.3411514027983857</v>
      </c>
      <c r="G378" s="502">
        <f t="shared" ref="G378:J379" si="1334">+G310</f>
        <v>3.3411514027983804</v>
      </c>
      <c r="H378" s="502">
        <f t="shared" si="1334"/>
        <v>3.7761953898979521</v>
      </c>
      <c r="I378" s="502">
        <f t="shared" si="1334"/>
        <v>2.585297360432663</v>
      </c>
      <c r="J378" s="502">
        <f t="shared" si="1334"/>
        <v>1.756201474350702</v>
      </c>
      <c r="K378" s="502">
        <f t="shared" ref="K378:M379" si="1335">+K310</f>
        <v>0.93655601171104985</v>
      </c>
      <c r="L378" s="502">
        <f t="shared" si="1335"/>
        <v>5.5002842328502428</v>
      </c>
      <c r="M378" s="502">
        <f t="shared" si="1335"/>
        <v>1.8053368100449032</v>
      </c>
      <c r="N378" s="502">
        <f t="shared" ref="N378:P379" si="1336">+N310</f>
        <v>2.3729313549218447</v>
      </c>
      <c r="O378" s="502">
        <f t="shared" si="1336"/>
        <v>4.7042600565428989</v>
      </c>
      <c r="P378" s="502">
        <f t="shared" si="1336"/>
        <v>13.147870879251743</v>
      </c>
      <c r="Q378" s="502"/>
      <c r="R378" s="502">
        <f t="shared" si="1333"/>
        <v>3.1298897623352135</v>
      </c>
      <c r="S378" s="502">
        <f t="shared" si="1333"/>
        <v>2.9556387125283901</v>
      </c>
      <c r="T378" s="502">
        <f t="shared" si="1333"/>
        <v>3.8057173390776464</v>
      </c>
      <c r="U378" s="502">
        <f t="shared" si="1333"/>
        <v>4.3149985461872982</v>
      </c>
      <c r="V378" s="502">
        <f t="shared" si="1333"/>
        <v>4.3149758359835344</v>
      </c>
      <c r="W378" s="502">
        <f t="shared" si="1333"/>
        <v>4.741454359584373</v>
      </c>
      <c r="X378" s="502">
        <f t="shared" si="1333"/>
        <v>3.5402212952462908</v>
      </c>
      <c r="Y378" s="502">
        <f t="shared" si="1333"/>
        <v>3.3411514027983857</v>
      </c>
      <c r="Z378" s="502">
        <f t="shared" si="1333"/>
        <v>3.4839726702383245</v>
      </c>
      <c r="AA378" s="502">
        <f t="shared" si="1333"/>
        <v>2.8193259173887686</v>
      </c>
      <c r="AB378" s="502">
        <f t="shared" si="1333"/>
        <v>3.5790866860839978</v>
      </c>
      <c r="AC378" s="502">
        <f t="shared" ref="AC378:AE379" si="1337">+AC310</f>
        <v>3.7761953898979561</v>
      </c>
      <c r="AD378" s="502">
        <f t="shared" si="1337"/>
        <v>3.6875463994193662</v>
      </c>
      <c r="AE378" s="502">
        <f t="shared" si="1337"/>
        <v>4.2308119369406603</v>
      </c>
      <c r="AF378" s="502">
        <f t="shared" ref="AF378:AI379" si="1338">+AF310</f>
        <v>3.6399874627860718</v>
      </c>
      <c r="AG378" s="502">
        <f t="shared" si="1338"/>
        <v>1.756201474350702</v>
      </c>
      <c r="AH378" s="502">
        <f t="shared" si="1338"/>
        <v>1.2338567856153595</v>
      </c>
      <c r="AI378" s="502">
        <f t="shared" si="1338"/>
        <v>-0.20015640571319976</v>
      </c>
      <c r="AJ378" s="502">
        <f t="shared" ref="AJ378:AM379" si="1339">+AJ310</f>
        <v>5.1254612742107752E-3</v>
      </c>
      <c r="AK378" s="502">
        <f t="shared" si="1339"/>
        <v>0.93655601171105241</v>
      </c>
      <c r="AL378" s="502">
        <f t="shared" si="1339"/>
        <v>1.8699342102928254</v>
      </c>
      <c r="AM378" s="502">
        <f t="shared" si="1339"/>
        <v>3.9936455585907997</v>
      </c>
      <c r="AN378" s="502">
        <f t="shared" ref="AN378:AQ379" si="1340">+AN310</f>
        <v>4.2670129765750859</v>
      </c>
      <c r="AO378" s="502">
        <f t="shared" si="1340"/>
        <v>5.500284232850241</v>
      </c>
      <c r="AP378" s="502">
        <f t="shared" si="1340"/>
        <v>5.4524539445907987</v>
      </c>
      <c r="AQ378" s="502">
        <f t="shared" si="1340"/>
        <v>5.1705234443789472</v>
      </c>
      <c r="AR378" s="502">
        <f t="shared" ref="AR378:AU379" si="1341">+AR310</f>
        <v>4.433105023146001</v>
      </c>
      <c r="AS378" s="502">
        <f t="shared" si="1341"/>
        <v>1.8053368100448981</v>
      </c>
      <c r="AT378" s="502">
        <f t="shared" si="1341"/>
        <v>1.1663126922700555</v>
      </c>
      <c r="AU378" s="502">
        <f t="shared" si="1341"/>
        <v>1.3014996881774763</v>
      </c>
      <c r="AV378" s="502">
        <f t="shared" ref="AV378:AY379" si="1342">+AV310</f>
        <v>1.3399912725911172</v>
      </c>
      <c r="AW378" s="502">
        <f t="shared" si="1342"/>
        <v>2.3729313549218496</v>
      </c>
      <c r="AX378" s="502">
        <f t="shared" si="1342"/>
        <v>2.8811449510287157</v>
      </c>
      <c r="AY378" s="502">
        <f t="shared" si="1342"/>
        <v>3.2203858095842408</v>
      </c>
      <c r="AZ378" s="502">
        <f t="shared" ref="AZ378:BC379" si="1343">+AZ310</f>
        <v>3.6468770339759145</v>
      </c>
      <c r="BA378" s="502">
        <f t="shared" si="1343"/>
        <v>4.7042600565429016</v>
      </c>
      <c r="BB378" s="502">
        <f t="shared" si="1343"/>
        <v>5.4120755718905036</v>
      </c>
      <c r="BC378" s="502">
        <f t="shared" si="1343"/>
        <v>7.3877851037648083</v>
      </c>
      <c r="BD378" s="502">
        <f t="shared" ref="BD378:BF379" si="1344">+BD310</f>
        <v>8.201415442573019</v>
      </c>
      <c r="BE378" s="502">
        <f t="shared" si="1344"/>
        <v>13.147870879251743</v>
      </c>
      <c r="BF378" s="502">
        <f t="shared" si="1344"/>
        <v>12.840998847106466</v>
      </c>
      <c r="BG378" s="142"/>
      <c r="BH378" s="503"/>
      <c r="BI378" s="503"/>
      <c r="BJ378" s="503"/>
      <c r="BK378" s="502"/>
      <c r="BL378" s="502">
        <f>+BL310</f>
        <v>4.2410565647781118</v>
      </c>
      <c r="BM378" s="502"/>
      <c r="BN378" s="503"/>
      <c r="BO378" s="503"/>
      <c r="BP378" s="503"/>
      <c r="BQ378" s="503"/>
      <c r="BR378" s="503"/>
      <c r="BS378" s="503"/>
      <c r="BT378" s="503"/>
      <c r="BU378" s="503"/>
      <c r="BV378" s="503"/>
      <c r="BW378" s="503"/>
      <c r="BX378" s="503"/>
      <c r="BY378" s="503"/>
      <c r="BZ378" s="503"/>
      <c r="CA378" s="503"/>
      <c r="CD378" s="262"/>
      <c r="CJ378" s="8"/>
      <c r="CK378" s="8"/>
      <c r="CL378" s="8"/>
    </row>
    <row r="379" spans="1:90" ht="12.75">
      <c r="B379" s="1" t="str">
        <f>+B311</f>
        <v>EBITDA/Interest</v>
      </c>
      <c r="C379" s="51">
        <f t="shared" ref="C379:AB379" si="1345">+C311</f>
        <v>10.246400867294062</v>
      </c>
      <c r="D379" s="51">
        <f t="shared" si="1345"/>
        <v>6.6053550290477103</v>
      </c>
      <c r="E379" s="51">
        <f t="shared" si="1345"/>
        <v>7.0169748066581077</v>
      </c>
      <c r="F379" s="51">
        <f t="shared" si="1345"/>
        <v>6.5389988493547371</v>
      </c>
      <c r="G379" s="51">
        <f t="shared" si="1334"/>
        <v>6.5389988493547309</v>
      </c>
      <c r="H379" s="51">
        <f t="shared" si="1334"/>
        <v>6.5313707483186869</v>
      </c>
      <c r="I379" s="51">
        <f t="shared" si="1334"/>
        <v>5.3845114478486247</v>
      </c>
      <c r="J379" s="51">
        <f t="shared" si="1334"/>
        <v>5.4580924469487799</v>
      </c>
      <c r="K379" s="51">
        <f t="shared" si="1335"/>
        <v>3.09559718207568</v>
      </c>
      <c r="L379" s="51">
        <f t="shared" si="1335"/>
        <v>7.9144499570083884</v>
      </c>
      <c r="M379" s="51">
        <f t="shared" si="1335"/>
        <v>3.9416764489888072</v>
      </c>
      <c r="N379" s="51">
        <f t="shared" si="1336"/>
        <v>3.9703435209149394</v>
      </c>
      <c r="O379" s="51">
        <f t="shared" si="1336"/>
        <v>5.7220913719957558</v>
      </c>
      <c r="P379" s="51">
        <f t="shared" si="1336"/>
        <v>14.666574308731654</v>
      </c>
      <c r="Q379" s="51"/>
      <c r="R379" s="51">
        <f t="shared" si="1345"/>
        <v>5.9234267843454127</v>
      </c>
      <c r="S379" s="51">
        <f t="shared" si="1345"/>
        <v>5.9250293582051343</v>
      </c>
      <c r="T379" s="51">
        <f t="shared" si="1345"/>
        <v>6.9830821561912879</v>
      </c>
      <c r="U379" s="51">
        <f t="shared" si="1345"/>
        <v>7.0169748066581095</v>
      </c>
      <c r="V379" s="51">
        <f t="shared" si="1345"/>
        <v>7.181544113768048</v>
      </c>
      <c r="W379" s="51">
        <f t="shared" si="1345"/>
        <v>8.1069292238477502</v>
      </c>
      <c r="X379" s="51">
        <f t="shared" si="1345"/>
        <v>6.7809226361583308</v>
      </c>
      <c r="Y379" s="51">
        <f t="shared" si="1345"/>
        <v>6.5389988493547371</v>
      </c>
      <c r="Z379" s="51">
        <f t="shared" si="1345"/>
        <v>6.6751059921239921</v>
      </c>
      <c r="AA379" s="51">
        <f t="shared" si="1345"/>
        <v>5.297245648193643</v>
      </c>
      <c r="AB379" s="51">
        <f t="shared" si="1345"/>
        <v>6.4263581561372503</v>
      </c>
      <c r="AC379" s="51">
        <f t="shared" si="1337"/>
        <v>6.5313707483186905</v>
      </c>
      <c r="AD379" s="51">
        <f t="shared" si="1337"/>
        <v>6.431988409913151</v>
      </c>
      <c r="AE379" s="51">
        <f t="shared" si="1337"/>
        <v>7.7359175809656753</v>
      </c>
      <c r="AF379" s="51">
        <f t="shared" si="1338"/>
        <v>6.8920094542593313</v>
      </c>
      <c r="AG379" s="51">
        <f t="shared" si="1338"/>
        <v>5.4580924469487799</v>
      </c>
      <c r="AH379" s="51">
        <f t="shared" si="1338"/>
        <v>5.1438285216663635</v>
      </c>
      <c r="AI379" s="51">
        <f t="shared" si="1338"/>
        <v>2.9739581914252438</v>
      </c>
      <c r="AJ379" s="51">
        <f t="shared" si="1339"/>
        <v>2.6272517846480845</v>
      </c>
      <c r="AK379" s="51">
        <f t="shared" si="1339"/>
        <v>3.0955971820756827</v>
      </c>
      <c r="AL379" s="51">
        <f t="shared" si="1339"/>
        <v>3.7821301089875807</v>
      </c>
      <c r="AM379" s="51">
        <f t="shared" si="1339"/>
        <v>5.731582347799649</v>
      </c>
      <c r="AN379" s="51">
        <f t="shared" si="1340"/>
        <v>5.9662422182668751</v>
      </c>
      <c r="AO379" s="51">
        <f t="shared" si="1340"/>
        <v>7.9144499570083866</v>
      </c>
      <c r="AP379" s="51">
        <f t="shared" si="1340"/>
        <v>7.8724291405498912</v>
      </c>
      <c r="AQ379" s="51">
        <f t="shared" si="1340"/>
        <v>7.802992378494765</v>
      </c>
      <c r="AR379" s="51">
        <f t="shared" si="1341"/>
        <v>7.3053851891289616</v>
      </c>
      <c r="AS379" s="51">
        <f t="shared" si="1341"/>
        <v>3.9416764489888023</v>
      </c>
      <c r="AT379" s="51">
        <f t="shared" si="1341"/>
        <v>3.0478021401697188</v>
      </c>
      <c r="AU379" s="51">
        <f t="shared" si="1341"/>
        <v>3.0751495843557408</v>
      </c>
      <c r="AV379" s="51">
        <f t="shared" si="1342"/>
        <v>3.1010267025440004</v>
      </c>
      <c r="AW379" s="51">
        <f t="shared" si="1342"/>
        <v>3.9703435209149438</v>
      </c>
      <c r="AX379" s="51">
        <f t="shared" si="1342"/>
        <v>4.409100927663804</v>
      </c>
      <c r="AY379" s="51">
        <f t="shared" si="1342"/>
        <v>4.6239484903048442</v>
      </c>
      <c r="AZ379" s="51">
        <f t="shared" si="1343"/>
        <v>4.8097019097585143</v>
      </c>
      <c r="BA379" s="51">
        <f t="shared" si="1343"/>
        <v>5.7220913719957576</v>
      </c>
      <c r="BB379" s="51">
        <f t="shared" si="1343"/>
        <v>6.3248202393294726</v>
      </c>
      <c r="BC379" s="51">
        <f t="shared" si="1343"/>
        <v>8.2840112770303076</v>
      </c>
      <c r="BD379" s="51">
        <f t="shared" si="1344"/>
        <v>9.2605789150145039</v>
      </c>
      <c r="BE379" s="51">
        <f t="shared" si="1344"/>
        <v>14.666574308731654</v>
      </c>
      <c r="BF379" s="51">
        <f t="shared" si="1344"/>
        <v>14.528799449708719</v>
      </c>
      <c r="BG379" s="143"/>
      <c r="BH379" s="51"/>
      <c r="BI379" s="51"/>
      <c r="BJ379" s="51"/>
      <c r="BK379" s="51"/>
      <c r="BL379" s="51">
        <f>+BL311</f>
        <v>7.8097671052947124</v>
      </c>
      <c r="BM379" s="51"/>
      <c r="BN379" s="51"/>
      <c r="BO379" s="51"/>
      <c r="BP379" s="51"/>
      <c r="BQ379" s="51"/>
      <c r="BR379" s="51"/>
      <c r="BS379" s="51"/>
      <c r="BT379" s="51"/>
      <c r="BU379" s="51"/>
      <c r="BV379" s="51"/>
      <c r="BW379" s="51"/>
      <c r="BX379" s="51"/>
      <c r="BY379" s="51"/>
      <c r="BZ379" s="51"/>
      <c r="CA379" s="51"/>
      <c r="CD379" s="346"/>
      <c r="CJ379" s="6"/>
      <c r="CK379" s="6"/>
      <c r="CL379" s="6"/>
    </row>
    <row r="380" spans="1:90" s="5" customFormat="1" ht="13.5" customHeight="1"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BG380" s="142"/>
      <c r="BK380" s="69"/>
      <c r="BN380" s="69"/>
      <c r="BO380" s="69"/>
      <c r="BP380" s="69"/>
      <c r="BQ380" s="69"/>
      <c r="BR380" s="69"/>
      <c r="BS380" s="69"/>
      <c r="BT380" s="69"/>
      <c r="BU380" s="69"/>
      <c r="BV380" s="69"/>
      <c r="BW380" s="69"/>
      <c r="BX380" s="69"/>
      <c r="BY380" s="69"/>
      <c r="BZ380" s="69"/>
      <c r="CA380" s="69"/>
      <c r="CJ380" s="6"/>
      <c r="CK380" s="6"/>
      <c r="CL380" s="6"/>
    </row>
    <row r="381" spans="1:90" s="5" customFormat="1" ht="13.5" customHeight="1">
      <c r="B381" s="444" t="s">
        <v>495</v>
      </c>
      <c r="C381" s="504">
        <v>573.70000000000005</v>
      </c>
      <c r="D381" s="504">
        <v>660.09</v>
      </c>
      <c r="E381" s="504">
        <v>672.72</v>
      </c>
      <c r="F381" s="504">
        <f>AVERAGE(V381:Y381)</f>
        <v>655.70098808807302</v>
      </c>
      <c r="G381" s="504">
        <f>F381</f>
        <v>655.70098808807302</v>
      </c>
      <c r="H381" s="504">
        <f>AVERAGE(Z381:AC381)</f>
        <v>668.46354283438825</v>
      </c>
      <c r="I381" s="504">
        <f>AVERAGE(Z381:AC381)</f>
        <v>668.46354283438825</v>
      </c>
      <c r="J381" s="504">
        <f>AVERAGE(AD381:AG381)</f>
        <v>708.66980696696828</v>
      </c>
      <c r="K381" s="504">
        <f>AVERAGE(AH381:AK381)</f>
        <v>803.75655552710555</v>
      </c>
      <c r="L381" s="504">
        <f>AVERAGE(AL381:AO381)</f>
        <v>752.83440624999992</v>
      </c>
      <c r="M381" s="508">
        <f>AVERAGE(AL381:AO381)</f>
        <v>752.83440624999992</v>
      </c>
      <c r="N381" s="508">
        <f>AVERAGE(AT381:AW381)</f>
        <v>829.07939999999996</v>
      </c>
      <c r="O381" s="508">
        <f>AVERAGE(AX381:BA381)</f>
        <v>947.2637666666667</v>
      </c>
      <c r="P381" s="508">
        <f>AVERAGE(BB381:BE381)</f>
        <v>950.73415085389001</v>
      </c>
      <c r="Q381" s="51"/>
      <c r="R381" s="504">
        <f>AVERAGE(720.688,702.968,680.256)</f>
        <v>701.30399999999997</v>
      </c>
      <c r="S381" s="504">
        <f>AVERAGE(669.779,681.741,680.965)</f>
        <v>677.495</v>
      </c>
      <c r="T381" s="505">
        <f>AVERAGE(657.115,659.18,668.875)</f>
        <v>661.72333333333336</v>
      </c>
      <c r="U381" s="504">
        <f>AVERAGE(663.227,666.574,667.046)</f>
        <v>665.6156666666667</v>
      </c>
      <c r="V381" s="506">
        <f>AVERAGE(660.09,643.34,661.86)</f>
        <v>655.09666666666669</v>
      </c>
      <c r="W381" s="506">
        <f>AVERAGE(655.82,671.86,664.77)</f>
        <v>664.15</v>
      </c>
      <c r="X381" s="506">
        <f>2119880/3323</f>
        <v>637.94161901895882</v>
      </c>
      <c r="Y381" s="504">
        <f>AVERAGE(663.227,666.574,667.046)</f>
        <v>665.6156666666667</v>
      </c>
      <c r="Z381" s="506">
        <f>1/+AVERAGE(0.001513,0.001555,0.001514)</f>
        <v>654.73592317765167</v>
      </c>
      <c r="AA381" s="506">
        <f>1/+AVERAGE(0.001525,0.001489,0.001504)</f>
        <v>664.01062416998661</v>
      </c>
      <c r="AB381" s="506">
        <f>2197597/3328</f>
        <v>660.33563701923072</v>
      </c>
      <c r="AC381" s="504">
        <f>2559540/3684</f>
        <v>694.771986970684</v>
      </c>
      <c r="AD381" s="506">
        <f>2252227/3319</f>
        <v>678.58601988550765</v>
      </c>
      <c r="AE381" s="506">
        <f>2334120/3437</f>
        <v>679.11550771021234</v>
      </c>
      <c r="AF381" s="506">
        <f>2223921/3054</f>
        <v>728.19941060903727</v>
      </c>
      <c r="AG381" s="504">
        <f>2600507/3473</f>
        <v>748.77828966311552</v>
      </c>
      <c r="AH381" s="506">
        <f>2238709/2628</f>
        <v>851.86796042617959</v>
      </c>
      <c r="AI381" s="506">
        <f>1757788/2140</f>
        <v>821.39626168224299</v>
      </c>
      <c r="AJ381" s="506">
        <v>780.83199999999999</v>
      </c>
      <c r="AK381" s="504">
        <v>760.93</v>
      </c>
      <c r="AL381" s="506">
        <v>724.37270000000001</v>
      </c>
      <c r="AM381" s="506">
        <v>715.49699999999996</v>
      </c>
      <c r="AN381" s="506">
        <v>745.40792499999998</v>
      </c>
      <c r="AO381" s="504">
        <v>826.06</v>
      </c>
      <c r="AP381" s="507">
        <f>AVERAGE(AO382:AP382)</f>
        <v>820.13499999999999</v>
      </c>
      <c r="AQ381" s="506">
        <v>918.08</v>
      </c>
      <c r="AR381" s="506">
        <v>925.16</v>
      </c>
      <c r="AS381" s="504">
        <v>912.46</v>
      </c>
      <c r="AT381" s="504">
        <v>810.45</v>
      </c>
      <c r="AU381" s="506">
        <v>812.93209999999999</v>
      </c>
      <c r="AV381" s="506">
        <v>852.78</v>
      </c>
      <c r="AW381" s="504">
        <v>840.15549999999996</v>
      </c>
      <c r="AX381" s="504">
        <f>AVERAGE(908.908,966.128,967.1471)</f>
        <v>947.39436666666677</v>
      </c>
      <c r="AY381" s="506">
        <v>939.84</v>
      </c>
      <c r="AZ381" s="506">
        <v>938.11069999999995</v>
      </c>
      <c r="BA381" s="504">
        <v>963.71</v>
      </c>
      <c r="BB381" s="504">
        <f>AVERAGE(BA382:BB382)</f>
        <v>970.68330170777995</v>
      </c>
      <c r="BC381" s="506">
        <v>938.57330170777982</v>
      </c>
      <c r="BD381" s="506">
        <v>959.82</v>
      </c>
      <c r="BE381" s="504">
        <v>933.86</v>
      </c>
      <c r="BF381" s="504">
        <v>886.57</v>
      </c>
      <c r="BG381" s="142"/>
      <c r="BH381" s="222"/>
      <c r="BI381" s="222"/>
      <c r="BJ381" s="222"/>
      <c r="BK381" s="204"/>
      <c r="BL381" s="364">
        <f>2252227/3319</f>
        <v>678.58601988550765</v>
      </c>
      <c r="BM381" s="364"/>
      <c r="BN381" s="69"/>
      <c r="BO381" s="69"/>
      <c r="BP381" s="69"/>
      <c r="BQ381" s="69"/>
      <c r="BR381" s="69"/>
      <c r="BS381" s="69"/>
      <c r="BT381" s="69"/>
      <c r="BU381" s="69"/>
      <c r="BV381" s="69"/>
      <c r="BW381" s="69"/>
      <c r="BX381" s="69"/>
      <c r="BY381" s="69"/>
      <c r="BZ381" s="69"/>
      <c r="CA381" s="69"/>
      <c r="CC381" s="5">
        <f>AVERAGE(620.744,622.761,628.279)</f>
        <v>623.928</v>
      </c>
      <c r="CD381" s="5">
        <f>AVERAGE(614.219,607.382,631.367)</f>
        <v>617.65600000000006</v>
      </c>
      <c r="CE381" s="5">
        <f>AVERAGE(649.12,687.177,690.58)</f>
        <v>675.62566666666669</v>
      </c>
      <c r="CJ381" s="6"/>
      <c r="CK381" s="6"/>
      <c r="CL381" s="6"/>
    </row>
    <row r="382" spans="1:90" s="5" customFormat="1" ht="13.5" customHeight="1">
      <c r="B382" s="444" t="s">
        <v>496</v>
      </c>
      <c r="C382" s="504">
        <v>607</v>
      </c>
      <c r="D382" s="504">
        <v>708.1</v>
      </c>
      <c r="E382" s="504">
        <v>672</v>
      </c>
      <c r="F382" s="504">
        <v>616.16</v>
      </c>
      <c r="G382" s="504">
        <v>616.16</v>
      </c>
      <c r="H382" s="504">
        <v>694</v>
      </c>
      <c r="I382" s="504">
        <v>694</v>
      </c>
      <c r="J382" s="504">
        <f>123021/164</f>
        <v>750.1280487804878</v>
      </c>
      <c r="K382" s="504">
        <f>AK382</f>
        <v>711.78</v>
      </c>
      <c r="L382" s="504">
        <f>AO382</f>
        <v>851.1</v>
      </c>
      <c r="M382" s="508">
        <f>AR382</f>
        <v>962.65</v>
      </c>
      <c r="N382" s="508">
        <f>AW382</f>
        <v>881.25289999999995</v>
      </c>
      <c r="O382" s="508">
        <f>BA382</f>
        <v>992.6</v>
      </c>
      <c r="P382" s="508">
        <f>BE382</f>
        <v>900.65</v>
      </c>
      <c r="Q382" s="51"/>
      <c r="R382" s="504">
        <v>667.9</v>
      </c>
      <c r="S382" s="504">
        <v>663.5</v>
      </c>
      <c r="T382" s="505">
        <v>657.55</v>
      </c>
      <c r="U382" s="504">
        <v>672</v>
      </c>
      <c r="V382" s="506">
        <v>660.55</v>
      </c>
      <c r="W382" s="506">
        <v>664.05</v>
      </c>
      <c r="X382" s="506">
        <v>639.29999999999995</v>
      </c>
      <c r="Y382" s="504">
        <v>616.16</v>
      </c>
      <c r="Z382" s="506">
        <v>604.85</v>
      </c>
      <c r="AA382" s="506">
        <v>654.5</v>
      </c>
      <c r="AB382" s="506">
        <v>657.3</v>
      </c>
      <c r="AC382" s="504">
        <v>694</v>
      </c>
      <c r="AD382" s="506">
        <v>679.7</v>
      </c>
      <c r="AE382" s="506">
        <v>678.72</v>
      </c>
      <c r="AF382" s="506">
        <f>5253436/7214</f>
        <v>728.22789021347376</v>
      </c>
      <c r="AG382" s="504">
        <f>123021/164</f>
        <v>750.1280487804878</v>
      </c>
      <c r="AH382" s="506">
        <f>1715026/2013</f>
        <v>851.97516145057125</v>
      </c>
      <c r="AI382" s="506">
        <v>821.23</v>
      </c>
      <c r="AJ382" s="506">
        <v>784.33</v>
      </c>
      <c r="AK382" s="504">
        <v>711.78</v>
      </c>
      <c r="AL382" s="506">
        <v>719.04</v>
      </c>
      <c r="AM382" s="506">
        <v>734.38</v>
      </c>
      <c r="AN382" s="506">
        <v>810.49090000000001</v>
      </c>
      <c r="AO382" s="504">
        <v>851.1</v>
      </c>
      <c r="AP382" s="506">
        <v>789.17</v>
      </c>
      <c r="AQ382" s="506">
        <v>782.84</v>
      </c>
      <c r="AR382" s="506">
        <v>962.65</v>
      </c>
      <c r="AS382" s="504">
        <v>847.8</v>
      </c>
      <c r="AT382" s="506">
        <v>790.04</v>
      </c>
      <c r="AU382" s="506">
        <v>801.50170000000003</v>
      </c>
      <c r="AV382" s="506">
        <v>890.7</v>
      </c>
      <c r="AW382" s="504">
        <v>881.25289999999995</v>
      </c>
      <c r="AX382" s="504">
        <v>979.84889999999996</v>
      </c>
      <c r="AY382" s="506">
        <v>940.45</v>
      </c>
      <c r="AZ382" s="506">
        <v>990.18899999999996</v>
      </c>
      <c r="BA382" s="504">
        <v>992.6</v>
      </c>
      <c r="BB382" s="504">
        <f>1/0.001054</f>
        <v>948.76660341555976</v>
      </c>
      <c r="BC382" s="506">
        <v>928.38</v>
      </c>
      <c r="BD382" s="506">
        <v>961.93</v>
      </c>
      <c r="BE382" s="504">
        <v>900.65</v>
      </c>
      <c r="BF382" s="504">
        <v>926.27</v>
      </c>
      <c r="BG382" s="142"/>
      <c r="BH382" s="222"/>
      <c r="BI382" s="222"/>
      <c r="BJ382" s="222"/>
      <c r="BK382" s="204"/>
      <c r="BL382" s="364">
        <v>679.7</v>
      </c>
      <c r="BM382" s="364"/>
      <c r="BN382" s="69"/>
      <c r="BO382" s="69"/>
      <c r="BP382" s="69"/>
      <c r="BQ382" s="69"/>
      <c r="BR382" s="69"/>
      <c r="BS382" s="69"/>
      <c r="BT382" s="69"/>
      <c r="BU382" s="69"/>
      <c r="BV382" s="69"/>
      <c r="BW382" s="69"/>
      <c r="BX382" s="69"/>
      <c r="BY382" s="69"/>
      <c r="BZ382" s="69"/>
      <c r="CA382" s="69"/>
      <c r="CJ382" s="6"/>
      <c r="CK382" s="6"/>
      <c r="CL382" s="6"/>
    </row>
    <row r="383" spans="1:90" s="5" customFormat="1" ht="13.5" customHeight="1">
      <c r="B383" s="1"/>
      <c r="C383" s="204"/>
      <c r="D383" s="204"/>
      <c r="E383" s="204"/>
      <c r="F383" s="204"/>
      <c r="G383" s="204"/>
      <c r="H383" s="204"/>
      <c r="I383" s="204"/>
      <c r="J383" s="204"/>
      <c r="K383" s="204"/>
      <c r="L383" s="204"/>
      <c r="M383" s="204"/>
      <c r="N383" s="204"/>
      <c r="O383" s="204"/>
      <c r="BG383" s="142"/>
      <c r="BH383" s="222"/>
      <c r="BI383" s="222"/>
      <c r="BJ383" s="222"/>
      <c r="BK383" s="204"/>
      <c r="BL383" s="222"/>
      <c r="BM383" s="222"/>
      <c r="BN383" s="69"/>
      <c r="BO383" s="69"/>
      <c r="BP383" s="69"/>
      <c r="BQ383" s="69"/>
      <c r="BR383" s="69"/>
      <c r="BS383" s="69"/>
      <c r="BT383" s="69"/>
      <c r="BU383" s="69"/>
      <c r="BV383" s="69"/>
      <c r="BW383" s="69"/>
      <c r="BX383" s="69"/>
      <c r="BY383" s="69"/>
      <c r="BZ383" s="69"/>
      <c r="CA383" s="69"/>
      <c r="CJ383" s="6"/>
      <c r="CK383" s="6"/>
      <c r="CL383" s="6"/>
    </row>
    <row r="384" spans="1:90" ht="13.5" customHeight="1">
      <c r="A384" s="28"/>
      <c r="B384" s="17" t="s">
        <v>487</v>
      </c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62"/>
      <c r="R384" s="46"/>
      <c r="S384" s="18"/>
      <c r="T384" s="18"/>
      <c r="U384" s="18"/>
      <c r="V384" s="46"/>
      <c r="W384" s="46"/>
      <c r="X384" s="18"/>
      <c r="Y384" s="18"/>
      <c r="Z384" s="18"/>
      <c r="AA384" s="46"/>
      <c r="AB384" s="18"/>
      <c r="AC384" s="18"/>
      <c r="AD384" s="18"/>
      <c r="AE384" s="46"/>
      <c r="AF384" s="18"/>
      <c r="AG384" s="18"/>
      <c r="AH384" s="18"/>
      <c r="AI384" s="46"/>
      <c r="AJ384" s="18"/>
      <c r="AK384" s="18"/>
      <c r="AL384" s="18"/>
      <c r="AM384" s="46"/>
      <c r="AN384" s="18"/>
      <c r="AO384" s="18"/>
      <c r="AP384" s="18"/>
      <c r="AQ384" s="46"/>
      <c r="AR384" s="18"/>
      <c r="AS384" s="18"/>
      <c r="AT384" s="18"/>
      <c r="AU384" s="46"/>
      <c r="AV384" s="18"/>
      <c r="AW384" s="18"/>
      <c r="AX384" s="18"/>
      <c r="AY384" s="46"/>
      <c r="AZ384" s="18"/>
      <c r="BA384" s="18"/>
      <c r="BB384" s="18"/>
      <c r="BC384" s="46"/>
      <c r="BD384" s="18"/>
      <c r="BE384" s="18"/>
      <c r="BF384" s="18"/>
      <c r="BG384" s="142"/>
      <c r="BH384" s="18"/>
      <c r="BI384" s="18"/>
      <c r="BJ384" s="18"/>
      <c r="BK384" s="18"/>
      <c r="BL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  <c r="CC384" s="18"/>
      <c r="CD384" s="18"/>
      <c r="CE384" s="18"/>
      <c r="CJ384" s="6"/>
      <c r="CK384" s="6"/>
      <c r="CL384" s="6"/>
    </row>
    <row r="385" spans="1:90" s="2" customFormat="1" ht="13.5" customHeight="1">
      <c r="A385" s="99"/>
      <c r="B385" s="100" t="s">
        <v>497</v>
      </c>
      <c r="C385" s="81">
        <v>41975</v>
      </c>
      <c r="D385" s="46">
        <v>42341</v>
      </c>
      <c r="E385" s="46">
        <v>42708</v>
      </c>
      <c r="F385" s="253">
        <f t="shared" ref="F385:K385" si="1346">F3</f>
        <v>43073</v>
      </c>
      <c r="G385" s="253">
        <f t="shared" si="1346"/>
        <v>43073</v>
      </c>
      <c r="H385" s="253">
        <f t="shared" si="1346"/>
        <v>43438</v>
      </c>
      <c r="I385" s="253">
        <f t="shared" si="1346"/>
        <v>43438</v>
      </c>
      <c r="J385" s="253">
        <f t="shared" si="1346"/>
        <v>43803</v>
      </c>
      <c r="K385" s="253">
        <f t="shared" si="1346"/>
        <v>44169</v>
      </c>
      <c r="L385" s="253">
        <f>L3</f>
        <v>44534</v>
      </c>
      <c r="M385" s="253">
        <f>M3</f>
        <v>44899</v>
      </c>
      <c r="N385" s="253">
        <f>N3</f>
        <v>45264</v>
      </c>
      <c r="O385" s="253">
        <f>O3</f>
        <v>45630</v>
      </c>
      <c r="P385" s="253">
        <f>P3</f>
        <v>45995</v>
      </c>
      <c r="Q385" s="329"/>
      <c r="R385" s="46">
        <v>42437</v>
      </c>
      <c r="S385" s="46">
        <v>42527</v>
      </c>
      <c r="T385" s="46">
        <v>42622</v>
      </c>
      <c r="U385" s="46">
        <v>42714</v>
      </c>
      <c r="V385" s="46">
        <v>42801</v>
      </c>
      <c r="W385" s="46">
        <v>42892</v>
      </c>
      <c r="X385" s="46">
        <v>42987</v>
      </c>
      <c r="Y385" s="46">
        <v>43079</v>
      </c>
      <c r="Z385" s="46">
        <f t="shared" ref="Z385:AF385" si="1347">Z3</f>
        <v>43166</v>
      </c>
      <c r="AA385" s="46">
        <f t="shared" si="1347"/>
        <v>43257</v>
      </c>
      <c r="AB385" s="46">
        <f t="shared" si="1347"/>
        <v>43352</v>
      </c>
      <c r="AC385" s="46">
        <f t="shared" si="1347"/>
        <v>43444</v>
      </c>
      <c r="AD385" s="253">
        <f t="shared" si="1347"/>
        <v>43531</v>
      </c>
      <c r="AE385" s="253">
        <f t="shared" si="1347"/>
        <v>43622</v>
      </c>
      <c r="AF385" s="253">
        <f t="shared" si="1347"/>
        <v>43738</v>
      </c>
      <c r="AG385" s="46">
        <f t="shared" ref="AG385:AM385" si="1348">AG3</f>
        <v>43809</v>
      </c>
      <c r="AH385" s="253">
        <f t="shared" si="1348"/>
        <v>43897</v>
      </c>
      <c r="AI385" s="253">
        <f t="shared" si="1348"/>
        <v>43988</v>
      </c>
      <c r="AJ385" s="253">
        <f t="shared" si="1348"/>
        <v>44104</v>
      </c>
      <c r="AK385" s="46">
        <f t="shared" si="1348"/>
        <v>44175</v>
      </c>
      <c r="AL385" s="253">
        <f t="shared" si="1348"/>
        <v>44262</v>
      </c>
      <c r="AM385" s="253">
        <f t="shared" si="1348"/>
        <v>44348</v>
      </c>
      <c r="AN385" s="253">
        <f t="shared" ref="AN385:AS385" si="1349">AN3</f>
        <v>44469</v>
      </c>
      <c r="AO385" s="46">
        <f t="shared" si="1349"/>
        <v>44540</v>
      </c>
      <c r="AP385" s="253">
        <f t="shared" si="1349"/>
        <v>44651</v>
      </c>
      <c r="AQ385" s="253">
        <f t="shared" si="1349"/>
        <v>44713</v>
      </c>
      <c r="AR385" s="253">
        <f t="shared" si="1349"/>
        <v>44834</v>
      </c>
      <c r="AS385" s="46">
        <f t="shared" si="1349"/>
        <v>44905</v>
      </c>
      <c r="AT385" s="253">
        <f t="shared" ref="AT385:AY385" si="1350">AT3</f>
        <v>45016</v>
      </c>
      <c r="AU385" s="253">
        <f t="shared" si="1350"/>
        <v>45078</v>
      </c>
      <c r="AV385" s="253">
        <f t="shared" si="1350"/>
        <v>45199</v>
      </c>
      <c r="AW385" s="46">
        <f t="shared" si="1350"/>
        <v>45270</v>
      </c>
      <c r="AX385" s="253">
        <f t="shared" si="1350"/>
        <v>45382</v>
      </c>
      <c r="AY385" s="253">
        <f t="shared" si="1350"/>
        <v>45444</v>
      </c>
      <c r="AZ385" s="253">
        <f t="shared" ref="AZ385:BE385" si="1351">AZ3</f>
        <v>45565</v>
      </c>
      <c r="BA385" s="46">
        <f t="shared" si="1351"/>
        <v>45636</v>
      </c>
      <c r="BB385" s="253">
        <f t="shared" si="1351"/>
        <v>45747</v>
      </c>
      <c r="BC385" s="253">
        <f t="shared" si="1351"/>
        <v>45809</v>
      </c>
      <c r="BD385" s="253">
        <f t="shared" si="1351"/>
        <v>45930</v>
      </c>
      <c r="BE385" s="46">
        <f t="shared" si="1351"/>
        <v>46001</v>
      </c>
      <c r="BF385" s="253">
        <f>BF3</f>
        <v>46112</v>
      </c>
      <c r="BG385" s="142"/>
      <c r="BH385" s="46"/>
      <c r="BI385" s="46"/>
      <c r="BJ385" s="46"/>
      <c r="BK385" s="46"/>
      <c r="BL385" s="253">
        <f>BL3</f>
        <v>43531</v>
      </c>
      <c r="BM385" s="329"/>
      <c r="BN385" s="81">
        <v>42530</v>
      </c>
      <c r="BO385" s="81">
        <v>42896</v>
      </c>
      <c r="BP385" s="81">
        <f t="shared" ref="BP385:BU385" si="1352">BP3</f>
        <v>43261</v>
      </c>
      <c r="BQ385" s="316">
        <f t="shared" si="1352"/>
        <v>43646</v>
      </c>
      <c r="BR385" s="316">
        <f t="shared" si="1352"/>
        <v>44012</v>
      </c>
      <c r="BS385" s="316">
        <f t="shared" si="1352"/>
        <v>44377</v>
      </c>
      <c r="BT385" s="316">
        <f t="shared" si="1352"/>
        <v>44742</v>
      </c>
      <c r="BU385" s="316">
        <f t="shared" si="1352"/>
        <v>45107</v>
      </c>
      <c r="BV385" s="316">
        <f>BV3</f>
        <v>45473</v>
      </c>
      <c r="BW385" s="316">
        <f>BW3</f>
        <v>45838</v>
      </c>
      <c r="BX385" s="62"/>
      <c r="BY385" s="62"/>
      <c r="BZ385" s="62"/>
      <c r="CA385" s="62"/>
      <c r="CJ385" s="6"/>
      <c r="CK385" s="6"/>
      <c r="CL385" s="6"/>
    </row>
    <row r="386" spans="1:90" s="5" customFormat="1" ht="13.5" customHeight="1">
      <c r="B386" s="11"/>
      <c r="C386" s="14" t="s">
        <v>261</v>
      </c>
      <c r="D386" s="14" t="s">
        <v>261</v>
      </c>
      <c r="E386" s="14" t="s">
        <v>261</v>
      </c>
      <c r="F386" s="14" t="s">
        <v>261</v>
      </c>
      <c r="G386" s="14" t="s">
        <v>261</v>
      </c>
      <c r="H386" s="14" t="s">
        <v>261</v>
      </c>
      <c r="I386" s="14" t="s">
        <v>261</v>
      </c>
      <c r="J386" s="14" t="s">
        <v>261</v>
      </c>
      <c r="K386" s="14" t="s">
        <v>261</v>
      </c>
      <c r="L386" s="14" t="s">
        <v>261</v>
      </c>
      <c r="M386" s="14" t="s">
        <v>261</v>
      </c>
      <c r="N386" s="14" t="s">
        <v>261</v>
      </c>
      <c r="O386" s="14" t="s">
        <v>261</v>
      </c>
      <c r="P386" s="14" t="s">
        <v>261</v>
      </c>
      <c r="Q386" s="329"/>
      <c r="R386" s="14" t="s">
        <v>261</v>
      </c>
      <c r="S386" s="14" t="s">
        <v>261</v>
      </c>
      <c r="T386" s="14" t="s">
        <v>261</v>
      </c>
      <c r="U386" s="14" t="s">
        <v>261</v>
      </c>
      <c r="V386" s="14" t="s">
        <v>261</v>
      </c>
      <c r="W386" s="14" t="s">
        <v>261</v>
      </c>
      <c r="X386" s="14" t="s">
        <v>261</v>
      </c>
      <c r="Y386" s="14" t="s">
        <v>261</v>
      </c>
      <c r="Z386" s="14" t="s">
        <v>261</v>
      </c>
      <c r="AA386" s="14" t="s">
        <v>261</v>
      </c>
      <c r="AB386" s="14" t="s">
        <v>261</v>
      </c>
      <c r="AC386" s="14" t="s">
        <v>261</v>
      </c>
      <c r="AD386" s="14" t="s">
        <v>261</v>
      </c>
      <c r="AE386" s="14" t="s">
        <v>261</v>
      </c>
      <c r="AF386" s="14" t="s">
        <v>261</v>
      </c>
      <c r="AG386" s="14" t="s">
        <v>261</v>
      </c>
      <c r="AH386" s="14" t="s">
        <v>261</v>
      </c>
      <c r="AI386" s="14" t="s">
        <v>261</v>
      </c>
      <c r="AJ386" s="14" t="s">
        <v>261</v>
      </c>
      <c r="AK386" s="14" t="s">
        <v>261</v>
      </c>
      <c r="AL386" s="14" t="s">
        <v>261</v>
      </c>
      <c r="AM386" s="14" t="s">
        <v>261</v>
      </c>
      <c r="AN386" s="14" t="s">
        <v>261</v>
      </c>
      <c r="AO386" s="14" t="s">
        <v>261</v>
      </c>
      <c r="AP386" s="14" t="s">
        <v>261</v>
      </c>
      <c r="AQ386" s="14" t="s">
        <v>261</v>
      </c>
      <c r="AR386" s="14" t="s">
        <v>261</v>
      </c>
      <c r="AS386" s="14" t="s">
        <v>261</v>
      </c>
      <c r="AT386" s="14" t="s">
        <v>261</v>
      </c>
      <c r="AU386" s="14" t="s">
        <v>261</v>
      </c>
      <c r="AV386" s="14" t="s">
        <v>261</v>
      </c>
      <c r="AW386" s="14" t="s">
        <v>261</v>
      </c>
      <c r="AX386" s="14" t="s">
        <v>261</v>
      </c>
      <c r="AY386" s="14" t="s">
        <v>261</v>
      </c>
      <c r="AZ386" s="14" t="s">
        <v>261</v>
      </c>
      <c r="BA386" s="14" t="s">
        <v>261</v>
      </c>
      <c r="BB386" s="14" t="s">
        <v>261</v>
      </c>
      <c r="BC386" s="14" t="s">
        <v>261</v>
      </c>
      <c r="BD386" s="14" t="s">
        <v>261</v>
      </c>
      <c r="BE386" s="14" t="s">
        <v>261</v>
      </c>
      <c r="BF386" s="14" t="s">
        <v>261</v>
      </c>
      <c r="BG386" s="142"/>
      <c r="BH386" s="14"/>
      <c r="BI386" s="14"/>
      <c r="BJ386" s="14"/>
      <c r="BK386" s="14"/>
      <c r="BL386" s="14" t="s">
        <v>261</v>
      </c>
      <c r="BM386" s="329"/>
      <c r="BN386" s="14" t="s">
        <v>261</v>
      </c>
      <c r="BO386" s="14" t="s">
        <v>261</v>
      </c>
      <c r="BP386" s="14" t="s">
        <v>261</v>
      </c>
      <c r="BQ386" s="14" t="s">
        <v>261</v>
      </c>
      <c r="BR386" s="14" t="s">
        <v>261</v>
      </c>
      <c r="BS386" s="14" t="s">
        <v>261</v>
      </c>
      <c r="BT386" s="14" t="s">
        <v>261</v>
      </c>
      <c r="BU386" s="14" t="s">
        <v>261</v>
      </c>
      <c r="BV386" s="14" t="s">
        <v>261</v>
      </c>
      <c r="BW386" s="14" t="s">
        <v>261</v>
      </c>
      <c r="BX386" s="329"/>
      <c r="BY386" s="329"/>
      <c r="BZ386" s="329"/>
      <c r="CA386" s="329"/>
      <c r="CJ386" s="6"/>
      <c r="CK386" s="6"/>
      <c r="CL386" s="6"/>
    </row>
    <row r="387" spans="1:90" s="3" customFormat="1" ht="13.5" customHeight="1">
      <c r="C387" s="24" t="s">
        <v>263</v>
      </c>
      <c r="D387" s="24" t="s">
        <v>263</v>
      </c>
      <c r="E387" s="24" t="s">
        <v>263</v>
      </c>
      <c r="F387" s="24" t="s">
        <v>263</v>
      </c>
      <c r="G387" s="24" t="s">
        <v>263</v>
      </c>
      <c r="H387" s="24" t="s">
        <v>263</v>
      </c>
      <c r="I387" s="24" t="s">
        <v>263</v>
      </c>
      <c r="J387" s="24" t="s">
        <v>263</v>
      </c>
      <c r="K387" s="24" t="s">
        <v>263</v>
      </c>
      <c r="L387" s="24" t="s">
        <v>263</v>
      </c>
      <c r="M387" s="24" t="s">
        <v>263</v>
      </c>
      <c r="N387" s="24" t="s">
        <v>263</v>
      </c>
      <c r="O387" s="24" t="s">
        <v>263</v>
      </c>
      <c r="P387" s="24" t="s">
        <v>263</v>
      </c>
      <c r="Q387" s="24"/>
      <c r="R387" s="24" t="s">
        <v>264</v>
      </c>
      <c r="S387" s="24" t="s">
        <v>265</v>
      </c>
      <c r="T387" s="24" t="s">
        <v>266</v>
      </c>
      <c r="U387" s="24" t="s">
        <v>267</v>
      </c>
      <c r="V387" s="24" t="s">
        <v>264</v>
      </c>
      <c r="W387" s="24" t="s">
        <v>265</v>
      </c>
      <c r="X387" s="24" t="s">
        <v>489</v>
      </c>
      <c r="Y387" s="24" t="s">
        <v>267</v>
      </c>
      <c r="Z387" s="24" t="s">
        <v>264</v>
      </c>
      <c r="AA387" s="24" t="s">
        <v>265</v>
      </c>
      <c r="AB387" s="24" t="s">
        <v>489</v>
      </c>
      <c r="AC387" s="24" t="s">
        <v>267</v>
      </c>
      <c r="AD387" s="24" t="s">
        <v>264</v>
      </c>
      <c r="AE387" s="24" t="s">
        <v>265</v>
      </c>
      <c r="AF387" s="24" t="str">
        <f>AF5</f>
        <v>Q3</v>
      </c>
      <c r="AG387" s="24" t="s">
        <v>267</v>
      </c>
      <c r="AH387" s="24" t="s">
        <v>264</v>
      </c>
      <c r="AI387" s="24" t="s">
        <v>265</v>
      </c>
      <c r="AJ387" s="24" t="str">
        <f>AJ5</f>
        <v>Q3</v>
      </c>
      <c r="AK387" s="24" t="s">
        <v>267</v>
      </c>
      <c r="AL387" s="24" t="s">
        <v>264</v>
      </c>
      <c r="AM387" s="24" t="s">
        <v>265</v>
      </c>
      <c r="AN387" s="24" t="str">
        <f>AN5</f>
        <v>Q3</v>
      </c>
      <c r="AO387" s="24" t="s">
        <v>267</v>
      </c>
      <c r="AP387" s="24" t="s">
        <v>264</v>
      </c>
      <c r="AQ387" s="24" t="s">
        <v>265</v>
      </c>
      <c r="AR387" s="24" t="str">
        <f>AR5</f>
        <v>Q3</v>
      </c>
      <c r="AS387" s="24" t="s">
        <v>267</v>
      </c>
      <c r="AT387" s="24" t="s">
        <v>264</v>
      </c>
      <c r="AU387" s="24" t="s">
        <v>265</v>
      </c>
      <c r="AV387" s="24" t="str">
        <f>AV5</f>
        <v>Q3</v>
      </c>
      <c r="AW387" s="24" t="s">
        <v>267</v>
      </c>
      <c r="AX387" s="24" t="s">
        <v>264</v>
      </c>
      <c r="AY387" s="24" t="s">
        <v>265</v>
      </c>
      <c r="AZ387" s="24" t="str">
        <f>AZ5</f>
        <v>Q3</v>
      </c>
      <c r="BA387" s="24" t="s">
        <v>267</v>
      </c>
      <c r="BB387" s="24" t="s">
        <v>264</v>
      </c>
      <c r="BC387" s="24" t="s">
        <v>265</v>
      </c>
      <c r="BD387" s="24" t="str">
        <f>BD5</f>
        <v>Q3</v>
      </c>
      <c r="BE387" s="24" t="s">
        <v>267</v>
      </c>
      <c r="BF387" s="24" t="s">
        <v>264</v>
      </c>
      <c r="BG387" s="142"/>
      <c r="BH387" s="24"/>
      <c r="BI387" s="24"/>
      <c r="BJ387" s="24"/>
      <c r="BK387" s="24"/>
      <c r="BL387" s="24" t="s">
        <v>264</v>
      </c>
      <c r="BM387" s="24"/>
      <c r="BN387" s="24" t="s">
        <v>490</v>
      </c>
      <c r="BO387" s="24" t="s">
        <v>490</v>
      </c>
      <c r="BP387" s="24" t="s">
        <v>490</v>
      </c>
      <c r="BQ387" s="24" t="s">
        <v>490</v>
      </c>
      <c r="BR387" s="24" t="s">
        <v>490</v>
      </c>
      <c r="BS387" s="24" t="s">
        <v>490</v>
      </c>
      <c r="BT387" s="24" t="s">
        <v>490</v>
      </c>
      <c r="BU387" s="24" t="s">
        <v>490</v>
      </c>
      <c r="BV387" s="24" t="s">
        <v>490</v>
      </c>
      <c r="BW387" s="24" t="s">
        <v>490</v>
      </c>
      <c r="BX387" s="24"/>
      <c r="BY387" s="24"/>
      <c r="BZ387" s="24"/>
      <c r="CA387" s="24"/>
      <c r="CJ387" s="6"/>
      <c r="CK387" s="6"/>
      <c r="CL387" s="6"/>
    </row>
    <row r="388" spans="1:90" s="5" customFormat="1" ht="13.5" customHeight="1">
      <c r="B388" s="5" t="str">
        <f>+B8</f>
        <v>Revenues</v>
      </c>
      <c r="C388" s="56">
        <f t="shared" ref="C388:H388" si="1353">C8/C$381</f>
        <v>12268.397747951889</v>
      </c>
      <c r="D388" s="56">
        <f t="shared" si="1353"/>
        <v>11745.685545910404</v>
      </c>
      <c r="E388" s="56">
        <f t="shared" si="1353"/>
        <v>11740.845796170768</v>
      </c>
      <c r="F388" s="56">
        <f t="shared" si="1353"/>
        <v>12570.737901485147</v>
      </c>
      <c r="G388" s="56">
        <f t="shared" si="1353"/>
        <v>12520.724627758624</v>
      </c>
      <c r="H388" s="56">
        <f t="shared" si="1353"/>
        <v>12691.159336870232</v>
      </c>
      <c r="I388" s="56">
        <f t="shared" ref="I388:N388" si="1354">I8/I$381</f>
        <v>11933.183926795355</v>
      </c>
      <c r="J388" s="56">
        <f t="shared" si="1354"/>
        <v>11364.365683178294</v>
      </c>
      <c r="K388" s="56">
        <f t="shared" si="1354"/>
        <v>10302.933011313689</v>
      </c>
      <c r="L388" s="56">
        <f t="shared" si="1354"/>
        <v>13728.628306830924</v>
      </c>
      <c r="M388" s="56">
        <f>M8/M$381</f>
        <v>13895.042935280298</v>
      </c>
      <c r="N388" s="56">
        <f t="shared" si="1354"/>
        <v>11283.737910988984</v>
      </c>
      <c r="O388" s="56">
        <f>O8/O$381</f>
        <v>10896.758475543225</v>
      </c>
      <c r="P388" s="56">
        <f>P8/P$381</f>
        <v>11930.134081975468</v>
      </c>
      <c r="Q388" s="56"/>
      <c r="R388" s="56">
        <f t="shared" ref="R388:AF388" si="1355">R8/R$381</f>
        <v>2694.4038890409865</v>
      </c>
      <c r="S388" s="56">
        <f t="shared" si="1355"/>
        <v>2876.4599915866538</v>
      </c>
      <c r="T388" s="56">
        <f t="shared" si="1355"/>
        <v>2825.2860823002561</v>
      </c>
      <c r="U388" s="56">
        <f t="shared" si="1355"/>
        <v>3290.7286932849643</v>
      </c>
      <c r="V388" s="56">
        <f t="shared" si="1355"/>
        <v>2979.7634644250975</v>
      </c>
      <c r="W388" s="56">
        <f t="shared" si="1355"/>
        <v>3034.1984566739447</v>
      </c>
      <c r="X388" s="56">
        <f t="shared" si="1355"/>
        <v>3044.1556705242747</v>
      </c>
      <c r="Y388" s="56">
        <f t="shared" si="1355"/>
        <v>3505.7102241684015</v>
      </c>
      <c r="Z388" s="56">
        <f t="shared" si="1355"/>
        <v>3070.3335708899999</v>
      </c>
      <c r="AA388" s="56">
        <f t="shared" si="1355"/>
        <v>3172.4444012220006</v>
      </c>
      <c r="AB388" s="56">
        <f t="shared" si="1355"/>
        <v>3035.7452432051928</v>
      </c>
      <c r="AC388" s="56">
        <f t="shared" si="1355"/>
        <v>3399.9242000234431</v>
      </c>
      <c r="AD388" s="56">
        <f t="shared" si="1355"/>
        <v>2839.5818002927772</v>
      </c>
      <c r="AE388" s="56">
        <f t="shared" si="1355"/>
        <v>2936.2913692303737</v>
      </c>
      <c r="AF388" s="56">
        <f t="shared" si="1355"/>
        <v>2583.7102071071772</v>
      </c>
      <c r="AG388" s="56">
        <f t="shared" ref="AG388:AM388" si="1356">AG8/AG$381</f>
        <v>3006.4240644755041</v>
      </c>
      <c r="AH388" s="56">
        <f t="shared" si="1356"/>
        <v>2215.9521189828602</v>
      </c>
      <c r="AI388" s="56">
        <f t="shared" si="1356"/>
        <v>1775.4696034447841</v>
      </c>
      <c r="AJ388" s="56">
        <f t="shared" si="1356"/>
        <v>2839.7986417052589</v>
      </c>
      <c r="AK388" s="56">
        <f t="shared" si="1356"/>
        <v>3571.3949890265858</v>
      </c>
      <c r="AL388" s="56">
        <f t="shared" si="1356"/>
        <v>3062.0679865489133</v>
      </c>
      <c r="AM388" s="56">
        <f t="shared" si="1356"/>
        <v>3341.1583053457948</v>
      </c>
      <c r="AN388" s="56">
        <f t="shared" ref="AN388:AS388" si="1357">AN8/AN$381</f>
        <v>3516.051217190909</v>
      </c>
      <c r="AO388" s="56">
        <f t="shared" si="1357"/>
        <v>3759.804492409753</v>
      </c>
      <c r="AP388" s="56">
        <f t="shared" si="1357"/>
        <v>3104.5456991836709</v>
      </c>
      <c r="AQ388" s="56">
        <f t="shared" si="1357"/>
        <v>2852.8972442488675</v>
      </c>
      <c r="AR388" s="56">
        <f t="shared" si="1357"/>
        <v>2693.7597193998877</v>
      </c>
      <c r="AS388" s="56">
        <f t="shared" si="1357"/>
        <v>3072.1052616005072</v>
      </c>
      <c r="AT388" s="56">
        <f t="shared" ref="AT388:AY388" si="1358">AT8/AT$381</f>
        <v>2806.7447282373992</v>
      </c>
      <c r="AU388" s="414">
        <f t="shared" si="1358"/>
        <v>2730.7537517586029</v>
      </c>
      <c r="AV388" s="56">
        <f t="shared" si="1358"/>
        <v>2587.3456413142908</v>
      </c>
      <c r="AW388" s="56">
        <f t="shared" si="1358"/>
        <v>3158.9799673988923</v>
      </c>
      <c r="AX388" s="56">
        <f t="shared" si="1358"/>
        <v>2525.3745780840086</v>
      </c>
      <c r="AY388" s="414">
        <f t="shared" si="1358"/>
        <v>2601.8132458716368</v>
      </c>
      <c r="AZ388" s="56">
        <f t="shared" ref="AZ388:BE388" si="1359">AZ8/AZ$381</f>
        <v>2561.482212067297</v>
      </c>
      <c r="BA388" s="56">
        <f t="shared" si="1359"/>
        <v>3197.3693299851616</v>
      </c>
      <c r="BB388" s="56">
        <f t="shared" si="1359"/>
        <v>2733.3108979335552</v>
      </c>
      <c r="BC388" s="414">
        <f t="shared" si="1359"/>
        <v>2869.7477417044606</v>
      </c>
      <c r="BD388" s="56">
        <f t="shared" si="1359"/>
        <v>2740.4097205726071</v>
      </c>
      <c r="BE388" s="56">
        <f t="shared" si="1359"/>
        <v>3603.7928361852951</v>
      </c>
      <c r="BF388" s="56">
        <f>BF8/BF$381</f>
        <v>3119.9182760526523</v>
      </c>
      <c r="BG388" s="142"/>
      <c r="BH388" s="56"/>
      <c r="BI388" s="56"/>
      <c r="BJ388" s="56"/>
      <c r="BK388" s="56"/>
      <c r="BL388" s="56">
        <f>BL8/BL$381</f>
        <v>2839.5818002927772</v>
      </c>
      <c r="BM388" s="56"/>
      <c r="BN388" s="56">
        <f>R388+S388</f>
        <v>5570.8638806276404</v>
      </c>
      <c r="BO388" s="56">
        <f>V388+W388</f>
        <v>6013.9619210990422</v>
      </c>
      <c r="BP388" s="56">
        <f>Z388+AA388</f>
        <v>6242.7779721120005</v>
      </c>
      <c r="BQ388" s="56">
        <f>AD388+AE388</f>
        <v>5775.8731695231509</v>
      </c>
      <c r="BR388" s="56">
        <f>AH388+AI388</f>
        <v>3991.4217224276445</v>
      </c>
      <c r="BS388" s="56">
        <f>AL388+AM388</f>
        <v>6403.2262918947081</v>
      </c>
      <c r="BT388" s="56">
        <f>AM388+AN388</f>
        <v>6857.2095225367038</v>
      </c>
      <c r="BU388" s="56">
        <f>AN388+AO388</f>
        <v>7275.8557096006625</v>
      </c>
      <c r="BV388" s="56">
        <f>AO388+AP388</f>
        <v>6864.3501915934239</v>
      </c>
      <c r="BW388" s="56">
        <f>AP388+AQ388</f>
        <v>5957.4429434325384</v>
      </c>
      <c r="BX388" s="56"/>
      <c r="BY388" s="56"/>
      <c r="BZ388" s="56"/>
      <c r="CA388" s="56"/>
      <c r="CC388" s="146">
        <f>CC8/CC381</f>
        <v>2913.1320120270284</v>
      </c>
      <c r="CD388" s="146">
        <f>CD8/CD381</f>
        <v>5947.1104627818713</v>
      </c>
      <c r="CE388" s="146">
        <f>CE8/CE381</f>
        <v>8162.9082198870483</v>
      </c>
      <c r="CJ388" s="6"/>
      <c r="CK388" s="6"/>
      <c r="CL388" s="6"/>
    </row>
    <row r="389" spans="1:90" s="49" customFormat="1" ht="13.5" customHeight="1">
      <c r="B389" s="22" t="str">
        <f>+B9</f>
        <v xml:space="preserve">% growth </v>
      </c>
      <c r="C389" s="79">
        <f>C9</f>
        <v>0.13594025677429644</v>
      </c>
      <c r="D389" s="79">
        <f>+D388/C388-1</f>
        <v>-4.2606395128389707E-2</v>
      </c>
      <c r="E389" s="79">
        <f>+E388/D388-1</f>
        <v>-4.1204489263046984E-4</v>
      </c>
      <c r="F389" s="79">
        <f>+F388/E388-1</f>
        <v>7.0684184063216637E-2</v>
      </c>
      <c r="G389" s="79">
        <f>+G388/F388-1</f>
        <v>-3.9785471718899457E-3</v>
      </c>
      <c r="H389" s="79">
        <f>+H388/G388-1</f>
        <v>1.3612208093272127E-2</v>
      </c>
      <c r="I389" s="79">
        <f>+I388/G388-1</f>
        <v>-4.6925455069963151E-2</v>
      </c>
      <c r="J389" s="79">
        <f t="shared" ref="J389:P389" si="1360">+J388/I388-1</f>
        <v>-4.7666930058775758E-2</v>
      </c>
      <c r="K389" s="79">
        <f t="shared" si="1360"/>
        <v>-9.3400080695727139E-2</v>
      </c>
      <c r="L389" s="79">
        <f t="shared" si="1360"/>
        <v>0.33249709492971236</v>
      </c>
      <c r="M389" s="79">
        <f t="shared" si="1360"/>
        <v>1.2121722923081224E-2</v>
      </c>
      <c r="N389" s="79">
        <f t="shared" si="1360"/>
        <v>-0.18793069128711093</v>
      </c>
      <c r="O389" s="79">
        <f t="shared" si="1360"/>
        <v>-3.4295322923876825E-2</v>
      </c>
      <c r="P389" s="79">
        <f t="shared" si="1360"/>
        <v>9.483330375281418E-2</v>
      </c>
      <c r="Q389" s="334"/>
      <c r="R389" s="79">
        <f>R388/CC388-1</f>
        <v>-7.5083491610751119E-2</v>
      </c>
      <c r="S389" s="79">
        <f>S388/(CD388-CC388)-1</f>
        <v>-5.1918120621126773E-2</v>
      </c>
      <c r="T389" s="79">
        <f>T388/(CE388-CD388)-1</f>
        <v>0.27506496170090156</v>
      </c>
      <c r="U389" s="79">
        <f>U388/(E388-CE388)-1</f>
        <v>-8.0272189459791976E-2</v>
      </c>
      <c r="V389" s="223">
        <f t="shared" ref="V389:AC389" si="1361">(+V388/R388)-1</f>
        <v>0.10590824061112758</v>
      </c>
      <c r="W389" s="223">
        <f t="shared" si="1361"/>
        <v>5.483770521705833E-2</v>
      </c>
      <c r="X389" s="223">
        <f t="shared" si="1361"/>
        <v>7.7468115386680525E-2</v>
      </c>
      <c r="Y389" s="223">
        <f>(+Y388/U388)-1</f>
        <v>6.5329460712494125E-2</v>
      </c>
      <c r="Z389" s="223">
        <f t="shared" si="1361"/>
        <v>3.0395065764851514E-2</v>
      </c>
      <c r="AA389" s="223">
        <f t="shared" si="1361"/>
        <v>4.5562591413219389E-2</v>
      </c>
      <c r="AB389" s="223">
        <f t="shared" si="1361"/>
        <v>-2.7628111796377253E-3</v>
      </c>
      <c r="AC389" s="223">
        <f t="shared" si="1361"/>
        <v>-3.0175347470440816E-2</v>
      </c>
      <c r="AD389" s="223">
        <f t="shared" ref="AD389:BF389" si="1362">(+AD388/Z388)-1</f>
        <v>-7.5155277193655112E-2</v>
      </c>
      <c r="AE389" s="223">
        <f t="shared" si="1362"/>
        <v>-7.4438824491506517E-2</v>
      </c>
      <c r="AF389" s="223">
        <f t="shared" si="1362"/>
        <v>-0.14890414046099243</v>
      </c>
      <c r="AG389" s="223">
        <f t="shared" si="1362"/>
        <v>-0.11573791425856661</v>
      </c>
      <c r="AH389" s="223">
        <f t="shared" si="1362"/>
        <v>-0.21962025578753086</v>
      </c>
      <c r="AI389" s="223">
        <f t="shared" si="1362"/>
        <v>-0.39533602759928099</v>
      </c>
      <c r="AJ389" s="223">
        <f t="shared" si="1362"/>
        <v>9.9116547162929836E-2</v>
      </c>
      <c r="AK389" s="223">
        <f t="shared" si="1362"/>
        <v>0.18792123547269624</v>
      </c>
      <c r="AL389" s="223">
        <f t="shared" si="1362"/>
        <v>0.38182949004982425</v>
      </c>
      <c r="AM389" s="223">
        <f t="shared" si="1362"/>
        <v>0.8818448363538558</v>
      </c>
      <c r="AN389" s="223">
        <f t="shared" si="1362"/>
        <v>0.23813398793640173</v>
      </c>
      <c r="AO389" s="223">
        <f t="shared" si="1362"/>
        <v>5.2755157007855935E-2</v>
      </c>
      <c r="AP389" s="223">
        <f t="shared" si="1362"/>
        <v>1.3872230408127573E-2</v>
      </c>
      <c r="AQ389" s="223">
        <f t="shared" si="1362"/>
        <v>-0.14613526701674628</v>
      </c>
      <c r="AR389" s="223">
        <f t="shared" si="1362"/>
        <v>-0.23386789526006324</v>
      </c>
      <c r="AS389" s="223">
        <f t="shared" si="1362"/>
        <v>-0.18290824222311675</v>
      </c>
      <c r="AT389" s="223">
        <f t="shared" si="1362"/>
        <v>-9.592417049121793E-2</v>
      </c>
      <c r="AU389" s="223">
        <f t="shared" si="1362"/>
        <v>-4.2813842221794962E-2</v>
      </c>
      <c r="AV389" s="223">
        <f t="shared" si="1362"/>
        <v>-3.9503923575375022E-2</v>
      </c>
      <c r="AW389" s="223">
        <f t="shared" si="1362"/>
        <v>2.8278557666713944E-2</v>
      </c>
      <c r="AX389" s="223">
        <f t="shared" si="1362"/>
        <v>-0.10024785913825784</v>
      </c>
      <c r="AY389" s="223">
        <f t="shared" si="1362"/>
        <v>-4.7217917691746658E-2</v>
      </c>
      <c r="AZ389" s="223">
        <f t="shared" si="1362"/>
        <v>-9.9961245355127959E-3</v>
      </c>
      <c r="BA389" s="223">
        <f t="shared" si="1362"/>
        <v>1.2152455217333769E-2</v>
      </c>
      <c r="BB389" s="223">
        <f t="shared" si="1362"/>
        <v>8.2338802985538528E-2</v>
      </c>
      <c r="BC389" s="223">
        <f t="shared" si="1362"/>
        <v>0.10297991074415602</v>
      </c>
      <c r="BD389" s="223">
        <f t="shared" si="1362"/>
        <v>6.9853113819167589E-2</v>
      </c>
      <c r="BE389" s="223">
        <f t="shared" si="1362"/>
        <v>0.12711184234760253</v>
      </c>
      <c r="BF389" s="223">
        <f t="shared" si="1362"/>
        <v>0.14144288467564414</v>
      </c>
      <c r="BG389" s="142"/>
      <c r="BH389" s="223"/>
      <c r="BI389" s="223"/>
      <c r="BJ389" s="223"/>
      <c r="BK389" s="223"/>
      <c r="BL389" s="223" t="e">
        <f>(+BL388/BH388)-1</f>
        <v>#DIV/0!</v>
      </c>
      <c r="BM389" s="334"/>
      <c r="BN389" s="224">
        <f>BN388/CD388-1</f>
        <v>-6.3265443698894197E-2</v>
      </c>
      <c r="BO389" s="79">
        <f t="shared" ref="BO389:BW389" si="1363">+BO388/BN388-1</f>
        <v>7.9538479123902217E-2</v>
      </c>
      <c r="BP389" s="79">
        <f t="shared" si="1363"/>
        <v>3.8047472533903726E-2</v>
      </c>
      <c r="BQ389" s="79">
        <f t="shared" si="1363"/>
        <v>-7.4791191465502393E-2</v>
      </c>
      <c r="BR389" s="79">
        <f t="shared" si="1363"/>
        <v>-0.30894920901506373</v>
      </c>
      <c r="BS389" s="79">
        <f t="shared" si="1363"/>
        <v>0.60424699197161424</v>
      </c>
      <c r="BT389" s="79">
        <f t="shared" si="1363"/>
        <v>7.0899138956974639E-2</v>
      </c>
      <c r="BU389" s="79">
        <f t="shared" si="1363"/>
        <v>6.1051975397287794E-2</v>
      </c>
      <c r="BV389" s="79">
        <f t="shared" si="1363"/>
        <v>-5.6557679870458011E-2</v>
      </c>
      <c r="BW389" s="79">
        <f t="shared" si="1363"/>
        <v>-0.13211844134519091</v>
      </c>
      <c r="BX389" s="334"/>
      <c r="BY389" s="334"/>
      <c r="BZ389" s="334"/>
      <c r="CA389" s="334"/>
      <c r="CC389" s="212"/>
      <c r="CD389" s="212"/>
      <c r="CE389" s="212"/>
      <c r="CJ389" s="6"/>
      <c r="CK389" s="6"/>
      <c r="CL389" s="6"/>
    </row>
    <row r="390" spans="1:90" s="49" customFormat="1" ht="13.5" customHeight="1">
      <c r="B390" s="22" t="s">
        <v>498</v>
      </c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334"/>
      <c r="R390" s="79"/>
      <c r="S390" s="79"/>
      <c r="T390" s="79"/>
      <c r="U390" s="79"/>
      <c r="V390" s="223"/>
      <c r="W390" s="223"/>
      <c r="X390" s="223"/>
      <c r="Y390" s="79"/>
      <c r="Z390" s="79"/>
      <c r="AA390" s="79"/>
      <c r="AB390" s="223"/>
      <c r="AC390" s="223"/>
      <c r="AD390" s="79"/>
      <c r="AE390" s="79"/>
      <c r="AF390" s="79"/>
      <c r="AG390" s="223"/>
      <c r="AH390" s="79"/>
      <c r="AI390" s="79"/>
      <c r="AJ390" s="79"/>
      <c r="AK390" s="223"/>
      <c r="AL390" s="79"/>
      <c r="AM390" s="79"/>
      <c r="AN390" s="79"/>
      <c r="AO390" s="223"/>
      <c r="AP390" s="79"/>
      <c r="AQ390" s="79"/>
      <c r="AR390" s="79"/>
      <c r="AS390" s="223"/>
      <c r="AT390" s="79"/>
      <c r="AU390" s="79"/>
      <c r="AV390" s="79"/>
      <c r="AW390" s="223"/>
      <c r="AX390" s="79"/>
      <c r="AY390" s="79"/>
      <c r="AZ390" s="79"/>
      <c r="BA390" s="223"/>
      <c r="BB390" s="79"/>
      <c r="BC390" s="79"/>
      <c r="BD390" s="79"/>
      <c r="BE390" s="223"/>
      <c r="BF390" s="79"/>
      <c r="BG390" s="142"/>
      <c r="BH390" s="79"/>
      <c r="BI390" s="79"/>
      <c r="BJ390" s="79"/>
      <c r="BK390" s="223"/>
      <c r="BL390" s="79"/>
      <c r="BM390" s="223"/>
      <c r="BN390" s="223"/>
      <c r="BO390" s="79"/>
      <c r="BP390" s="79"/>
      <c r="BQ390" s="79"/>
      <c r="BR390" s="79"/>
      <c r="BS390" s="79"/>
      <c r="BT390" s="79"/>
      <c r="BU390" s="79"/>
      <c r="BV390" s="79"/>
      <c r="BW390" s="79"/>
      <c r="BX390" s="334"/>
      <c r="BY390" s="334"/>
      <c r="BZ390" s="334"/>
      <c r="CA390" s="334"/>
      <c r="CC390" s="207"/>
      <c r="CD390" s="207"/>
      <c r="CE390" s="207"/>
      <c r="CJ390" s="6"/>
      <c r="CK390" s="6"/>
      <c r="CL390" s="6"/>
    </row>
    <row r="391" spans="1:90" s="5" customFormat="1" ht="13.5" customHeight="1" thickBot="1">
      <c r="B391" s="26" t="str">
        <f>B105</f>
        <v xml:space="preserve">EBITDA </v>
      </c>
      <c r="C391" s="67">
        <f t="shared" ref="C391:H391" si="1364">C105/C$381</f>
        <v>1576.1076503398976</v>
      </c>
      <c r="D391" s="67">
        <f t="shared" si="1364"/>
        <v>1527.9200866548495</v>
      </c>
      <c r="E391" s="67">
        <f t="shared" si="1364"/>
        <v>1757.2411657153052</v>
      </c>
      <c r="F391" s="67">
        <f t="shared" si="1364"/>
        <v>1662.4161177161238</v>
      </c>
      <c r="G391" s="67">
        <f t="shared" si="1364"/>
        <v>1662.4161177161225</v>
      </c>
      <c r="H391" s="67">
        <f t="shared" si="1364"/>
        <v>1642.7253344945029</v>
      </c>
      <c r="I391" s="67">
        <f t="shared" ref="I391:N391" si="1365">I105/I$381</f>
        <v>1332.9690116260465</v>
      </c>
      <c r="J391" s="67">
        <f t="shared" si="1365"/>
        <v>1145.8491825345243</v>
      </c>
      <c r="K391" s="67">
        <f t="shared" si="1365"/>
        <v>718.48711407558096</v>
      </c>
      <c r="L391" s="67">
        <f t="shared" si="1365"/>
        <v>1599.6985113882738</v>
      </c>
      <c r="M391" s="67">
        <f>M105/M$381</f>
        <v>1017.1400757495609</v>
      </c>
      <c r="N391" s="67">
        <f t="shared" si="1365"/>
        <v>1139.9952622149333</v>
      </c>
      <c r="O391" s="67">
        <f>O105/O$381</f>
        <v>1463.5086200735429</v>
      </c>
      <c r="P391" s="67">
        <f>P105/P$381</f>
        <v>3060.4413372410359</v>
      </c>
      <c r="Q391" s="8"/>
      <c r="R391" s="67">
        <f t="shared" ref="R391:AF391" si="1366">R105/R$381</f>
        <v>315.1865838495147</v>
      </c>
      <c r="S391" s="67">
        <f t="shared" si="1366"/>
        <v>368.61375360703778</v>
      </c>
      <c r="T391" s="67">
        <f t="shared" si="1366"/>
        <v>536.18093714895952</v>
      </c>
      <c r="U391" s="67">
        <f t="shared" si="1366"/>
        <v>535.67286777604932</v>
      </c>
      <c r="V391" s="67">
        <f t="shared" si="1366"/>
        <v>377.78055910323644</v>
      </c>
      <c r="W391" s="67">
        <f t="shared" si="1366"/>
        <v>409.62886095008679</v>
      </c>
      <c r="X391" s="67">
        <f t="shared" si="1366"/>
        <v>333.43545499839621</v>
      </c>
      <c r="Y391" s="67">
        <f t="shared" si="1366"/>
        <v>537.5440542014494</v>
      </c>
      <c r="Z391" s="67">
        <f t="shared" si="1366"/>
        <v>399.47334756066664</v>
      </c>
      <c r="AA391" s="67">
        <f t="shared" si="1366"/>
        <v>406.86881529600015</v>
      </c>
      <c r="AB391" s="67">
        <f t="shared" si="1366"/>
        <v>342.41621127804677</v>
      </c>
      <c r="AC391" s="67">
        <f t="shared" si="1366"/>
        <v>489.76874338826673</v>
      </c>
      <c r="AD391" s="67">
        <f t="shared" si="1366"/>
        <v>274.74594898294004</v>
      </c>
      <c r="AE391" s="67">
        <f t="shared" si="1366"/>
        <v>326.74080253028939</v>
      </c>
      <c r="AF391" s="67">
        <f t="shared" si="1366"/>
        <v>236.2776644602034</v>
      </c>
      <c r="AG391" s="67">
        <f t="shared" ref="AG391:AM391" si="1367">AG105/AG$381</f>
        <v>309.35453150520294</v>
      </c>
      <c r="AH391" s="67">
        <f t="shared" si="1367"/>
        <v>165.67139105618463</v>
      </c>
      <c r="AI391" s="67">
        <f t="shared" si="1367"/>
        <v>-41.393116314367774</v>
      </c>
      <c r="AJ391" s="67">
        <f t="shared" si="1367"/>
        <v>174.52780367607988</v>
      </c>
      <c r="AK391" s="67">
        <f t="shared" si="1367"/>
        <v>439.04411049636519</v>
      </c>
      <c r="AL391" s="67">
        <f t="shared" si="1367"/>
        <v>331.79513391379885</v>
      </c>
      <c r="AM391" s="67">
        <f t="shared" si="1367"/>
        <v>384.45451064085523</v>
      </c>
      <c r="AN391" s="67">
        <f t="shared" ref="AN391:AS391" si="1368">AN105/AN$381</f>
        <v>423.07540800562259</v>
      </c>
      <c r="AO391" s="67">
        <f t="shared" si="1368"/>
        <v>452.1765138125561</v>
      </c>
      <c r="AP391" s="67">
        <f t="shared" si="1368"/>
        <v>251.83443823272972</v>
      </c>
      <c r="AQ391" s="67">
        <f t="shared" si="1368"/>
        <v>292.52670137678683</v>
      </c>
      <c r="AR391" s="67">
        <f t="shared" si="1368"/>
        <v>170.30650373989315</v>
      </c>
      <c r="AS391" s="67">
        <f t="shared" si="1368"/>
        <v>145.84324682725816</v>
      </c>
      <c r="AT391" s="67">
        <f t="shared" ref="AT391:AY391" si="1369">AT105/AT$381</f>
        <v>152.47990992658416</v>
      </c>
      <c r="AU391" s="67">
        <f t="shared" si="1369"/>
        <v>380.81550230332857</v>
      </c>
      <c r="AV391" s="67">
        <f t="shared" si="1369"/>
        <v>170.14055559464404</v>
      </c>
      <c r="AW391" s="67">
        <f t="shared" si="1369"/>
        <v>436.70443864260864</v>
      </c>
      <c r="AX391" s="67">
        <f t="shared" si="1369"/>
        <v>262.08319337343204</v>
      </c>
      <c r="AY391" s="67">
        <f t="shared" si="1369"/>
        <v>385.72113551242688</v>
      </c>
      <c r="AZ391" s="67">
        <f t="shared" ref="AZ391:BE391" si="1370">AZ105/AZ$381</f>
        <v>272.10191291923269</v>
      </c>
      <c r="BA391" s="67">
        <f t="shared" si="1370"/>
        <v>539.84567867927115</v>
      </c>
      <c r="BB391" s="67">
        <f t="shared" si="1370"/>
        <v>363.80606669415158</v>
      </c>
      <c r="BC391" s="67">
        <f t="shared" si="1370"/>
        <v>821.02734714259043</v>
      </c>
      <c r="BD391" s="67">
        <f t="shared" si="1370"/>
        <v>340.86413910941587</v>
      </c>
      <c r="BE391" s="67">
        <f t="shared" si="1370"/>
        <v>1562.0789583021005</v>
      </c>
      <c r="BF391" s="67">
        <f>BF105/BF$381</f>
        <v>165.3533392738305</v>
      </c>
      <c r="BG391" s="142"/>
      <c r="BH391" s="67"/>
      <c r="BI391" s="67"/>
      <c r="BJ391" s="67"/>
      <c r="BK391" s="67"/>
      <c r="BL391" s="67">
        <f>BL105/BL$381</f>
        <v>274.74594898294004</v>
      </c>
      <c r="BM391" s="8"/>
      <c r="BN391" s="67">
        <f>R391+S391</f>
        <v>683.80033745655248</v>
      </c>
      <c r="BO391" s="67">
        <f>V391+W391</f>
        <v>787.40942005332317</v>
      </c>
      <c r="BP391" s="67">
        <f>Z391+AA391</f>
        <v>806.34216285666685</v>
      </c>
      <c r="BQ391" s="67">
        <f>AD391+AE391</f>
        <v>601.48675151322936</v>
      </c>
      <c r="BR391" s="67">
        <f>AH391+AI391</f>
        <v>124.27827474181686</v>
      </c>
      <c r="BS391" s="67">
        <f>AL391+AM391</f>
        <v>716.24964455465408</v>
      </c>
      <c r="BT391" s="67">
        <f>AM391+AN391</f>
        <v>807.52991864647788</v>
      </c>
      <c r="BU391" s="67">
        <f>AN391+AO391</f>
        <v>875.25192181817874</v>
      </c>
      <c r="BV391" s="67">
        <f>AO391+AP391</f>
        <v>704.01095204528588</v>
      </c>
      <c r="BW391" s="67">
        <f>AP391+AQ391</f>
        <v>544.36113960951661</v>
      </c>
      <c r="BX391" s="8"/>
      <c r="BY391" s="8"/>
      <c r="BZ391" s="8"/>
      <c r="CA391" s="8"/>
      <c r="CC391" s="146">
        <f>CC105/CC381</f>
        <v>316.57900911643645</v>
      </c>
      <c r="CD391" s="146">
        <f>CD105/CD381</f>
        <v>677.72744861217234</v>
      </c>
      <c r="CE391" s="146">
        <f>CE105/CE381</f>
        <v>914.40070216396953</v>
      </c>
      <c r="CJ391" s="6"/>
      <c r="CK391" s="6"/>
      <c r="CL391" s="6"/>
    </row>
    <row r="392" spans="1:90" s="49" customFormat="1" ht="13.5" customHeight="1" thickTop="1">
      <c r="B392" s="22" t="str">
        <f>B106</f>
        <v xml:space="preserve">% growth </v>
      </c>
      <c r="C392" s="52">
        <f>C106</f>
        <v>0.1311023421204871</v>
      </c>
      <c r="D392" s="52">
        <f t="shared" ref="D392:K392" si="1371">D391/C391-1</f>
        <v>-3.0573776908357941E-2</v>
      </c>
      <c r="E392" s="52">
        <f t="shared" si="1371"/>
        <v>0.1500870896739892</v>
      </c>
      <c r="F392" s="52">
        <f t="shared" si="1371"/>
        <v>-5.3962455381348695E-2</v>
      </c>
      <c r="G392" s="52">
        <f t="shared" si="1371"/>
        <v>0</v>
      </c>
      <c r="H392" s="52">
        <f t="shared" si="1371"/>
        <v>-1.1844677762551603E-2</v>
      </c>
      <c r="I392" s="52">
        <f t="shared" si="1371"/>
        <v>-0.18856245555120399</v>
      </c>
      <c r="J392" s="52">
        <f t="shared" si="1371"/>
        <v>-0.1403782289456682</v>
      </c>
      <c r="K392" s="52">
        <f t="shared" si="1371"/>
        <v>-0.37296537360497439</v>
      </c>
      <c r="L392" s="52">
        <f>L391/K391-1</f>
        <v>1.2264818394780481</v>
      </c>
      <c r="M392" s="52">
        <f>M391/L391-1</f>
        <v>-0.36416764252230782</v>
      </c>
      <c r="N392" s="52">
        <f>N391/M391-1</f>
        <v>0.12078492372334937</v>
      </c>
      <c r="O392" s="52">
        <f>O391/N391-1</f>
        <v>0.28378482664045923</v>
      </c>
      <c r="P392" s="52">
        <f>P391/O391-1</f>
        <v>1.0911672779127501</v>
      </c>
      <c r="Q392" s="335"/>
      <c r="R392" s="79">
        <f>R391/CC391-1</f>
        <v>-4.3983499436932583E-3</v>
      </c>
      <c r="S392" s="79">
        <f>S391/(CD391-CC391)-1</f>
        <v>2.0671040754670189E-2</v>
      </c>
      <c r="T392" s="79">
        <f>T391/(CE391-CD391)-1</f>
        <v>1.2654902026418187</v>
      </c>
      <c r="U392" s="79">
        <f>U391/(E391-CE391)-1</f>
        <v>-0.36444334255266497</v>
      </c>
      <c r="V392" s="224">
        <f t="shared" ref="V392:AC392" si="1372">(+V391/R391)-1</f>
        <v>0.1985933997863536</v>
      </c>
      <c r="W392" s="224">
        <f t="shared" si="1372"/>
        <v>0.11126852143117083</v>
      </c>
      <c r="X392" s="224">
        <f t="shared" si="1372"/>
        <v>-0.37812885185479361</v>
      </c>
      <c r="Y392" s="224">
        <f>(+Y391/U391)-1</f>
        <v>3.4931513951204085E-3</v>
      </c>
      <c r="Z392" s="224">
        <f t="shared" si="1372"/>
        <v>5.7421664335835176E-2</v>
      </c>
      <c r="AA392" s="224">
        <f t="shared" si="1372"/>
        <v>-6.7379179476881879E-3</v>
      </c>
      <c r="AB392" s="224">
        <f t="shared" si="1372"/>
        <v>2.6934017198902094E-2</v>
      </c>
      <c r="AC392" s="224">
        <f t="shared" si="1372"/>
        <v>-8.887701471120435E-2</v>
      </c>
      <c r="AD392" s="224">
        <f t="shared" ref="AD392:BF392" si="1373">(+AD391/Z391)-1</f>
        <v>-0.31222958762920894</v>
      </c>
      <c r="AE392" s="224">
        <f t="shared" si="1373"/>
        <v>-0.19693820158572983</v>
      </c>
      <c r="AF392" s="224">
        <f t="shared" si="1373"/>
        <v>-0.30996939783221122</v>
      </c>
      <c r="AG392" s="224">
        <f t="shared" si="1373"/>
        <v>-0.36836612037538596</v>
      </c>
      <c r="AH392" s="224">
        <f t="shared" si="1373"/>
        <v>-0.39700151478312873</v>
      </c>
      <c r="AI392" s="224">
        <f t="shared" si="1373"/>
        <v>-1.1266848706798123</v>
      </c>
      <c r="AJ392" s="224">
        <f t="shared" si="1373"/>
        <v>-0.26134446912363207</v>
      </c>
      <c r="AK392" s="224">
        <f t="shared" si="1373"/>
        <v>0.41922637551207509</v>
      </c>
      <c r="AL392" s="224">
        <f t="shared" si="1373"/>
        <v>1.0027304159067283</v>
      </c>
      <c r="AM392" s="224">
        <f t="shared" si="1373"/>
        <v>-10.287885157547537</v>
      </c>
      <c r="AN392" s="224">
        <f t="shared" si="1373"/>
        <v>1.4241146630759309</v>
      </c>
      <c r="AO392" s="224">
        <f t="shared" si="1373"/>
        <v>2.9911352873732699E-2</v>
      </c>
      <c r="AP392" s="224">
        <f t="shared" si="1373"/>
        <v>-0.24099417835899639</v>
      </c>
      <c r="AQ392" s="224">
        <f t="shared" si="1373"/>
        <v>-0.23911231815392675</v>
      </c>
      <c r="AR392" s="224">
        <f t="shared" si="1373"/>
        <v>-0.59745591325499636</v>
      </c>
      <c r="AS392" s="224">
        <f t="shared" si="1373"/>
        <v>-0.67746390541699919</v>
      </c>
      <c r="AT392" s="224">
        <f t="shared" si="1373"/>
        <v>-0.39452319946141878</v>
      </c>
      <c r="AU392" s="224">
        <f t="shared" si="1373"/>
        <v>0.30181450278216482</v>
      </c>
      <c r="AV392" s="224">
        <f t="shared" si="1373"/>
        <v>-9.7440873721743593E-4</v>
      </c>
      <c r="AW392" s="224">
        <f t="shared" si="1373"/>
        <v>1.9943411720657633</v>
      </c>
      <c r="AX392" s="224">
        <f t="shared" si="1373"/>
        <v>0.71880474942318329</v>
      </c>
      <c r="AY392" s="224">
        <f t="shared" si="1373"/>
        <v>1.2881915729341387E-2</v>
      </c>
      <c r="AZ392" s="224">
        <f t="shared" si="1373"/>
        <v>0.5992772091770362</v>
      </c>
      <c r="BA392" s="224">
        <f t="shared" si="1373"/>
        <v>0.23618088324737996</v>
      </c>
      <c r="BB392" s="224">
        <f t="shared" si="1373"/>
        <v>0.38813199736840276</v>
      </c>
      <c r="BC392" s="224">
        <f t="shared" si="1373"/>
        <v>1.1285516181317452</v>
      </c>
      <c r="BD392" s="224">
        <f t="shared" si="1373"/>
        <v>0.25270761771746053</v>
      </c>
      <c r="BE392" s="224">
        <f t="shared" si="1373"/>
        <v>1.8935657355333775</v>
      </c>
      <c r="BF392" s="224">
        <f t="shared" si="1373"/>
        <v>-0.54549042907291168</v>
      </c>
      <c r="BG392" s="142"/>
      <c r="BH392" s="224"/>
      <c r="BI392" s="224"/>
      <c r="BJ392" s="224"/>
      <c r="BK392" s="224"/>
      <c r="BL392" s="224" t="e">
        <f>(+BL391/BH391)-1</f>
        <v>#DIV/0!</v>
      </c>
      <c r="BM392" s="335"/>
      <c r="BN392" s="224">
        <f>BN391/CD391-1</f>
        <v>8.9606653188032404E-3</v>
      </c>
      <c r="BO392" s="52">
        <f t="shared" ref="BO392:BT392" si="1374">BO106</f>
        <v>0.10357845085114814</v>
      </c>
      <c r="BP392" s="52">
        <f t="shared" si="1374"/>
        <v>2.3438090864738914E-2</v>
      </c>
      <c r="BQ392" s="52">
        <f t="shared" si="1374"/>
        <v>-3.883431689297745E-2</v>
      </c>
      <c r="BR392" s="52">
        <f t="shared" si="1374"/>
        <v>-0.73764092971591655</v>
      </c>
      <c r="BS392" s="52">
        <f t="shared" si="1374"/>
        <v>3.8111583199025292</v>
      </c>
      <c r="BT392" s="52">
        <f t="shared" si="1374"/>
        <v>-7.8224133773656335E-2</v>
      </c>
      <c r="BU392" s="52">
        <f>BU106</f>
        <v>-8.8289960804579071E-2</v>
      </c>
      <c r="BV392" s="52">
        <f>BV106</f>
        <v>0.41014882336819025</v>
      </c>
      <c r="BW392" s="52">
        <f>BW106</f>
        <v>0.83973838588085048</v>
      </c>
      <c r="BX392" s="335"/>
      <c r="BY392" s="335"/>
      <c r="BZ392" s="335"/>
      <c r="CA392" s="335"/>
      <c r="CC392" s="212"/>
      <c r="CD392" s="212"/>
      <c r="CE392" s="212"/>
      <c r="CJ392" s="6"/>
      <c r="CK392" s="6"/>
      <c r="CL392" s="6"/>
    </row>
    <row r="393" spans="1:90" s="49" customFormat="1" ht="13.5" customHeight="1">
      <c r="B393" s="22" t="str">
        <f>B107</f>
        <v>% margin</v>
      </c>
      <c r="C393" s="52">
        <f>C391/C388</f>
        <v>0.12846890708307987</v>
      </c>
      <c r="D393" s="52">
        <f>D391/D388</f>
        <v>0.13008351710784888</v>
      </c>
      <c r="E393" s="52">
        <f>E391/E388</f>
        <v>0.14966904397027536</v>
      </c>
      <c r="F393" s="52">
        <f t="shared" ref="F393:K393" si="1375">F391/F388</f>
        <v>0.13224491121716259</v>
      </c>
      <c r="G393" s="52">
        <f t="shared" si="1375"/>
        <v>0.13277315547939791</v>
      </c>
      <c r="H393" s="52">
        <f t="shared" si="1375"/>
        <v>0.12943855568199142</v>
      </c>
      <c r="I393" s="52">
        <f t="shared" si="1375"/>
        <v>0.11170271235264653</v>
      </c>
      <c r="J393" s="52">
        <f t="shared" si="1375"/>
        <v>0.1008282568934426</v>
      </c>
      <c r="K393" s="52">
        <f t="shared" si="1375"/>
        <v>6.9736172533258978E-2</v>
      </c>
      <c r="L393" s="52">
        <f>L391/L388</f>
        <v>0.11652282191894694</v>
      </c>
      <c r="M393" s="52">
        <f>M391/M388</f>
        <v>7.3201650436572951E-2</v>
      </c>
      <c r="N393" s="52">
        <f>N391/N388</f>
        <v>0.10102993096859481</v>
      </c>
      <c r="O393" s="52">
        <f>O391/O388</f>
        <v>0.1343067870466482</v>
      </c>
      <c r="P393" s="52">
        <f>P391/P388</f>
        <v>0.25653033873817688</v>
      </c>
      <c r="Q393" s="335"/>
      <c r="R393" s="52">
        <f>R391/R388</f>
        <v>0.11697822480567246</v>
      </c>
      <c r="S393" s="52">
        <f>S391/S388</f>
        <v>0.12814840278856465</v>
      </c>
      <c r="T393" s="52">
        <f>T391/T388</f>
        <v>0.18977934323465695</v>
      </c>
      <c r="U393" s="52">
        <f>U391/U388</f>
        <v>0.16278244659583735</v>
      </c>
      <c r="V393" s="224">
        <f>V391/V388</f>
        <v>0.12678206294341682</v>
      </c>
      <c r="W393" s="224">
        <f t="shared" ref="W393:AB393" si="1376">W391/W388</f>
        <v>0.1350039777553369</v>
      </c>
      <c r="X393" s="224">
        <f t="shared" si="1376"/>
        <v>0.10953298421199689</v>
      </c>
      <c r="Y393" s="52">
        <f t="shared" si="1376"/>
        <v>0.15333385243755041</v>
      </c>
      <c r="Z393" s="52">
        <f t="shared" si="1376"/>
        <v>0.13010747475391443</v>
      </c>
      <c r="AA393" s="52">
        <f t="shared" si="1376"/>
        <v>0.12825088916901978</v>
      </c>
      <c r="AB393" s="224">
        <f t="shared" si="1376"/>
        <v>0.11279477816673371</v>
      </c>
      <c r="AC393" s="224">
        <f t="shared" ref="AC393:AH393" si="1377">AC391/AC388</f>
        <v>0.14405284193832607</v>
      </c>
      <c r="AD393" s="52">
        <f t="shared" si="1377"/>
        <v>9.675577895118645E-2</v>
      </c>
      <c r="AE393" s="52">
        <f t="shared" si="1377"/>
        <v>0.11127669615973119</v>
      </c>
      <c r="AF393" s="52">
        <f t="shared" si="1377"/>
        <v>9.144898054366131E-2</v>
      </c>
      <c r="AG393" s="224">
        <f t="shared" si="1377"/>
        <v>0.10289783638994801</v>
      </c>
      <c r="AH393" s="52">
        <f t="shared" si="1377"/>
        <v>7.4763073460372934E-2</v>
      </c>
      <c r="AI393" s="52">
        <f t="shared" ref="AI393:AN393" si="1378">AI391/AI388</f>
        <v>-2.3313897480450485E-2</v>
      </c>
      <c r="AJ393" s="52">
        <f t="shared" si="1378"/>
        <v>6.1457809406964999E-2</v>
      </c>
      <c r="AK393" s="224">
        <f t="shared" si="1378"/>
        <v>0.12293350689166711</v>
      </c>
      <c r="AL393" s="52">
        <f t="shared" si="1378"/>
        <v>0.10835655360080582</v>
      </c>
      <c r="AM393" s="52">
        <f t="shared" si="1378"/>
        <v>0.11506623616897611</v>
      </c>
      <c r="AN393" s="52">
        <f t="shared" si="1378"/>
        <v>0.12032686154771992</v>
      </c>
      <c r="AO393" s="224">
        <f t="shared" ref="AO393:AT393" si="1379">AO391/AO388</f>
        <v>0.1202659645535837</v>
      </c>
      <c r="AP393" s="52">
        <f t="shared" si="1379"/>
        <v>8.1117967855634618E-2</v>
      </c>
      <c r="AQ393" s="52">
        <f t="shared" si="1379"/>
        <v>0.10253671139627936</v>
      </c>
      <c r="AR393" s="52">
        <f t="shared" si="1379"/>
        <v>6.3222603899442745E-2</v>
      </c>
      <c r="AS393" s="224">
        <f t="shared" si="1379"/>
        <v>4.7473388574998457E-2</v>
      </c>
      <c r="AT393" s="52">
        <f t="shared" si="1379"/>
        <v>5.4326247910097492E-2</v>
      </c>
      <c r="AU393" s="52">
        <f t="shared" ref="AU393:AZ393" si="1380">AU391/AU388</f>
        <v>0.13945435470264711</v>
      </c>
      <c r="AV393" s="52">
        <f t="shared" si="1380"/>
        <v>6.5758726966304332E-2</v>
      </c>
      <c r="AW393" s="224">
        <f t="shared" si="1380"/>
        <v>0.13824223108391268</v>
      </c>
      <c r="AX393" s="52">
        <f t="shared" si="1380"/>
        <v>0.10377992858876146</v>
      </c>
      <c r="AY393" s="52">
        <f t="shared" si="1380"/>
        <v>0.14825089238224934</v>
      </c>
      <c r="AZ393" s="52">
        <f t="shared" si="1380"/>
        <v>0.1062283047047308</v>
      </c>
      <c r="BA393" s="224">
        <f t="shared" ref="BA393:BF393" si="1381">BA391/BA388</f>
        <v>0.16884057578727588</v>
      </c>
      <c r="BB393" s="52">
        <f t="shared" si="1381"/>
        <v>0.1331008729995542</v>
      </c>
      <c r="BC393" s="52">
        <f t="shared" si="1381"/>
        <v>0.28609739288615965</v>
      </c>
      <c r="BD393" s="52">
        <f t="shared" si="1381"/>
        <v>0.12438437090282708</v>
      </c>
      <c r="BE393" s="224">
        <f t="shared" si="1381"/>
        <v>0.43345414936658794</v>
      </c>
      <c r="BF393" s="52">
        <f t="shared" si="1381"/>
        <v>5.2999253391674404E-2</v>
      </c>
      <c r="BG393" s="142"/>
      <c r="BH393" s="52"/>
      <c r="BI393" s="52"/>
      <c r="BJ393" s="52"/>
      <c r="BK393" s="224"/>
      <c r="BL393" s="52">
        <f>BL391/BL388</f>
        <v>9.675577895118645E-2</v>
      </c>
      <c r="BM393" s="335"/>
      <c r="BN393" s="224">
        <f t="shared" ref="BN393:BS393" si="1382">BN391/BN388</f>
        <v>0.12274583477697758</v>
      </c>
      <c r="BO393" s="52">
        <f t="shared" si="1382"/>
        <v>0.13093023041779175</v>
      </c>
      <c r="BP393" s="52">
        <f t="shared" si="1382"/>
        <v>0.12916399821662605</v>
      </c>
      <c r="BQ393" s="52">
        <f t="shared" si="1382"/>
        <v>0.10413780459844955</v>
      </c>
      <c r="BR393" s="52">
        <f t="shared" si="1382"/>
        <v>3.1136342733092331E-2</v>
      </c>
      <c r="BS393" s="52">
        <f t="shared" si="1382"/>
        <v>0.11185761862911088</v>
      </c>
      <c r="BT393" s="52">
        <f>BT391/BT388</f>
        <v>0.1177636349002424</v>
      </c>
      <c r="BU393" s="52">
        <f>BU391/BU388</f>
        <v>0.12029539297532567</v>
      </c>
      <c r="BV393" s="52">
        <f>BV391/BV388</f>
        <v>0.10256046565157299</v>
      </c>
      <c r="BW393" s="52">
        <f>BW391/BW388</f>
        <v>9.1374964859649757E-2</v>
      </c>
      <c r="BX393" s="335"/>
      <c r="BY393" s="335"/>
      <c r="BZ393" s="335"/>
      <c r="CA393" s="335"/>
      <c r="CC393" s="212"/>
      <c r="CD393" s="212"/>
      <c r="CE393" s="212"/>
      <c r="CJ393" s="6"/>
      <c r="CK393" s="6"/>
      <c r="CL393" s="6"/>
    </row>
    <row r="394" spans="1:90" ht="13.5" customHeight="1">
      <c r="C394" s="53"/>
      <c r="S394" s="53"/>
      <c r="T394" s="53"/>
      <c r="U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  <c r="BE394" s="53"/>
      <c r="BF394" s="53"/>
      <c r="BG394" s="142"/>
      <c r="BH394" s="53"/>
      <c r="BI394" s="53"/>
      <c r="BJ394" s="53"/>
      <c r="BK394" s="53"/>
      <c r="BL394" s="53"/>
      <c r="BM394" s="53"/>
      <c r="BN394" s="53"/>
      <c r="BO394" s="53"/>
      <c r="BP394" s="53"/>
      <c r="BQ394" s="53"/>
      <c r="BR394" s="53"/>
      <c r="BS394" s="53"/>
      <c r="BT394" s="53"/>
      <c r="BU394" s="53"/>
      <c r="BV394" s="53"/>
      <c r="BW394" s="53"/>
      <c r="BX394" s="53"/>
      <c r="BY394" s="53"/>
      <c r="BZ394" s="53"/>
      <c r="CA394" s="53"/>
      <c r="CC394" s="203"/>
      <c r="CD394" s="203"/>
      <c r="CE394" s="203"/>
      <c r="CJ394" s="6"/>
      <c r="CK394" s="6"/>
      <c r="CL394" s="6"/>
    </row>
    <row r="395" spans="1:90" s="5" customFormat="1" ht="13.5" customHeight="1" thickBot="1">
      <c r="B395" s="26" t="str">
        <f>B109</f>
        <v xml:space="preserve">Adj. EBITDA </v>
      </c>
      <c r="C395" s="67">
        <f t="shared" ref="C395:H395" si="1383">C109/C$381</f>
        <v>1561.279414328046</v>
      </c>
      <c r="D395" s="67">
        <f t="shared" si="1383"/>
        <v>1476.7910436455634</v>
      </c>
      <c r="E395" s="67">
        <f t="shared" si="1383"/>
        <v>1518.3211440123675</v>
      </c>
      <c r="F395" s="67">
        <f t="shared" si="1383"/>
        <v>1653.7383879225606</v>
      </c>
      <c r="G395" s="67">
        <f t="shared" si="1383"/>
        <v>1657.4016430398115</v>
      </c>
      <c r="H395" s="67">
        <f t="shared" si="1383"/>
        <v>1606.7015000488796</v>
      </c>
      <c r="I395" s="67">
        <f t="shared" ref="I395:N395" si="1384">I109/I$381</f>
        <v>1296.0825676840936</v>
      </c>
      <c r="J395" s="67">
        <f t="shared" si="1384"/>
        <v>1116.5040999649646</v>
      </c>
      <c r="K395" s="67">
        <f t="shared" si="1384"/>
        <v>774.55340764434391</v>
      </c>
      <c r="L395" s="67">
        <f t="shared" si="1384"/>
        <v>1638.2937492769518</v>
      </c>
      <c r="M395" s="67">
        <f>M109/M$381</f>
        <v>1004.6809586819417</v>
      </c>
      <c r="N395" s="67">
        <f t="shared" si="1384"/>
        <v>818.02951562902183</v>
      </c>
      <c r="O395" s="67">
        <f>O109/O$381</f>
        <v>1214.7293219597088</v>
      </c>
      <c r="P395" s="67">
        <f>P109/P$381</f>
        <v>1580.8093352386286</v>
      </c>
      <c r="Q395" s="8"/>
      <c r="R395" s="67">
        <f t="shared" ref="R395:AF395" si="1385">R109/R$381</f>
        <v>313.56640201681438</v>
      </c>
      <c r="S395" s="67">
        <f t="shared" si="1385"/>
        <v>369.53289101764585</v>
      </c>
      <c r="T395" s="67">
        <f t="shared" si="1385"/>
        <v>328.99799362271239</v>
      </c>
      <c r="U395" s="67">
        <f t="shared" si="1385"/>
        <v>500.94571942667596</v>
      </c>
      <c r="V395" s="67">
        <f t="shared" si="1385"/>
        <v>386.77054836690763</v>
      </c>
      <c r="W395" s="67">
        <f t="shared" si="1385"/>
        <v>396.82030866521126</v>
      </c>
      <c r="X395" s="67">
        <f t="shared" si="1385"/>
        <v>335.41276132611279</v>
      </c>
      <c r="Y395" s="67">
        <f t="shared" si="1385"/>
        <v>531.03291839585097</v>
      </c>
      <c r="Z395" s="67">
        <f t="shared" si="1385"/>
        <v>400.3982318973334</v>
      </c>
      <c r="AA395" s="67">
        <f t="shared" si="1385"/>
        <v>408.56368275600016</v>
      </c>
      <c r="AB395" s="67">
        <f t="shared" si="1385"/>
        <v>340.37172825408845</v>
      </c>
      <c r="AC395" s="67">
        <f t="shared" si="1385"/>
        <v>454.56073204247639</v>
      </c>
      <c r="AD395" s="67">
        <f t="shared" si="1385"/>
        <v>275.59168258661316</v>
      </c>
      <c r="AE395" s="67">
        <f t="shared" si="1385"/>
        <v>313.34647432437049</v>
      </c>
      <c r="AF395" s="67">
        <f t="shared" si="1385"/>
        <v>231.12570478357819</v>
      </c>
      <c r="AG395" s="67">
        <f t="shared" ref="AG395:AM395" si="1386">AG109/AG$381</f>
        <v>297.97342294790985</v>
      </c>
      <c r="AH395" s="67">
        <f t="shared" si="1386"/>
        <v>165.30730176722386</v>
      </c>
      <c r="AI395" s="67">
        <f t="shared" si="1386"/>
        <v>-43.160848976099473</v>
      </c>
      <c r="AJ395" s="67">
        <f t="shared" si="1386"/>
        <v>171.75806447481651</v>
      </c>
      <c r="AK395" s="67">
        <f t="shared" si="1386"/>
        <v>503.4239049584063</v>
      </c>
      <c r="AL395" s="67">
        <f t="shared" si="1386"/>
        <v>337.71970147411679</v>
      </c>
      <c r="AM395" s="67">
        <f t="shared" si="1386"/>
        <v>386.50918871777247</v>
      </c>
      <c r="AN395" s="67">
        <f t="shared" ref="AN395:AS395" si="1387">AN109/AN$381</f>
        <v>417.28650121341269</v>
      </c>
      <c r="AO395" s="67">
        <f t="shared" si="1387"/>
        <v>485.59927850277222</v>
      </c>
      <c r="AP395" s="67">
        <f t="shared" si="1387"/>
        <v>249.37519066982881</v>
      </c>
      <c r="AQ395" s="67">
        <f t="shared" si="1387"/>
        <v>201.67864783025433</v>
      </c>
      <c r="AR395" s="67">
        <f t="shared" si="1387"/>
        <v>143.79713454969965</v>
      </c>
      <c r="AS395" s="67">
        <f t="shared" si="1387"/>
        <v>256.06008044188218</v>
      </c>
      <c r="AT395" s="67">
        <f t="shared" ref="AT395:AY395" si="1388">AT109/AT$381</f>
        <v>145.89527052871858</v>
      </c>
      <c r="AU395" s="67">
        <f t="shared" si="1388"/>
        <v>171.02348277303861</v>
      </c>
      <c r="AV395" s="67">
        <f t="shared" si="1388"/>
        <v>151.64360679190412</v>
      </c>
      <c r="AW395" s="67">
        <f t="shared" si="1388"/>
        <v>347.10417773852578</v>
      </c>
      <c r="AX395" s="67">
        <f t="shared" si="1388"/>
        <v>241.94916717364197</v>
      </c>
      <c r="AY395" s="67">
        <f t="shared" si="1388"/>
        <v>274.44757405515833</v>
      </c>
      <c r="AZ395" s="67">
        <f t="shared" ref="AZ395:BE395" si="1389">AZ109/AZ$381</f>
        <v>255.27290222785021</v>
      </c>
      <c r="BA395" s="67">
        <f t="shared" si="1389"/>
        <v>440.00450965539414</v>
      </c>
      <c r="BB395" s="67">
        <f t="shared" si="1389"/>
        <v>346.60470661035941</v>
      </c>
      <c r="BC395" s="67">
        <f t="shared" si="1389"/>
        <v>369.84106874592845</v>
      </c>
      <c r="BD395" s="67">
        <f t="shared" si="1389"/>
        <v>315.80183992831968</v>
      </c>
      <c r="BE395" s="67">
        <f t="shared" si="1389"/>
        <v>552.81321075964274</v>
      </c>
      <c r="BF395" s="67">
        <f>BF109/BF$381</f>
        <v>398.91596715431382</v>
      </c>
      <c r="BG395" s="142"/>
      <c r="BH395" s="67"/>
      <c r="BI395" s="67"/>
      <c r="BJ395" s="67"/>
      <c r="BK395" s="67"/>
      <c r="BL395" s="67">
        <f>BL109/BL$381</f>
        <v>275.59168258661316</v>
      </c>
      <c r="BM395" s="8"/>
      <c r="BN395" s="67">
        <f>R395+S395</f>
        <v>683.09929303446029</v>
      </c>
      <c r="BO395" s="67">
        <f>V395+W395</f>
        <v>783.59085703211895</v>
      </c>
      <c r="BP395" s="67">
        <f>Z395+AA395</f>
        <v>808.96191465333357</v>
      </c>
      <c r="BQ395" s="67">
        <f>AD395+AE395</f>
        <v>588.93815691098371</v>
      </c>
      <c r="BR395" s="67">
        <f>AH395+AI395</f>
        <v>122.14645279112439</v>
      </c>
      <c r="BS395" s="67">
        <f>AL395+AM395</f>
        <v>724.22889019188926</v>
      </c>
      <c r="BT395" s="67">
        <f>AM395+AN395</f>
        <v>803.79568993118517</v>
      </c>
      <c r="BU395" s="67">
        <f>AN395+AO395</f>
        <v>902.88577971618497</v>
      </c>
      <c r="BV395" s="67">
        <f>AO395+AP395</f>
        <v>734.97446917260106</v>
      </c>
      <c r="BW395" s="67">
        <f>AP395+AQ395</f>
        <v>451.05383850008315</v>
      </c>
      <c r="BX395" s="8"/>
      <c r="BY395" s="8"/>
      <c r="BZ395" s="8"/>
      <c r="CA395" s="8"/>
      <c r="CC395" s="146">
        <f>CC109/CC381</f>
        <v>328.23980170788934</v>
      </c>
      <c r="CD395" s="146">
        <f>CD109/CD381</f>
        <v>709.18888507518739</v>
      </c>
      <c r="CE395" s="146">
        <f>CE109/CE381</f>
        <v>949.52139720367836</v>
      </c>
      <c r="CJ395" s="6"/>
      <c r="CK395" s="6"/>
      <c r="CL395" s="6"/>
    </row>
    <row r="396" spans="1:90" s="49" customFormat="1" ht="13.5" customHeight="1" thickTop="1">
      <c r="B396" s="22" t="str">
        <f>B110</f>
        <v xml:space="preserve">% growth </v>
      </c>
      <c r="C396" s="52"/>
      <c r="D396" s="52">
        <f>D395/C395-1</f>
        <v>-5.4114830380214363E-2</v>
      </c>
      <c r="E396" s="52">
        <f>E395/D395-1</f>
        <v>2.8121852814250614E-2</v>
      </c>
      <c r="F396" s="52">
        <f>F395/E395-1</f>
        <v>8.9188802016110236E-2</v>
      </c>
      <c r="G396" s="52">
        <f>G395/F395-1</f>
        <v>2.2151358062461046E-3</v>
      </c>
      <c r="H396" s="52">
        <f>H395/G395-1</f>
        <v>-3.0590136798672174E-2</v>
      </c>
      <c r="I396" s="52">
        <f>I395/G395-1</f>
        <v>-0.2180033288087182</v>
      </c>
      <c r="J396" s="52">
        <f t="shared" ref="J396:P396" si="1390">J395/I395-1</f>
        <v>-0.13855480522356611</v>
      </c>
      <c r="K396" s="52">
        <f t="shared" si="1390"/>
        <v>-0.30626908788901974</v>
      </c>
      <c r="L396" s="52">
        <f t="shared" si="1390"/>
        <v>1.1151462676531358</v>
      </c>
      <c r="M396" s="52">
        <f t="shared" si="1390"/>
        <v>-0.38675163771738141</v>
      </c>
      <c r="N396" s="52">
        <f t="shared" si="1390"/>
        <v>-0.18578180609473394</v>
      </c>
      <c r="O396" s="52">
        <f t="shared" si="1390"/>
        <v>0.48494559028917883</v>
      </c>
      <c r="P396" s="52">
        <f t="shared" si="1390"/>
        <v>0.3013675612014759</v>
      </c>
      <c r="Q396" s="335"/>
      <c r="R396" s="79">
        <f>R395/CC395-1</f>
        <v>-4.4703291967417402E-2</v>
      </c>
      <c r="S396" s="79">
        <f>S395/(CD395-CC395)-1</f>
        <v>-2.9967764323625135E-2</v>
      </c>
      <c r="T396" s="79">
        <f>T395/(CE395-CD395)-1</f>
        <v>0.36892836807205454</v>
      </c>
      <c r="U396" s="79">
        <f>U395/(E395-CE395)-1</f>
        <v>-0.11929335018645026</v>
      </c>
      <c r="V396" s="224">
        <f t="shared" ref="V396:AC396" si="1391">(+V395/R395)-1</f>
        <v>0.23345660083240616</v>
      </c>
      <c r="W396" s="224">
        <f t="shared" si="1391"/>
        <v>7.3843001017904975E-2</v>
      </c>
      <c r="X396" s="224">
        <f t="shared" si="1391"/>
        <v>1.9497893080639095E-2</v>
      </c>
      <c r="Y396" s="224">
        <f>(+Y395/U395)-1</f>
        <v>6.0060796614070933E-2</v>
      </c>
      <c r="Z396" s="224">
        <f t="shared" si="1391"/>
        <v>3.5234543033245469E-2</v>
      </c>
      <c r="AA396" s="224">
        <f t="shared" si="1391"/>
        <v>2.9593682163824298E-2</v>
      </c>
      <c r="AB396" s="224">
        <f t="shared" si="1391"/>
        <v>1.4784669815094409E-2</v>
      </c>
      <c r="AC396" s="224">
        <f t="shared" si="1391"/>
        <v>-0.14400648943644101</v>
      </c>
      <c r="AD396" s="224">
        <f t="shared" ref="AD396:BF396" si="1392">(+AD395/Z395)-1</f>
        <v>-0.31170604505247179</v>
      </c>
      <c r="AE396" s="224">
        <f t="shared" si="1392"/>
        <v>-0.23305352984223682</v>
      </c>
      <c r="AF396" s="224">
        <f t="shared" si="1392"/>
        <v>-0.32096092125770737</v>
      </c>
      <c r="AG396" s="224">
        <f t="shared" si="1392"/>
        <v>-0.34448050184839607</v>
      </c>
      <c r="AH396" s="224">
        <f t="shared" si="1392"/>
        <v>-0.40017311039395775</v>
      </c>
      <c r="AI396" s="224">
        <f t="shared" si="1392"/>
        <v>-1.1377416135578413</v>
      </c>
      <c r="AJ396" s="224">
        <f t="shared" si="1392"/>
        <v>-0.25686299308141614</v>
      </c>
      <c r="AK396" s="224">
        <f t="shared" si="1392"/>
        <v>0.68949263990705711</v>
      </c>
      <c r="AL396" s="224">
        <f t="shared" si="1392"/>
        <v>1.0429811500382122</v>
      </c>
      <c r="AM396" s="224">
        <f t="shared" si="1392"/>
        <v>-9.9550877215553335</v>
      </c>
      <c r="AN396" s="224">
        <f t="shared" si="1392"/>
        <v>1.4295016509958169</v>
      </c>
      <c r="AO396" s="224">
        <f t="shared" si="1392"/>
        <v>-3.540679391676238E-2</v>
      </c>
      <c r="AP396" s="224">
        <f t="shared" si="1392"/>
        <v>-0.26159122615195962</v>
      </c>
      <c r="AQ396" s="224">
        <f t="shared" si="1392"/>
        <v>-0.47820477826332008</v>
      </c>
      <c r="AR396" s="224">
        <f t="shared" si="1392"/>
        <v>-0.6553995057794656</v>
      </c>
      <c r="AS396" s="224">
        <f t="shared" si="1392"/>
        <v>-0.47269262583877503</v>
      </c>
      <c r="AT396" s="224">
        <f t="shared" si="1392"/>
        <v>-0.41495675597544501</v>
      </c>
      <c r="AU396" s="224">
        <f t="shared" si="1392"/>
        <v>-0.15200005249448656</v>
      </c>
      <c r="AV396" s="224">
        <f t="shared" si="1392"/>
        <v>5.4566262858962267E-2</v>
      </c>
      <c r="AW396" s="224">
        <f t="shared" si="1392"/>
        <v>0.35555755953653168</v>
      </c>
      <c r="AX396" s="224">
        <f t="shared" si="1392"/>
        <v>0.6583756711017974</v>
      </c>
      <c r="AY396" s="224">
        <f t="shared" si="1392"/>
        <v>0.60473620116467575</v>
      </c>
      <c r="AZ396" s="224">
        <f t="shared" si="1392"/>
        <v>0.68337398211685518</v>
      </c>
      <c r="BA396" s="224">
        <f t="shared" si="1392"/>
        <v>0.26764394632798205</v>
      </c>
      <c r="BB396" s="224">
        <f t="shared" si="1392"/>
        <v>0.43255176555994646</v>
      </c>
      <c r="BC396" s="224">
        <f t="shared" si="1392"/>
        <v>0.34758366882703062</v>
      </c>
      <c r="BD396" s="224">
        <f t="shared" si="1392"/>
        <v>0.23711462192897725</v>
      </c>
      <c r="BE396" s="224">
        <f t="shared" si="1392"/>
        <v>0.2563807838983263</v>
      </c>
      <c r="BF396" s="224">
        <f t="shared" si="1392"/>
        <v>0.15092484189131583</v>
      </c>
      <c r="BG396" s="142"/>
      <c r="BH396" s="224"/>
      <c r="BI396" s="224"/>
      <c r="BJ396" s="224"/>
      <c r="BK396" s="224"/>
      <c r="BL396" s="224" t="e">
        <f>(+BL395/BH395)-1</f>
        <v>#DIV/0!</v>
      </c>
      <c r="BM396" s="335"/>
      <c r="BN396" s="241"/>
      <c r="BO396" s="79">
        <f t="shared" ref="BO396:BT396" si="1393">BO110</f>
        <v>9.9219158681756126E-2</v>
      </c>
      <c r="BP396" s="79">
        <f t="shared" si="1393"/>
        <v>3.1967615941314254E-2</v>
      </c>
      <c r="BQ396" s="79">
        <f t="shared" si="1393"/>
        <v>-6.2512813297492476E-2</v>
      </c>
      <c r="BR396" s="79">
        <f t="shared" si="1393"/>
        <v>-0.73645596489460252</v>
      </c>
      <c r="BS396" s="79">
        <f t="shared" si="1393"/>
        <v>3.9463017053192901</v>
      </c>
      <c r="BT396" s="79">
        <f t="shared" si="1393"/>
        <v>-0.2523165992722104</v>
      </c>
      <c r="BU396" s="79">
        <f>BU110</f>
        <v>-0.33978566764744522</v>
      </c>
      <c r="BV396" s="79">
        <f>BV110</f>
        <v>0.89355782827871666</v>
      </c>
      <c r="BW396" s="79">
        <f>BW110</f>
        <v>0.40317152407894108</v>
      </c>
      <c r="BX396" s="334"/>
      <c r="BY396" s="334"/>
      <c r="BZ396" s="334"/>
      <c r="CA396" s="334"/>
      <c r="CC396" s="22"/>
      <c r="CD396" s="22"/>
      <c r="CE396" s="22"/>
      <c r="CJ396" s="6"/>
      <c r="CK396" s="6"/>
      <c r="CL396" s="6"/>
    </row>
    <row r="397" spans="1:90" s="49" customFormat="1" ht="13.5" customHeight="1">
      <c r="B397" s="22" t="str">
        <f>B111</f>
        <v>% margin</v>
      </c>
      <c r="C397" s="79">
        <f>C395/C388</f>
        <v>0.12726025406118652</v>
      </c>
      <c r="D397" s="79">
        <f>D395/D388</f>
        <v>0.12573051082231215</v>
      </c>
      <c r="E397" s="79">
        <f>E395/E388</f>
        <v>0.1293195712107523</v>
      </c>
      <c r="F397" s="79">
        <f t="shared" ref="F397:K397" si="1394">F395/F388</f>
        <v>0.13155459933081437</v>
      </c>
      <c r="G397" s="79">
        <f t="shared" si="1394"/>
        <v>0.13237266151236396</v>
      </c>
      <c r="H397" s="79">
        <f t="shared" si="1394"/>
        <v>0.12660005736285304</v>
      </c>
      <c r="I397" s="79">
        <f t="shared" si="1394"/>
        <v>0.10861163086356244</v>
      </c>
      <c r="J397" s="79">
        <f t="shared" si="1394"/>
        <v>9.8246055353325243E-2</v>
      </c>
      <c r="K397" s="79">
        <f t="shared" si="1394"/>
        <v>7.5177952413531549E-2</v>
      </c>
      <c r="L397" s="79">
        <f>L395/L388</f>
        <v>0.11933411792216631</v>
      </c>
      <c r="M397" s="79">
        <f>M395/M388</f>
        <v>7.2304991309598624E-2</v>
      </c>
      <c r="N397" s="79">
        <f>N395/N388</f>
        <v>7.2496323654625203E-2</v>
      </c>
      <c r="O397" s="79">
        <f>O395/O388</f>
        <v>0.11147620869876645</v>
      </c>
      <c r="P397" s="79">
        <f>P395/P388</f>
        <v>0.13250557993534873</v>
      </c>
      <c r="Q397" s="334"/>
      <c r="R397" s="79">
        <f>R395/R388</f>
        <v>0.11637691115730292</v>
      </c>
      <c r="S397" s="79">
        <f>S395/S388</f>
        <v>0.12846794048882693</v>
      </c>
      <c r="T397" s="79">
        <f>T395/T388</f>
        <v>0.11644767433776225</v>
      </c>
      <c r="U397" s="79">
        <f>U395/U388</f>
        <v>0.15222941971755433</v>
      </c>
      <c r="V397" s="223">
        <f>V395/V388</f>
        <v>0.12979907733768037</v>
      </c>
      <c r="W397" s="223">
        <f t="shared" ref="W397:AB397" si="1395">W395/W388</f>
        <v>0.13078258206623747</v>
      </c>
      <c r="X397" s="223">
        <f t="shared" si="1395"/>
        <v>0.11018252600345727</v>
      </c>
      <c r="Y397" s="79">
        <f t="shared" si="1395"/>
        <v>0.15147655808369576</v>
      </c>
      <c r="Z397" s="79">
        <f t="shared" si="1395"/>
        <v>0.13040870727973367</v>
      </c>
      <c r="AA397" s="79">
        <f t="shared" si="1395"/>
        <v>0.12878513571384409</v>
      </c>
      <c r="AB397" s="223">
        <f t="shared" si="1395"/>
        <v>0.11212130827378586</v>
      </c>
      <c r="AC397" s="223">
        <f t="shared" ref="AC397:AH397" si="1396">AC395/AC388</f>
        <v>0.13369731361638654</v>
      </c>
      <c r="AD397" s="79">
        <f t="shared" si="1396"/>
        <v>9.7053616331178788E-2</v>
      </c>
      <c r="AE397" s="79">
        <f t="shared" si="1396"/>
        <v>0.10671504797104014</v>
      </c>
      <c r="AF397" s="79">
        <f t="shared" si="1396"/>
        <v>8.9454964472333587E-2</v>
      </c>
      <c r="AG397" s="223">
        <f t="shared" si="1396"/>
        <v>9.9112239842949035E-2</v>
      </c>
      <c r="AH397" s="79">
        <f t="shared" si="1396"/>
        <v>7.4598769689618219E-2</v>
      </c>
      <c r="AI397" s="79">
        <f t="shared" ref="AI397:AN397" si="1397">AI395/AI388</f>
        <v>-2.4309539792941742E-2</v>
      </c>
      <c r="AJ397" s="79">
        <f t="shared" si="1397"/>
        <v>6.048247997318508E-2</v>
      </c>
      <c r="AK397" s="223">
        <f t="shared" si="1397"/>
        <v>0.14096001884563847</v>
      </c>
      <c r="AL397" s="79">
        <f t="shared" si="1397"/>
        <v>0.11029137921093056</v>
      </c>
      <c r="AM397" s="79">
        <f t="shared" si="1397"/>
        <v>0.11568119597906047</v>
      </c>
      <c r="AN397" s="79">
        <f t="shared" si="1397"/>
        <v>0.11868043877551841</v>
      </c>
      <c r="AO397" s="223">
        <f t="shared" ref="AO397:AT397" si="1398">AO395/AO388</f>
        <v>0.12915545994029584</v>
      </c>
      <c r="AP397" s="79">
        <f t="shared" si="1398"/>
        <v>8.032582375431005E-2</v>
      </c>
      <c r="AQ397" s="79">
        <f t="shared" si="1398"/>
        <v>7.0692573395980771E-2</v>
      </c>
      <c r="AR397" s="79">
        <f t="shared" si="1398"/>
        <v>5.3381574278545743E-2</v>
      </c>
      <c r="AS397" s="223">
        <f t="shared" si="1398"/>
        <v>8.3350034792909353E-2</v>
      </c>
      <c r="AT397" s="79">
        <f t="shared" si="1398"/>
        <v>5.1980242114978162E-2</v>
      </c>
      <c r="AU397" s="79">
        <f t="shared" ref="AU397:AZ397" si="1399">AU395/AU388</f>
        <v>6.2628672637691937E-2</v>
      </c>
      <c r="AV397" s="79">
        <f t="shared" si="1399"/>
        <v>5.8609721241138044E-2</v>
      </c>
      <c r="AW397" s="223">
        <f t="shared" si="1399"/>
        <v>0.10987856248557719</v>
      </c>
      <c r="AX397" s="79">
        <f t="shared" si="1399"/>
        <v>9.5807239556995868E-2</v>
      </c>
      <c r="AY397" s="79">
        <f t="shared" si="1399"/>
        <v>0.10548319503355257</v>
      </c>
      <c r="AZ397" s="79">
        <f t="shared" si="1399"/>
        <v>9.9658276378123647E-2</v>
      </c>
      <c r="BA397" s="223">
        <f t="shared" ref="BA397:BF397" si="1400">BA395/BA388</f>
        <v>0.13761454003108115</v>
      </c>
      <c r="BB397" s="79">
        <f t="shared" si="1400"/>
        <v>0.126807640825784</v>
      </c>
      <c r="BC397" s="79">
        <f t="shared" si="1400"/>
        <v>0.12887581140712553</v>
      </c>
      <c r="BD397" s="79">
        <f t="shared" si="1400"/>
        <v>0.11523891393230537</v>
      </c>
      <c r="BE397" s="223">
        <f t="shared" si="1400"/>
        <v>0.15339761076411079</v>
      </c>
      <c r="BF397" s="79">
        <f t="shared" si="1400"/>
        <v>0.1278610309174591</v>
      </c>
      <c r="BG397" s="142"/>
      <c r="BH397" s="79"/>
      <c r="BI397" s="79"/>
      <c r="BJ397" s="79"/>
      <c r="BK397" s="223"/>
      <c r="BL397" s="79">
        <f>BL395/BL388</f>
        <v>9.7053616331178788E-2</v>
      </c>
      <c r="BM397" s="334"/>
      <c r="BN397" s="79">
        <f t="shared" ref="BN397:BS397" si="1401">BN395/BN388</f>
        <v>0.12261999353635239</v>
      </c>
      <c r="BO397" s="79">
        <f t="shared" si="1401"/>
        <v>0.13029528076707858</v>
      </c>
      <c r="BP397" s="79">
        <f t="shared" si="1401"/>
        <v>0.12958364341438414</v>
      </c>
      <c r="BQ397" s="79">
        <f t="shared" si="1401"/>
        <v>0.10196521627562084</v>
      </c>
      <c r="BR397" s="79">
        <f t="shared" si="1401"/>
        <v>3.0602241828967404E-2</v>
      </c>
      <c r="BS397" s="79">
        <f t="shared" si="1401"/>
        <v>0.11310374757622234</v>
      </c>
      <c r="BT397" s="79">
        <f>BT395/BT388</f>
        <v>0.11721906517358903</v>
      </c>
      <c r="BU397" s="79">
        <f>BU395/BU388</f>
        <v>0.12409341467901926</v>
      </c>
      <c r="BV397" s="79">
        <f>BV395/BV388</f>
        <v>0.10707123743085013</v>
      </c>
      <c r="BW397" s="79">
        <f>BW395/BW388</f>
        <v>7.5712657726302382E-2</v>
      </c>
      <c r="BX397" s="334"/>
      <c r="BY397" s="334"/>
      <c r="BZ397" s="334"/>
      <c r="CA397" s="334"/>
      <c r="CC397" s="22"/>
      <c r="CD397" s="22"/>
      <c r="CE397" s="22"/>
      <c r="CJ397" s="6"/>
      <c r="CK397" s="6"/>
      <c r="CL397" s="6"/>
    </row>
    <row r="398" spans="1:90" ht="13.5" customHeight="1">
      <c r="C398" s="53"/>
      <c r="S398" s="53"/>
      <c r="T398" s="53"/>
      <c r="U398" s="53"/>
      <c r="Y398" s="53"/>
      <c r="Z398" s="53"/>
      <c r="AA398" s="53"/>
      <c r="AD398" s="53"/>
      <c r="AE398" s="53"/>
      <c r="AF398" s="53"/>
      <c r="AH398" s="53"/>
      <c r="AI398" s="53"/>
      <c r="AJ398" s="53"/>
      <c r="AL398" s="53"/>
      <c r="AM398" s="53"/>
      <c r="AN398" s="53"/>
      <c r="AP398" s="53"/>
      <c r="AQ398" s="53"/>
      <c r="AR398" s="53"/>
      <c r="AT398" s="53"/>
      <c r="AU398" s="53"/>
      <c r="AV398" s="53"/>
      <c r="AX398" s="53"/>
      <c r="AY398" s="53"/>
      <c r="AZ398" s="53"/>
      <c r="BB398" s="53"/>
      <c r="BC398" s="53"/>
      <c r="BD398" s="53"/>
      <c r="BF398" s="53"/>
      <c r="BG398" s="142"/>
      <c r="BH398" s="53"/>
      <c r="BI398" s="53"/>
      <c r="BJ398" s="53"/>
      <c r="BL398" s="53"/>
      <c r="BM398" s="53"/>
      <c r="BN398" s="53"/>
      <c r="BO398" s="53"/>
      <c r="BP398" s="53"/>
      <c r="BQ398" s="53"/>
      <c r="BR398" s="53"/>
      <c r="BS398" s="53"/>
      <c r="BT398" s="53"/>
      <c r="BU398" s="53"/>
      <c r="BV398" s="53"/>
      <c r="BW398" s="53"/>
      <c r="BX398" s="53"/>
      <c r="BY398" s="53"/>
      <c r="BZ398" s="53"/>
      <c r="CA398" s="53"/>
      <c r="CJ398" s="6"/>
      <c r="CK398" s="6"/>
      <c r="CL398" s="6"/>
    </row>
    <row r="399" spans="1:90" s="5" customFormat="1" ht="13.5" customHeight="1">
      <c r="B399" s="5" t="str">
        <f t="shared" ref="B399:B415" si="1402">B134</f>
        <v xml:space="preserve">Adjusted EBITDA </v>
      </c>
      <c r="C399" s="148">
        <f t="shared" ref="C399:O399" si="1403">C134/C$381</f>
        <v>1561.279414328046</v>
      </c>
      <c r="D399" s="148">
        <f t="shared" si="1403"/>
        <v>1476.7910436455634</v>
      </c>
      <c r="E399" s="148">
        <f t="shared" si="1403"/>
        <v>1518.3211440123675</v>
      </c>
      <c r="F399" s="148">
        <f t="shared" si="1403"/>
        <v>1653.7383879225606</v>
      </c>
      <c r="G399" s="148">
        <f t="shared" si="1403"/>
        <v>1657.4016430398115</v>
      </c>
      <c r="H399" s="148">
        <f t="shared" si="1403"/>
        <v>1606.7015000488796</v>
      </c>
      <c r="I399" s="148">
        <f t="shared" si="1403"/>
        <v>1296.0825676840936</v>
      </c>
      <c r="J399" s="148">
        <f t="shared" si="1403"/>
        <v>1116.5040999649646</v>
      </c>
      <c r="K399" s="148">
        <f t="shared" si="1403"/>
        <v>774.55340764434391</v>
      </c>
      <c r="L399" s="148">
        <f t="shared" si="1403"/>
        <v>1638.2937492769518</v>
      </c>
      <c r="M399" s="148">
        <f t="shared" si="1403"/>
        <v>1004.6809586819417</v>
      </c>
      <c r="N399" s="148">
        <f t="shared" si="1403"/>
        <v>818.02951562902183</v>
      </c>
      <c r="O399" s="148">
        <f t="shared" si="1403"/>
        <v>1214.7293219597088</v>
      </c>
      <c r="P399" s="148">
        <f>P134/P$381</f>
        <v>1580.8093352386286</v>
      </c>
      <c r="Q399" s="146"/>
      <c r="R399" s="148">
        <f t="shared" ref="R399:AF399" si="1404">R134/R$381</f>
        <v>313.56640201681438</v>
      </c>
      <c r="S399" s="148">
        <f t="shared" si="1404"/>
        <v>369.53289101764585</v>
      </c>
      <c r="T399" s="148">
        <f t="shared" si="1404"/>
        <v>328.99799362271239</v>
      </c>
      <c r="U399" s="148">
        <f t="shared" si="1404"/>
        <v>500.94571942667596</v>
      </c>
      <c r="V399" s="146">
        <f t="shared" si="1404"/>
        <v>386.77054836690763</v>
      </c>
      <c r="W399" s="146">
        <f t="shared" si="1404"/>
        <v>396.82135511556135</v>
      </c>
      <c r="X399" s="146">
        <f t="shared" si="1404"/>
        <v>335.41276132611279</v>
      </c>
      <c r="Y399" s="148">
        <f t="shared" si="1404"/>
        <v>531.03291839585097</v>
      </c>
      <c r="Z399" s="148">
        <f t="shared" si="1404"/>
        <v>400.3982318973334</v>
      </c>
      <c r="AA399" s="148">
        <f t="shared" si="1404"/>
        <v>408.56368275600016</v>
      </c>
      <c r="AB399" s="146">
        <f t="shared" si="1404"/>
        <v>340.37172825408845</v>
      </c>
      <c r="AC399" s="146">
        <f t="shared" si="1404"/>
        <v>454.56073204247639</v>
      </c>
      <c r="AD399" s="148">
        <f t="shared" si="1404"/>
        <v>275.59168258661316</v>
      </c>
      <c r="AE399" s="148">
        <f t="shared" si="1404"/>
        <v>313.34647432437049</v>
      </c>
      <c r="AF399" s="148">
        <f t="shared" si="1404"/>
        <v>231.12570478357819</v>
      </c>
      <c r="AG399" s="146">
        <f t="shared" ref="AG399:AQ399" si="1405">AG134/AG$381</f>
        <v>297.97342294790985</v>
      </c>
      <c r="AH399" s="148">
        <f t="shared" si="1405"/>
        <v>165.30730176722386</v>
      </c>
      <c r="AI399" s="148">
        <f t="shared" si="1405"/>
        <v>-43.160848976099473</v>
      </c>
      <c r="AJ399" s="148">
        <f t="shared" si="1405"/>
        <v>171.75806447481651</v>
      </c>
      <c r="AK399" s="146">
        <f t="shared" si="1405"/>
        <v>503.4239049584063</v>
      </c>
      <c r="AL399" s="148">
        <f t="shared" si="1405"/>
        <v>337.71970147411679</v>
      </c>
      <c r="AM399" s="148">
        <f t="shared" si="1405"/>
        <v>386.50918871777247</v>
      </c>
      <c r="AN399" s="148">
        <f t="shared" si="1405"/>
        <v>417.28650121341269</v>
      </c>
      <c r="AO399" s="146">
        <f t="shared" si="1405"/>
        <v>485.59927850277222</v>
      </c>
      <c r="AP399" s="148">
        <f t="shared" si="1405"/>
        <v>249.37519066982881</v>
      </c>
      <c r="AQ399" s="148">
        <f t="shared" si="1405"/>
        <v>201.67864783025433</v>
      </c>
      <c r="AR399" s="148">
        <f t="shared" ref="AR399:BA399" si="1406">AR134/AR$381</f>
        <v>143.79713454969965</v>
      </c>
      <c r="AS399" s="146">
        <f t="shared" si="1406"/>
        <v>256.06008044188218</v>
      </c>
      <c r="AT399" s="148">
        <f t="shared" si="1406"/>
        <v>145.89527052871858</v>
      </c>
      <c r="AU399" s="148">
        <f t="shared" si="1406"/>
        <v>171.02348277303861</v>
      </c>
      <c r="AV399" s="148">
        <f t="shared" si="1406"/>
        <v>151.64360679190412</v>
      </c>
      <c r="AW399" s="146">
        <f t="shared" si="1406"/>
        <v>347.10417773852578</v>
      </c>
      <c r="AX399" s="148">
        <f t="shared" si="1406"/>
        <v>241.94916717364197</v>
      </c>
      <c r="AY399" s="148">
        <f t="shared" si="1406"/>
        <v>274.44757405515833</v>
      </c>
      <c r="AZ399" s="148">
        <f t="shared" si="1406"/>
        <v>255.27290222785021</v>
      </c>
      <c r="BA399" s="146">
        <f t="shared" si="1406"/>
        <v>440.00450965539414</v>
      </c>
      <c r="BB399" s="148">
        <f t="shared" ref="BB399:BC402" si="1407">BB134/BB$381</f>
        <v>346.60470661035941</v>
      </c>
      <c r="BC399" s="148">
        <f t="shared" si="1407"/>
        <v>369.84106874592845</v>
      </c>
      <c r="BD399" s="148">
        <f t="shared" ref="BD399:BF402" si="1408">BD134/BD$381</f>
        <v>315.80183992831968</v>
      </c>
      <c r="BE399" s="146">
        <f t="shared" si="1408"/>
        <v>552.81321075964274</v>
      </c>
      <c r="BF399" s="148">
        <f t="shared" si="1408"/>
        <v>398.91596715431382</v>
      </c>
      <c r="BG399" s="142"/>
      <c r="BH399" s="148"/>
      <c r="BI399" s="148"/>
      <c r="BJ399" s="148"/>
      <c r="BK399" s="146"/>
      <c r="BL399" s="148">
        <f>BL134/BL$381</f>
        <v>275.59168258661316</v>
      </c>
      <c r="BM399" s="146"/>
      <c r="BN399" s="148">
        <f t="shared" ref="BN399:BN413" si="1409">R399+S399</f>
        <v>683.09929303446029</v>
      </c>
      <c r="BO399" s="148">
        <f t="shared" ref="BO399:BO413" si="1410">V399+W399</f>
        <v>783.59190348246898</v>
      </c>
      <c r="BP399" s="148">
        <f t="shared" ref="BP399:BP413" si="1411">Z399+AA399</f>
        <v>808.96191465333357</v>
      </c>
      <c r="BQ399" s="148">
        <f t="shared" ref="BQ399:BQ413" si="1412">AD399+AE399</f>
        <v>588.93815691098371</v>
      </c>
      <c r="BR399" s="148">
        <f t="shared" ref="BR399:BR413" si="1413">AH399+AI399</f>
        <v>122.14645279112439</v>
      </c>
      <c r="BS399" s="148">
        <f t="shared" ref="BS399:BS413" si="1414">AL399+AM399</f>
        <v>724.22889019188926</v>
      </c>
      <c r="BT399" s="148">
        <f t="shared" ref="BT399:BT413" si="1415">AM399+AN399</f>
        <v>803.79568993118517</v>
      </c>
      <c r="BU399" s="148">
        <f t="shared" ref="BU399:BU413" si="1416">AN399+AO399</f>
        <v>902.88577971618497</v>
      </c>
      <c r="BV399" s="148">
        <f t="shared" ref="BV399:BV413" si="1417">AO399+AP399</f>
        <v>734.97446917260106</v>
      </c>
      <c r="BW399" s="148">
        <f t="shared" ref="BW399:BW413" si="1418">AP399+AQ399</f>
        <v>451.05383850008315</v>
      </c>
      <c r="BX399" s="146"/>
      <c r="BY399" s="146"/>
      <c r="BZ399" s="146"/>
      <c r="CA399" s="146"/>
      <c r="CJ399" s="6"/>
      <c r="CK399" s="6"/>
      <c r="CL399" s="6"/>
    </row>
    <row r="400" spans="1:90" ht="13.5" customHeight="1">
      <c r="B400" s="1" t="str">
        <f t="shared" si="1402"/>
        <v>Working Capital</v>
      </c>
      <c r="C400" s="165">
        <f t="shared" ref="C400:O400" si="1419">C135/C$381</f>
        <v>-217.49950845389554</v>
      </c>
      <c r="D400" s="165">
        <f t="shared" si="1419"/>
        <v>-473.05670438879542</v>
      </c>
      <c r="E400" s="166">
        <f t="shared" si="1419"/>
        <v>-182.47264835295516</v>
      </c>
      <c r="F400" s="166">
        <f t="shared" si="1419"/>
        <v>-243.28803966751533</v>
      </c>
      <c r="G400" s="166">
        <f t="shared" si="1419"/>
        <v>-244.18727271842059</v>
      </c>
      <c r="H400" s="166">
        <f t="shared" si="1419"/>
        <v>-318.40515205588656</v>
      </c>
      <c r="I400" s="166">
        <f t="shared" si="1419"/>
        <v>1827.7118282615013</v>
      </c>
      <c r="J400" s="166">
        <f t="shared" si="1419"/>
        <v>238.36930307921779</v>
      </c>
      <c r="K400" s="166">
        <f t="shared" si="1419"/>
        <v>366.62698546421029</v>
      </c>
      <c r="L400" s="166">
        <f t="shared" si="1419"/>
        <v>-705.49581367515998</v>
      </c>
      <c r="M400" s="166">
        <f t="shared" si="1419"/>
        <v>-473.52540218734237</v>
      </c>
      <c r="N400" s="166">
        <f t="shared" si="1419"/>
        <v>719.14174806417816</v>
      </c>
      <c r="O400" s="166">
        <f t="shared" si="1419"/>
        <v>-154.50859216860863</v>
      </c>
      <c r="P400" s="166">
        <f>P135/P$381</f>
        <v>58.224161770441285</v>
      </c>
      <c r="Q400" s="336"/>
      <c r="R400" s="166">
        <f t="shared" ref="R400:AF400" si="1420">R135/R$381</f>
        <v>91.274028096232186</v>
      </c>
      <c r="S400" s="166">
        <f t="shared" si="1420"/>
        <v>-277.76909202281882</v>
      </c>
      <c r="T400" s="166">
        <f t="shared" si="1420"/>
        <v>-54.790065838190515</v>
      </c>
      <c r="U400" s="166">
        <f t="shared" si="1420"/>
        <v>56.608035067283318</v>
      </c>
      <c r="V400" s="225">
        <f t="shared" si="1420"/>
        <v>6.8760646011533115</v>
      </c>
      <c r="W400" s="225">
        <f t="shared" si="1420"/>
        <v>-220.80326281713499</v>
      </c>
      <c r="X400" s="225">
        <f t="shared" si="1420"/>
        <v>-5.6774019628466261</v>
      </c>
      <c r="Y400" s="166">
        <f t="shared" si="1420"/>
        <v>-20.673126684218133</v>
      </c>
      <c r="Z400" s="166">
        <f t="shared" si="1420"/>
        <v>29.863722621333267</v>
      </c>
      <c r="AA400" s="166">
        <f t="shared" si="1420"/>
        <v>-261.16021896000029</v>
      </c>
      <c r="AB400" s="225" t="e">
        <f t="shared" si="1420"/>
        <v>#REF!</v>
      </c>
      <c r="AC400" s="225" t="e">
        <f t="shared" si="1420"/>
        <v>#REF!</v>
      </c>
      <c r="AD400" s="166">
        <f t="shared" si="1420"/>
        <v>2243.3468232322944</v>
      </c>
      <c r="AE400" s="166">
        <f t="shared" si="1420"/>
        <v>-224.82019371754652</v>
      </c>
      <c r="AF400" s="166">
        <f t="shared" si="1420"/>
        <v>22.796656737356951</v>
      </c>
      <c r="AG400" s="225">
        <f t="shared" ref="AG400:AQ400" si="1421">AG135/AG$381</f>
        <v>-1625.7152655262994</v>
      </c>
      <c r="AH400" s="166">
        <f t="shared" si="1421"/>
        <v>-122.90538541632718</v>
      </c>
      <c r="AI400" s="166">
        <f t="shared" si="1421"/>
        <v>58.256607964100489</v>
      </c>
      <c r="AJ400" s="166">
        <f t="shared" si="1421"/>
        <v>244.27487602967065</v>
      </c>
      <c r="AK400" s="225">
        <f t="shared" si="1421"/>
        <v>211.30538025836822</v>
      </c>
      <c r="AL400" s="166">
        <f t="shared" si="1421"/>
        <v>-172.75097612044189</v>
      </c>
      <c r="AM400" s="166">
        <f t="shared" si="1421"/>
        <v>-72.562300051572237</v>
      </c>
      <c r="AN400" s="166">
        <f t="shared" si="1421"/>
        <v>-389.65476923256517</v>
      </c>
      <c r="AO400" s="225">
        <f t="shared" si="1421"/>
        <v>-77.01083456407477</v>
      </c>
      <c r="AP400" s="166">
        <f t="shared" si="1421"/>
        <v>-257.18803977393986</v>
      </c>
      <c r="AQ400" s="166">
        <f t="shared" si="1421"/>
        <v>-334.18459393516906</v>
      </c>
      <c r="AR400" s="166">
        <f t="shared" ref="AR400:BA400" si="1422">AR135/AR$381</f>
        <v>-100.50719226944497</v>
      </c>
      <c r="AS400" s="225">
        <f t="shared" si="1422"/>
        <v>278.62714420358105</v>
      </c>
      <c r="AT400" s="166">
        <f t="shared" si="1422"/>
        <v>378.74630020359058</v>
      </c>
      <c r="AU400" s="166">
        <f t="shared" si="1422"/>
        <v>-186.95162117475761</v>
      </c>
      <c r="AV400" s="166">
        <f t="shared" si="1422"/>
        <v>181.31768216890654</v>
      </c>
      <c r="AW400" s="225">
        <f t="shared" si="1422"/>
        <v>341.15773925184089</v>
      </c>
      <c r="AX400" s="166">
        <f t="shared" si="1422"/>
        <v>-129.98851516638751</v>
      </c>
      <c r="AY400" s="166">
        <f t="shared" si="1422"/>
        <v>-255.56400557541724</v>
      </c>
      <c r="AZ400" s="166">
        <f t="shared" si="1422"/>
        <v>175.93140766862632</v>
      </c>
      <c r="BA400" s="225">
        <f t="shared" si="1422"/>
        <v>53.891870998536668</v>
      </c>
      <c r="BB400" s="166">
        <f t="shared" si="1407"/>
        <v>-204.90853983998801</v>
      </c>
      <c r="BC400" s="166">
        <f t="shared" si="1407"/>
        <v>-177.6161986460416</v>
      </c>
      <c r="BD400" s="166">
        <f t="shared" si="1408"/>
        <v>-24.305518743098098</v>
      </c>
      <c r="BE400" s="225">
        <f t="shared" si="1408"/>
        <v>475.75840275844376</v>
      </c>
      <c r="BF400" s="166">
        <f t="shared" si="1408"/>
        <v>165.09420463133188</v>
      </c>
      <c r="BG400" s="142"/>
      <c r="BH400" s="166"/>
      <c r="BI400" s="166"/>
      <c r="BJ400" s="166"/>
      <c r="BK400" s="225"/>
      <c r="BL400" s="166">
        <f>BL135/BL$381</f>
        <v>-1191.6208944835491</v>
      </c>
      <c r="BM400" s="336"/>
      <c r="BN400" s="166">
        <f t="shared" si="1409"/>
        <v>-186.49506392658662</v>
      </c>
      <c r="BO400" s="166">
        <f t="shared" si="1410"/>
        <v>-213.92719821598169</v>
      </c>
      <c r="BP400" s="166">
        <f t="shared" si="1411"/>
        <v>-231.29649633866703</v>
      </c>
      <c r="BQ400" s="166">
        <f t="shared" si="1412"/>
        <v>2018.5266295147478</v>
      </c>
      <c r="BR400" s="166">
        <f t="shared" si="1413"/>
        <v>-64.648777452226682</v>
      </c>
      <c r="BS400" s="148">
        <f t="shared" si="1414"/>
        <v>-245.31327617201413</v>
      </c>
      <c r="BT400" s="148">
        <f t="shared" si="1415"/>
        <v>-462.21706928413744</v>
      </c>
      <c r="BU400" s="148">
        <f t="shared" si="1416"/>
        <v>-466.66560379663997</v>
      </c>
      <c r="BV400" s="148">
        <f t="shared" si="1417"/>
        <v>-334.19887433801466</v>
      </c>
      <c r="BW400" s="148">
        <f t="shared" si="1418"/>
        <v>-591.37263370910887</v>
      </c>
      <c r="BX400" s="336"/>
      <c r="BY400" s="336"/>
      <c r="BZ400" s="336"/>
      <c r="CA400" s="336"/>
      <c r="CJ400" s="6"/>
      <c r="CK400" s="6"/>
      <c r="CL400" s="6"/>
    </row>
    <row r="401" spans="2:90" ht="13.5" customHeight="1">
      <c r="B401" s="1" t="str">
        <f t="shared" si="1402"/>
        <v>Taxes</v>
      </c>
      <c r="C401" s="165">
        <f t="shared" ref="C401:O401" si="1423">C136/C$381</f>
        <v>-167.48811573993376</v>
      </c>
      <c r="D401" s="165">
        <f t="shared" si="1423"/>
        <v>-191.11808844248509</v>
      </c>
      <c r="E401" s="166">
        <f t="shared" si="1423"/>
        <v>-231.70150582709002</v>
      </c>
      <c r="F401" s="166">
        <f t="shared" si="1423"/>
        <v>-235.90149597155016</v>
      </c>
      <c r="G401" s="166">
        <f t="shared" si="1423"/>
        <v>-235.90149597155016</v>
      </c>
      <c r="H401" s="166">
        <f t="shared" si="1423"/>
        <v>-287.32053536625506</v>
      </c>
      <c r="I401" s="166">
        <f t="shared" si="1423"/>
        <v>-209.99015205048636</v>
      </c>
      <c r="J401" s="166">
        <f t="shared" si="1423"/>
        <v>-149.83670668073117</v>
      </c>
      <c r="K401" s="166">
        <f t="shared" si="1423"/>
        <v>16.487835662266132</v>
      </c>
      <c r="L401" s="166">
        <f t="shared" si="1423"/>
        <v>-46.631152493237956</v>
      </c>
      <c r="M401" s="166">
        <f t="shared" si="1423"/>
        <v>-221.16205717716559</v>
      </c>
      <c r="N401" s="166">
        <f t="shared" si="1423"/>
        <v>-97.79234534110968</v>
      </c>
      <c r="O401" s="166">
        <f t="shared" si="1423"/>
        <v>-129.33838526425217</v>
      </c>
      <c r="P401" s="166">
        <f>P136/P$381</f>
        <v>-172.82669172283863</v>
      </c>
      <c r="Q401" s="336"/>
      <c r="R401" s="166">
        <f t="shared" ref="R401:AF401" si="1424">R136/R$381</f>
        <v>-53.603621254120895</v>
      </c>
      <c r="S401" s="166">
        <f t="shared" si="1424"/>
        <v>-55.940163396039829</v>
      </c>
      <c r="T401" s="166">
        <f t="shared" si="1424"/>
        <v>-63.644910007707132</v>
      </c>
      <c r="U401" s="166">
        <f t="shared" si="1424"/>
        <v>-57.485576010580672</v>
      </c>
      <c r="V401" s="225">
        <f t="shared" si="1424"/>
        <v>-81.383201461361935</v>
      </c>
      <c r="W401" s="225">
        <f t="shared" si="1424"/>
        <v>-39.708290295866895</v>
      </c>
      <c r="X401" s="225">
        <f t="shared" si="1424"/>
        <v>-62.25424994386475</v>
      </c>
      <c r="Y401" s="166">
        <f t="shared" si="1424"/>
        <v>-53.003773448842111</v>
      </c>
      <c r="Z401" s="166">
        <f t="shared" si="1424"/>
        <v>-88.146544212666669</v>
      </c>
      <c r="AA401" s="166">
        <f t="shared" si="1424"/>
        <v>-99.100629726000008</v>
      </c>
      <c r="AB401" s="225">
        <f t="shared" si="1424"/>
        <v>-68.299887923035925</v>
      </c>
      <c r="AC401" s="225">
        <f t="shared" si="1424"/>
        <v>-33.746140373660943</v>
      </c>
      <c r="AD401" s="166">
        <f t="shared" si="1424"/>
        <v>-41.862560040351177</v>
      </c>
      <c r="AE401" s="166">
        <f t="shared" si="1424"/>
        <v>-61.166599096019063</v>
      </c>
      <c r="AF401" s="166">
        <f t="shared" si="1424"/>
        <v>-8.7913103289190602</v>
      </c>
      <c r="AG401" s="225">
        <f t="shared" ref="AG401:AQ401" si="1425">AG136/AG$381</f>
        <v>-39.846760265209809</v>
      </c>
      <c r="AH401" s="166">
        <f t="shared" si="1425"/>
        <v>-42.464103218417399</v>
      </c>
      <c r="AI401" s="166">
        <f t="shared" si="1425"/>
        <v>78.709698370907077</v>
      </c>
      <c r="AJ401" s="166">
        <f t="shared" si="1425"/>
        <v>-8.8162793020777883</v>
      </c>
      <c r="AK401" s="225">
        <f t="shared" si="1425"/>
        <v>-10.962643081492381</v>
      </c>
      <c r="AL401" s="166">
        <f t="shared" si="1425"/>
        <v>-18.795033274997802</v>
      </c>
      <c r="AM401" s="166">
        <f t="shared" si="1425"/>
        <v>-17.345168463319904</v>
      </c>
      <c r="AN401" s="166">
        <f t="shared" si="1425"/>
        <v>-18.299669942468075</v>
      </c>
      <c r="AO401" s="225">
        <f t="shared" si="1425"/>
        <v>5.520431929884027</v>
      </c>
      <c r="AP401" s="166">
        <f t="shared" si="1425"/>
        <v>-34.127914306790956</v>
      </c>
      <c r="AQ401" s="166">
        <f t="shared" si="1425"/>
        <v>-99.618889421401178</v>
      </c>
      <c r="AR401" s="166">
        <f t="shared" ref="AR401:BA401" si="1426">AR136/AR$381</f>
        <v>-26.396975658264513</v>
      </c>
      <c r="AS401" s="225">
        <f t="shared" si="1426"/>
        <v>-24.800400017534994</v>
      </c>
      <c r="AT401" s="166">
        <f t="shared" si="1426"/>
        <v>-42.581244987352704</v>
      </c>
      <c r="AU401" s="166">
        <f t="shared" si="1426"/>
        <v>-28.403901137622686</v>
      </c>
      <c r="AV401" s="166">
        <f t="shared" si="1426"/>
        <v>-1.9322076033678084</v>
      </c>
      <c r="AW401" s="225">
        <f t="shared" si="1426"/>
        <v>-25.982640118406668</v>
      </c>
      <c r="AX401" s="166">
        <f t="shared" si="1426"/>
        <v>-45.871271277350147</v>
      </c>
      <c r="AY401" s="166">
        <f t="shared" si="1426"/>
        <v>-27.014223697650667</v>
      </c>
      <c r="AZ401" s="166">
        <f t="shared" si="1426"/>
        <v>-25.850661334531186</v>
      </c>
      <c r="BA401" s="225">
        <f t="shared" si="1426"/>
        <v>-30.527391020120163</v>
      </c>
      <c r="BB401" s="166">
        <f t="shared" si="1407"/>
        <v>-50.876393889865334</v>
      </c>
      <c r="BC401" s="166">
        <f t="shared" si="1407"/>
        <v>-47.561189859945891</v>
      </c>
      <c r="BD401" s="166">
        <f t="shared" si="1408"/>
        <v>-47.868611823050152</v>
      </c>
      <c r="BE401" s="225">
        <f t="shared" si="1408"/>
        <v>-26.06649604865828</v>
      </c>
      <c r="BF401" s="166">
        <f t="shared" si="1408"/>
        <v>-74.161009282966944</v>
      </c>
      <c r="BG401" s="142"/>
      <c r="BH401" s="166"/>
      <c r="BI401" s="166"/>
      <c r="BJ401" s="166"/>
      <c r="BK401" s="225"/>
      <c r="BL401" s="166">
        <f>BL136/BL$381</f>
        <v>-41.862560040351177</v>
      </c>
      <c r="BM401" s="336"/>
      <c r="BN401" s="166">
        <f t="shared" si="1409"/>
        <v>-109.54378465016072</v>
      </c>
      <c r="BO401" s="166">
        <f t="shared" si="1410"/>
        <v>-121.09149175722882</v>
      </c>
      <c r="BP401" s="166">
        <f t="shared" si="1411"/>
        <v>-187.24717393866666</v>
      </c>
      <c r="BQ401" s="166">
        <f t="shared" si="1412"/>
        <v>-103.02915913637024</v>
      </c>
      <c r="BR401" s="166">
        <f t="shared" si="1413"/>
        <v>36.245595152489678</v>
      </c>
      <c r="BS401" s="166">
        <f t="shared" si="1414"/>
        <v>-36.140201738317707</v>
      </c>
      <c r="BT401" s="166">
        <f t="shared" si="1415"/>
        <v>-35.644838405787979</v>
      </c>
      <c r="BU401" s="166">
        <f t="shared" si="1416"/>
        <v>-12.779238012584049</v>
      </c>
      <c r="BV401" s="166">
        <f t="shared" si="1417"/>
        <v>-28.60748237690693</v>
      </c>
      <c r="BW401" s="166">
        <f t="shared" si="1418"/>
        <v>-133.74680372819213</v>
      </c>
      <c r="BX401" s="336"/>
      <c r="BY401" s="336"/>
      <c r="BZ401" s="336"/>
      <c r="CA401" s="336"/>
      <c r="CJ401" s="6"/>
      <c r="CK401" s="6"/>
      <c r="CL401" s="6"/>
    </row>
    <row r="402" spans="2:90" ht="13.5" customHeight="1">
      <c r="B402" s="1" t="str">
        <f t="shared" si="1402"/>
        <v>Cash interest paid</v>
      </c>
      <c r="C402" s="165">
        <f t="shared" ref="C402:O402" si="1427">C137/C$381</f>
        <v>-153.82061181802334</v>
      </c>
      <c r="D402" s="165">
        <f t="shared" si="1427"/>
        <v>-231.31536154160796</v>
      </c>
      <c r="E402" s="166">
        <f t="shared" si="1427"/>
        <v>-250.42717326673798</v>
      </c>
      <c r="F402" s="166">
        <f t="shared" si="1427"/>
        <v>-254.23098489766056</v>
      </c>
      <c r="G402" s="166">
        <f t="shared" si="1427"/>
        <v>-254.23098489766056</v>
      </c>
      <c r="H402" s="166">
        <f t="shared" si="1427"/>
        <v>-251.51310464459169</v>
      </c>
      <c r="I402" s="166">
        <f t="shared" si="1427"/>
        <v>-247.55616633680532</v>
      </c>
      <c r="J402" s="166">
        <f t="shared" si="1427"/>
        <v>-209.93583265066988</v>
      </c>
      <c r="K402" s="166">
        <f t="shared" si="1427"/>
        <v>-232.09967958228219</v>
      </c>
      <c r="L402" s="166">
        <f t="shared" si="1427"/>
        <v>-202.12377614084374</v>
      </c>
      <c r="M402" s="166">
        <f t="shared" si="1427"/>
        <v>-258.04758176194213</v>
      </c>
      <c r="N402" s="166">
        <f t="shared" si="1427"/>
        <v>-287.12761407411642</v>
      </c>
      <c r="O402" s="166">
        <f t="shared" si="1427"/>
        <v>-255.76463655160038</v>
      </c>
      <c r="P402" s="166">
        <f>P137/P$381</f>
        <v>-208.66776882035916</v>
      </c>
      <c r="Q402" s="336"/>
      <c r="R402" s="166">
        <f t="shared" ref="R402:AF402" si="1428">R137/R$381</f>
        <v>-56.852702964762784</v>
      </c>
      <c r="S402" s="166">
        <f t="shared" si="1428"/>
        <v>-72.031017203078989</v>
      </c>
      <c r="T402" s="166">
        <f t="shared" si="1428"/>
        <v>-67.590759985290916</v>
      </c>
      <c r="U402" s="166">
        <f t="shared" si="1428"/>
        <v>-52.687015580061932</v>
      </c>
      <c r="V402" s="225">
        <f t="shared" si="1428"/>
        <v>-60.590022846501022</v>
      </c>
      <c r="W402" s="225">
        <f t="shared" si="1428"/>
        <v>-48.700239403749151</v>
      </c>
      <c r="X402" s="225">
        <f t="shared" si="1428"/>
        <v>-83.804823836726612</v>
      </c>
      <c r="Y402" s="166">
        <f t="shared" si="1428"/>
        <v>-61.898087835472616</v>
      </c>
      <c r="Z402" s="166">
        <f t="shared" si="1428"/>
        <v>-58.650551528666668</v>
      </c>
      <c r="AA402" s="166">
        <f t="shared" si="1428"/>
        <v>-112.96738677000003</v>
      </c>
      <c r="AB402" s="225">
        <f t="shared" si="1428"/>
        <v>-28.755808312443062</v>
      </c>
      <c r="AC402" s="225">
        <f t="shared" si="1428"/>
        <v>-51.422176872406745</v>
      </c>
      <c r="AD402" s="166">
        <f t="shared" si="1428"/>
        <v>-50.778924101345027</v>
      </c>
      <c r="AE402" s="166">
        <f t="shared" si="1428"/>
        <v>-55.653077526433954</v>
      </c>
      <c r="AF402" s="166">
        <f t="shared" si="1428"/>
        <v>-39.049233747961374</v>
      </c>
      <c r="AG402" s="225">
        <f t="shared" ref="AG402:AQ402" si="1429">AG137/AG$381</f>
        <v>-64.220372924587366</v>
      </c>
      <c r="AH402" s="166">
        <f t="shared" si="1429"/>
        <v>-40.779787025468693</v>
      </c>
      <c r="AI402" s="166">
        <f t="shared" si="1429"/>
        <v>-73.660744299084982</v>
      </c>
      <c r="AJ402" s="166">
        <f t="shared" si="1429"/>
        <v>-48.005057425925152</v>
      </c>
      <c r="AK402" s="225">
        <f t="shared" si="1429"/>
        <v>-70.734627363883689</v>
      </c>
      <c r="AL402" s="166">
        <f t="shared" si="1429"/>
        <v>-37.423000618328111</v>
      </c>
      <c r="AM402" s="166">
        <f t="shared" si="1429"/>
        <v>-74.87716230815785</v>
      </c>
      <c r="AN402" s="166">
        <f t="shared" si="1429"/>
        <v>-81.480180130899456</v>
      </c>
      <c r="AO402" s="225">
        <f t="shared" si="1429"/>
        <v>-13.010163910611825</v>
      </c>
      <c r="AP402" s="166">
        <f t="shared" si="1429"/>
        <v>-28.80782432160559</v>
      </c>
      <c r="AQ402" s="166">
        <f t="shared" si="1429"/>
        <v>-58.886792000697106</v>
      </c>
      <c r="AR402" s="166">
        <f t="shared" ref="AR402:BA402" si="1430">AR137/AR$381</f>
        <v>-53.283694712265977</v>
      </c>
      <c r="AS402" s="225">
        <f t="shared" si="1430"/>
        <v>-73.737001074019688</v>
      </c>
      <c r="AT402" s="166">
        <f t="shared" si="1430"/>
        <v>-65.867112098217035</v>
      </c>
      <c r="AU402" s="166">
        <f t="shared" si="1430"/>
        <v>-80.459184721577614</v>
      </c>
      <c r="AV402" s="166">
        <f t="shared" si="1430"/>
        <v>-50.788209151246534</v>
      </c>
      <c r="AW402" s="225">
        <f t="shared" si="1430"/>
        <v>-90.400605602177208</v>
      </c>
      <c r="AX402" s="166">
        <f t="shared" si="1430"/>
        <v>-61.199161658515237</v>
      </c>
      <c r="AY402" s="166">
        <f t="shared" si="1430"/>
        <v>-69.780226421518549</v>
      </c>
      <c r="AZ402" s="166">
        <f t="shared" si="1430"/>
        <v>-60.588594714888146</v>
      </c>
      <c r="BA402" s="225">
        <f t="shared" si="1430"/>
        <v>-64.205803613120125</v>
      </c>
      <c r="BB402" s="166">
        <f t="shared" si="1407"/>
        <v>-53.022905523818679</v>
      </c>
      <c r="BC402" s="166">
        <f t="shared" si="1407"/>
        <v>-62.950931901103168</v>
      </c>
      <c r="BD402" s="166">
        <f t="shared" si="1408"/>
        <v>-42.118739972078075</v>
      </c>
      <c r="BE402" s="225">
        <f t="shared" si="1408"/>
        <v>-50.766337566658805</v>
      </c>
      <c r="BF402" s="166">
        <f t="shared" si="1408"/>
        <v>-44.140467193791807</v>
      </c>
      <c r="BG402" s="142"/>
      <c r="BH402" s="166"/>
      <c r="BI402" s="166"/>
      <c r="BJ402" s="166"/>
      <c r="BK402" s="225"/>
      <c r="BL402" s="166">
        <f>BL137/BL$381</f>
        <v>-50.778924101345027</v>
      </c>
      <c r="BM402" s="336"/>
      <c r="BN402" s="166">
        <f t="shared" si="1409"/>
        <v>-128.88372016784177</v>
      </c>
      <c r="BO402" s="166">
        <f t="shared" si="1410"/>
        <v>-109.29026225025018</v>
      </c>
      <c r="BP402" s="166">
        <f t="shared" si="1411"/>
        <v>-171.6179382986667</v>
      </c>
      <c r="BQ402" s="166">
        <f t="shared" si="1412"/>
        <v>-106.43200162777899</v>
      </c>
      <c r="BR402" s="166">
        <f t="shared" si="1413"/>
        <v>-114.44053132455367</v>
      </c>
      <c r="BS402" s="166">
        <f t="shared" si="1414"/>
        <v>-112.30016292648597</v>
      </c>
      <c r="BT402" s="166">
        <f t="shared" si="1415"/>
        <v>-156.35734243905731</v>
      </c>
      <c r="BU402" s="166">
        <f t="shared" si="1416"/>
        <v>-94.490344041511278</v>
      </c>
      <c r="BV402" s="166">
        <f t="shared" si="1417"/>
        <v>-41.817988232217417</v>
      </c>
      <c r="BW402" s="166">
        <f t="shared" si="1418"/>
        <v>-87.694616322302693</v>
      </c>
      <c r="BX402" s="336"/>
      <c r="BY402" s="336"/>
      <c r="BZ402" s="336"/>
      <c r="CA402" s="336"/>
      <c r="CJ402" s="6"/>
      <c r="CK402" s="6"/>
      <c r="CL402" s="6"/>
    </row>
    <row r="403" spans="2:90" s="5" customFormat="1" ht="13.5" customHeight="1" thickBot="1">
      <c r="B403" s="26" t="str">
        <f t="shared" si="1402"/>
        <v xml:space="preserve">Net cash from operations </v>
      </c>
      <c r="C403" s="167">
        <f>SUM(C399:C402)</f>
        <v>1022.4711783161933</v>
      </c>
      <c r="D403" s="167">
        <f>SUM(D399:D402)</f>
        <v>581.30088927267502</v>
      </c>
      <c r="E403" s="167">
        <f>SUM(E399:E402)</f>
        <v>853.71981656558455</v>
      </c>
      <c r="F403" s="167">
        <f t="shared" ref="F403:K403" si="1431">SUM(F399:F402)</f>
        <v>920.31786738583469</v>
      </c>
      <c r="G403" s="167">
        <f t="shared" si="1431"/>
        <v>923.08188945217989</v>
      </c>
      <c r="H403" s="167">
        <f t="shared" si="1431"/>
        <v>749.46270798214641</v>
      </c>
      <c r="I403" s="167">
        <f t="shared" si="1431"/>
        <v>2666.2480775583035</v>
      </c>
      <c r="J403" s="167">
        <f t="shared" si="1431"/>
        <v>995.10086371278135</v>
      </c>
      <c r="K403" s="167">
        <f t="shared" si="1431"/>
        <v>925.56854918853821</v>
      </c>
      <c r="L403" s="167">
        <f>SUM(L399:L402)</f>
        <v>684.04300696770997</v>
      </c>
      <c r="M403" s="167">
        <f>SUM(M399:M402)</f>
        <v>51.945917555491576</v>
      </c>
      <c r="N403" s="167">
        <f>SUM(N399:N402)</f>
        <v>1152.2513042779738</v>
      </c>
      <c r="O403" s="167">
        <f>SUM(O399:O402)</f>
        <v>675.11770797524775</v>
      </c>
      <c r="P403" s="167">
        <f>SUM(P399:P402)</f>
        <v>1257.539036465872</v>
      </c>
      <c r="Q403" s="313"/>
      <c r="R403" s="167">
        <f t="shared" ref="R403:W403" si="1432">SUM(R399:R402)</f>
        <v>294.38410589416287</v>
      </c>
      <c r="S403" s="167">
        <f t="shared" si="1432"/>
        <v>-36.20738160429179</v>
      </c>
      <c r="T403" s="167">
        <f t="shared" si="1432"/>
        <v>142.97225779152382</v>
      </c>
      <c r="U403" s="167">
        <f t="shared" si="1432"/>
        <v>447.38116290331675</v>
      </c>
      <c r="V403" s="167">
        <f t="shared" si="1432"/>
        <v>251.67338866019799</v>
      </c>
      <c r="W403" s="167">
        <f t="shared" si="1432"/>
        <v>87.6095625988103</v>
      </c>
      <c r="X403" s="167">
        <f t="shared" ref="X403:AC403" si="1433">SUM(X399:X402)</f>
        <v>183.67628558267484</v>
      </c>
      <c r="Y403" s="167">
        <f t="shared" si="1433"/>
        <v>395.4579304273181</v>
      </c>
      <c r="Z403" s="167">
        <f t="shared" si="1433"/>
        <v>283.4648587773334</v>
      </c>
      <c r="AA403" s="167">
        <f t="shared" si="1433"/>
        <v>-64.664552700000172</v>
      </c>
      <c r="AB403" s="167" t="e">
        <f t="shared" si="1433"/>
        <v>#REF!</v>
      </c>
      <c r="AC403" s="167" t="e">
        <f t="shared" si="1433"/>
        <v>#REF!</v>
      </c>
      <c r="AD403" s="167">
        <f t="shared" ref="AD403:AI403" si="1434">SUM(AD399:AD402)</f>
        <v>2426.297021677211</v>
      </c>
      <c r="AE403" s="167">
        <f t="shared" si="1434"/>
        <v>-28.293396015629042</v>
      </c>
      <c r="AF403" s="167">
        <f t="shared" si="1434"/>
        <v>206.08181744405471</v>
      </c>
      <c r="AG403" s="167">
        <f t="shared" si="1434"/>
        <v>-1431.8089757681867</v>
      </c>
      <c r="AH403" s="167">
        <f t="shared" si="1434"/>
        <v>-40.841973892989408</v>
      </c>
      <c r="AI403" s="167">
        <f t="shared" si="1434"/>
        <v>20.144713059823104</v>
      </c>
      <c r="AJ403" s="167">
        <f t="shared" ref="AJ403:AO403" si="1435">SUM(AJ399:AJ402)</f>
        <v>359.2116037764842</v>
      </c>
      <c r="AK403" s="167">
        <f t="shared" si="1435"/>
        <v>633.03201477139851</v>
      </c>
      <c r="AL403" s="167">
        <f t="shared" si="1435"/>
        <v>108.750691460349</v>
      </c>
      <c r="AM403" s="167">
        <f t="shared" si="1435"/>
        <v>221.72455789472252</v>
      </c>
      <c r="AN403" s="167">
        <f t="shared" si="1435"/>
        <v>-72.148118092520008</v>
      </c>
      <c r="AO403" s="167">
        <f t="shared" si="1435"/>
        <v>401.09871195796961</v>
      </c>
      <c r="AP403" s="167">
        <f t="shared" ref="AP403:AU403" si="1436">SUM(AP399:AP402)</f>
        <v>-70.748587732507602</v>
      </c>
      <c r="AQ403" s="167">
        <f t="shared" si="1436"/>
        <v>-291.01162752701299</v>
      </c>
      <c r="AR403" s="167">
        <f t="shared" si="1436"/>
        <v>-36.390728090275815</v>
      </c>
      <c r="AS403" s="167">
        <f t="shared" si="1436"/>
        <v>436.1498235539085</v>
      </c>
      <c r="AT403" s="167">
        <f t="shared" si="1436"/>
        <v>416.19321364673948</v>
      </c>
      <c r="AU403" s="167">
        <f t="shared" si="1436"/>
        <v>-124.79122426091929</v>
      </c>
      <c r="AV403" s="167">
        <f t="shared" ref="AV403:BA403" si="1437">SUM(AV399:AV402)</f>
        <v>280.24087220619629</v>
      </c>
      <c r="AW403" s="167">
        <f t="shared" si="1437"/>
        <v>571.87867126978279</v>
      </c>
      <c r="AX403" s="167">
        <f t="shared" si="1437"/>
        <v>4.890219071389069</v>
      </c>
      <c r="AY403" s="167">
        <f t="shared" si="1437"/>
        <v>-77.910881639428126</v>
      </c>
      <c r="AZ403" s="167">
        <f t="shared" si="1437"/>
        <v>344.76505384705717</v>
      </c>
      <c r="BA403" s="167">
        <f t="shared" si="1437"/>
        <v>399.16318602069055</v>
      </c>
      <c r="BB403" s="167">
        <f>SUM(BB399:BB402)</f>
        <v>37.796867356687386</v>
      </c>
      <c r="BC403" s="167">
        <f>SUM(BC399:BC402)</f>
        <v>81.712748338837798</v>
      </c>
      <c r="BD403" s="167">
        <f>SUM(BD399:BD402)</f>
        <v>201.50896939009334</v>
      </c>
      <c r="BE403" s="167">
        <f>SUM(BE399:BE402)</f>
        <v>951.73877990276935</v>
      </c>
      <c r="BF403" s="167">
        <f>SUM(BF399:BF402)</f>
        <v>445.70869530888706</v>
      </c>
      <c r="BG403" s="142"/>
      <c r="BH403" s="167"/>
      <c r="BI403" s="167"/>
      <c r="BJ403" s="167"/>
      <c r="BK403" s="167"/>
      <c r="BL403" s="167">
        <f>SUM(BL399:BL402)</f>
        <v>-1008.6706960386322</v>
      </c>
      <c r="BM403" s="313"/>
      <c r="BN403" s="167">
        <f t="shared" si="1409"/>
        <v>258.17672428987106</v>
      </c>
      <c r="BO403" s="167">
        <f t="shared" si="1410"/>
        <v>339.28295125900831</v>
      </c>
      <c r="BP403" s="167">
        <f t="shared" si="1411"/>
        <v>218.80030607733323</v>
      </c>
      <c r="BQ403" s="167">
        <f t="shared" si="1412"/>
        <v>2398.0036256615817</v>
      </c>
      <c r="BR403" s="167">
        <f t="shared" si="1413"/>
        <v>-20.697260833166304</v>
      </c>
      <c r="BS403" s="167">
        <f t="shared" si="1414"/>
        <v>330.47524935507153</v>
      </c>
      <c r="BT403" s="167">
        <f t="shared" si="1415"/>
        <v>149.57643980220251</v>
      </c>
      <c r="BU403" s="167">
        <f t="shared" si="1416"/>
        <v>328.9505938654496</v>
      </c>
      <c r="BV403" s="167">
        <f t="shared" si="1417"/>
        <v>330.35012422546203</v>
      </c>
      <c r="BW403" s="167">
        <f t="shared" si="1418"/>
        <v>-361.76021525952058</v>
      </c>
      <c r="BX403" s="313"/>
      <c r="BY403" s="313"/>
      <c r="BZ403" s="313"/>
      <c r="CA403" s="313"/>
      <c r="CJ403" s="6"/>
      <c r="CK403" s="6"/>
      <c r="CL403" s="6"/>
    </row>
    <row r="404" spans="2:90" s="5" customFormat="1" ht="13.5" customHeight="1" thickTop="1">
      <c r="B404" s="1" t="str">
        <f t="shared" si="1402"/>
        <v>Gross Capex</v>
      </c>
      <c r="C404" s="159">
        <f t="shared" ref="C404:O404" si="1438">C139/C$381</f>
        <v>-947.66096740456692</v>
      </c>
      <c r="D404" s="159">
        <f t="shared" si="1438"/>
        <v>-725.22742656304433</v>
      </c>
      <c r="E404" s="159">
        <f t="shared" si="1438"/>
        <v>-676.64827714353669</v>
      </c>
      <c r="F404" s="159">
        <f t="shared" si="1438"/>
        <v>-812.9919058904901</v>
      </c>
      <c r="G404" s="159">
        <f t="shared" si="1438"/>
        <v>-812.9919058904901</v>
      </c>
      <c r="H404" s="159">
        <f t="shared" si="1438"/>
        <v>-692.96270823667464</v>
      </c>
      <c r="I404" s="159">
        <f t="shared" si="1438"/>
        <v>-692.96270823667464</v>
      </c>
      <c r="J404" s="159">
        <f t="shared" si="1438"/>
        <v>-777.15956371437574</v>
      </c>
      <c r="K404" s="159">
        <f t="shared" si="1438"/>
        <v>-501.11276384658623</v>
      </c>
      <c r="L404" s="159">
        <f t="shared" si="1438"/>
        <v>-487.96029239663892</v>
      </c>
      <c r="M404" s="159">
        <f t="shared" si="1438"/>
        <v>-551.27727765165503</v>
      </c>
      <c r="N404" s="159">
        <f t="shared" si="1438"/>
        <v>-458.66114391456358</v>
      </c>
      <c r="O404" s="159">
        <f t="shared" si="1438"/>
        <v>-260.32525646763713</v>
      </c>
      <c r="P404" s="159">
        <f>P139/P$381</f>
        <v>-316.90445612940107</v>
      </c>
      <c r="Q404" s="203"/>
      <c r="R404" s="159">
        <f t="shared" ref="R404:AF404" si="1439">R139/R$381</f>
        <v>-123.4231830989129</v>
      </c>
      <c r="S404" s="159">
        <f t="shared" si="1439"/>
        <v>-144.52052930279928</v>
      </c>
      <c r="T404" s="159">
        <f t="shared" si="1439"/>
        <v>-194.05906899660985</v>
      </c>
      <c r="U404" s="159">
        <f t="shared" si="1439"/>
        <v>-213.80552491002069</v>
      </c>
      <c r="V404" s="159">
        <f t="shared" si="1439"/>
        <v>-173.67403741941391</v>
      </c>
      <c r="W404" s="159">
        <f t="shared" si="1439"/>
        <v>-190.45199277271701</v>
      </c>
      <c r="X404" s="159">
        <f t="shared" si="1439"/>
        <v>-215.97617069079385</v>
      </c>
      <c r="Y404" s="159">
        <f t="shared" si="1439"/>
        <v>-232.92335466863511</v>
      </c>
      <c r="Z404" s="159">
        <f t="shared" si="1439"/>
        <v>-165.76462991866669</v>
      </c>
      <c r="AA404" s="159">
        <f t="shared" si="1439"/>
        <v>-172.05099864599998</v>
      </c>
      <c r="AB404" s="159">
        <f t="shared" si="1439"/>
        <v>-176.38903077497832</v>
      </c>
      <c r="AC404" s="159">
        <f t="shared" si="1439"/>
        <v>-178.43061799385833</v>
      </c>
      <c r="AD404" s="159">
        <f t="shared" si="1439"/>
        <v>-155.92723383522176</v>
      </c>
      <c r="AE404" s="159">
        <f t="shared" si="1439"/>
        <v>-211.76773666221104</v>
      </c>
      <c r="AF404" s="159">
        <f t="shared" si="1439"/>
        <v>-184.81451377094783</v>
      </c>
      <c r="AG404" s="159">
        <f t="shared" ref="AG404:AQ404" si="1440">AG139/AG$381</f>
        <v>-222.41951362522755</v>
      </c>
      <c r="AH404" s="159">
        <f t="shared" si="1440"/>
        <v>-161.8402104605824</v>
      </c>
      <c r="AI404" s="159">
        <f t="shared" si="1440"/>
        <v>-129.30918967475034</v>
      </c>
      <c r="AJ404" s="159">
        <f t="shared" si="1440"/>
        <v>-81.316614841604846</v>
      </c>
      <c r="AK404" s="159">
        <f t="shared" si="1440"/>
        <v>-125.10674963531469</v>
      </c>
      <c r="AL404" s="159">
        <f t="shared" si="1440"/>
        <v>-106.61021184260534</v>
      </c>
      <c r="AM404" s="159">
        <f t="shared" si="1440"/>
        <v>-88.03826990190035</v>
      </c>
      <c r="AN404" s="159">
        <f t="shared" si="1440"/>
        <v>-129.25527723628647</v>
      </c>
      <c r="AO404" s="159">
        <f t="shared" si="1440"/>
        <v>-158.32838292617967</v>
      </c>
      <c r="AP404" s="159">
        <f t="shared" si="1440"/>
        <v>-84.965804410249518</v>
      </c>
      <c r="AQ404" s="159">
        <f t="shared" si="1440"/>
        <v>-104.42576137155804</v>
      </c>
      <c r="AR404" s="159">
        <f t="shared" ref="AR404:BA404" si="1441">AR139/AR$381</f>
        <v>-107.29183924942711</v>
      </c>
      <c r="AS404" s="159">
        <f t="shared" si="1441"/>
        <v>-164.61406637003273</v>
      </c>
      <c r="AT404" s="159">
        <f t="shared" si="1441"/>
        <v>-93.971807020790934</v>
      </c>
      <c r="AU404" s="159">
        <f t="shared" si="1441"/>
        <v>-112.96744709675013</v>
      </c>
      <c r="AV404" s="159">
        <f t="shared" si="1441"/>
        <v>-100.55779802528201</v>
      </c>
      <c r="AW404" s="159">
        <f t="shared" si="1441"/>
        <v>-150.58939922431023</v>
      </c>
      <c r="AX404" s="159">
        <f t="shared" si="1441"/>
        <v>-70.351314452612144</v>
      </c>
      <c r="AY404" s="159">
        <f t="shared" si="1441"/>
        <v>-65.857685350697977</v>
      </c>
      <c r="AZ404" s="159">
        <f t="shared" si="1441"/>
        <v>-45.865701137403093</v>
      </c>
      <c r="BA404" s="159">
        <f t="shared" si="1441"/>
        <v>-77.848576854032856</v>
      </c>
      <c r="BB404" s="159">
        <f t="shared" ref="BB404:BC408" si="1442">BB139/BB$381</f>
        <v>-36.31180111781817</v>
      </c>
      <c r="BC404" s="159">
        <f t="shared" si="1442"/>
        <v>-55.592202447119227</v>
      </c>
      <c r="BD404" s="159">
        <f t="shared" ref="BD404:BF408" si="1443">BD139/BD$381</f>
        <v>-65.637152799483204</v>
      </c>
      <c r="BE404" s="159">
        <f t="shared" si="1443"/>
        <v>-161.55250358726144</v>
      </c>
      <c r="BF404" s="159">
        <f t="shared" si="1443"/>
        <v>-54.113375142402745</v>
      </c>
      <c r="BG404" s="142"/>
      <c r="BH404" s="159"/>
      <c r="BI404" s="159"/>
      <c r="BJ404" s="159"/>
      <c r="BK404" s="159"/>
      <c r="BL404" s="159">
        <f>BL139/BL$381</f>
        <v>-155.92723383522176</v>
      </c>
      <c r="BM404" s="203"/>
      <c r="BN404" s="159">
        <f t="shared" si="1409"/>
        <v>-267.94371240171216</v>
      </c>
      <c r="BO404" s="159">
        <f t="shared" si="1410"/>
        <v>-364.12603019213088</v>
      </c>
      <c r="BP404" s="159">
        <f t="shared" si="1411"/>
        <v>-337.81562856466667</v>
      </c>
      <c r="BQ404" s="159">
        <f t="shared" si="1412"/>
        <v>-367.69497049743279</v>
      </c>
      <c r="BR404" s="159">
        <f t="shared" si="1413"/>
        <v>-291.14940013533271</v>
      </c>
      <c r="BS404" s="159">
        <f t="shared" si="1414"/>
        <v>-194.64848174450569</v>
      </c>
      <c r="BT404" s="159">
        <f t="shared" si="1415"/>
        <v>-217.29354713818682</v>
      </c>
      <c r="BU404" s="159">
        <f t="shared" si="1416"/>
        <v>-287.58366016246612</v>
      </c>
      <c r="BV404" s="159">
        <f t="shared" si="1417"/>
        <v>-243.29418733642919</v>
      </c>
      <c r="BW404" s="159">
        <f t="shared" si="1418"/>
        <v>-189.39156578180757</v>
      </c>
      <c r="BX404" s="203"/>
      <c r="BY404" s="203"/>
      <c r="BZ404" s="203"/>
      <c r="CA404" s="203"/>
      <c r="CJ404" s="6"/>
      <c r="CK404" s="6"/>
      <c r="CL404" s="6"/>
    </row>
    <row r="405" spans="2:90" ht="13.5" customHeight="1">
      <c r="B405" s="1" t="str">
        <f t="shared" si="1402"/>
        <v>Net Payment for acquisition  of intangible assets</v>
      </c>
      <c r="C405" s="159">
        <f t="shared" ref="C405:O405" si="1444">C140/C$381</f>
        <v>-54.514211260240536</v>
      </c>
      <c r="D405" s="159">
        <f t="shared" si="1444"/>
        <v>-47.448675180657183</v>
      </c>
      <c r="E405" s="159">
        <f t="shared" si="1444"/>
        <v>-59.999681888452841</v>
      </c>
      <c r="F405" s="159">
        <f t="shared" si="1444"/>
        <v>-66.7059510273683</v>
      </c>
      <c r="G405" s="159">
        <f t="shared" si="1444"/>
        <v>-66.7059510273683</v>
      </c>
      <c r="H405" s="159">
        <f t="shared" si="1444"/>
        <v>-82.507591612463187</v>
      </c>
      <c r="I405" s="159">
        <f t="shared" si="1444"/>
        <v>-82.507591612463187</v>
      </c>
      <c r="J405" s="159">
        <f t="shared" si="1444"/>
        <v>-92.168719984770689</v>
      </c>
      <c r="K405" s="159">
        <f t="shared" si="1444"/>
        <v>-62.107029369437669</v>
      </c>
      <c r="L405" s="159">
        <f t="shared" si="1444"/>
        <v>-61.511965467505497</v>
      </c>
      <c r="M405" s="159">
        <f t="shared" si="1444"/>
        <v>-64.035002385360229</v>
      </c>
      <c r="N405" s="159">
        <f t="shared" si="1444"/>
        <v>-18.667877889620705</v>
      </c>
      <c r="O405" s="159">
        <f t="shared" si="1444"/>
        <v>-10.845739446102181</v>
      </c>
      <c r="P405" s="159">
        <f>P140/P$381</f>
        <v>-10.557441310996461</v>
      </c>
      <c r="Q405" s="203"/>
      <c r="R405" s="159">
        <f t="shared" ref="R405:AF405" si="1445">R140/R$381</f>
        <v>-10.666452779393817</v>
      </c>
      <c r="S405" s="159">
        <f t="shared" si="1445"/>
        <v>-14.030537494741656</v>
      </c>
      <c r="T405" s="159">
        <f t="shared" si="1445"/>
        <v>-18.905391981543147</v>
      </c>
      <c r="U405" s="159">
        <f t="shared" si="1445"/>
        <v>-16.325940845743308</v>
      </c>
      <c r="V405" s="159">
        <f t="shared" si="1445"/>
        <v>-12.922579873708207</v>
      </c>
      <c r="W405" s="159">
        <f t="shared" si="1445"/>
        <v>-16.318099826846346</v>
      </c>
      <c r="X405" s="159">
        <f t="shared" si="1445"/>
        <v>-17.818690082457497</v>
      </c>
      <c r="Y405" s="159">
        <f t="shared" si="1445"/>
        <v>-19.633956432315546</v>
      </c>
      <c r="Z405" s="159">
        <f t="shared" si="1445"/>
        <v>-24.378286626666668</v>
      </c>
      <c r="AA405" s="159">
        <f t="shared" si="1445"/>
        <v>-18.794977890000002</v>
      </c>
      <c r="AB405" s="159">
        <f t="shared" si="1445"/>
        <v>-17.642799126500449</v>
      </c>
      <c r="AC405" s="159">
        <f t="shared" si="1445"/>
        <v>-21.678684924634901</v>
      </c>
      <c r="AD405" s="159">
        <f t="shared" si="1445"/>
        <v>-19.495031745911938</v>
      </c>
      <c r="AE405" s="159">
        <f t="shared" si="1445"/>
        <v>-18.87014043194009</v>
      </c>
      <c r="AF405" s="159">
        <f t="shared" si="1445"/>
        <v>-21.294873044501127</v>
      </c>
      <c r="AG405" s="159">
        <f t="shared" ref="AG405:AQ405" si="1446">AG140/AG$381</f>
        <v>-31.739988095398324</v>
      </c>
      <c r="AH405" s="159">
        <f t="shared" si="1446"/>
        <v>-16.677382716556728</v>
      </c>
      <c r="AI405" s="159">
        <f t="shared" si="1446"/>
        <v>-0.66235266141309213</v>
      </c>
      <c r="AJ405" s="159">
        <f t="shared" si="1446"/>
        <v>-34.271311882709732</v>
      </c>
      <c r="AK405" s="159">
        <f t="shared" si="1446"/>
        <v>-11.049390876953206</v>
      </c>
      <c r="AL405" s="159">
        <f t="shared" si="1446"/>
        <v>-15.657551699560186</v>
      </c>
      <c r="AM405" s="159">
        <f t="shared" si="1446"/>
        <v>-2.9900460798577733</v>
      </c>
      <c r="AN405" s="159">
        <f t="shared" si="1446"/>
        <v>-22.604316958395639</v>
      </c>
      <c r="AO405" s="159">
        <f t="shared" si="1446"/>
        <v>-19.341954579570487</v>
      </c>
      <c r="AP405" s="159">
        <f t="shared" si="1446"/>
        <v>-15.50781761539259</v>
      </c>
      <c r="AQ405" s="159">
        <f t="shared" si="1446"/>
        <v>8.8786336702683872</v>
      </c>
      <c r="AR405" s="159">
        <f t="shared" ref="AR405:BA405" si="1447">AR140/AR$381</f>
        <v>-35.410953780967617</v>
      </c>
      <c r="AS405" s="159">
        <f t="shared" si="1447"/>
        <v>-11.923533086381864</v>
      </c>
      <c r="AT405" s="159">
        <f t="shared" si="1447"/>
        <v>-4.1524054537602568</v>
      </c>
      <c r="AU405" s="159">
        <f t="shared" si="1447"/>
        <v>-2.1951993284555988</v>
      </c>
      <c r="AV405" s="159">
        <f t="shared" si="1447"/>
        <v>-4.6353877905204159</v>
      </c>
      <c r="AW405" s="159">
        <f t="shared" si="1447"/>
        <v>-7.5870740595044603</v>
      </c>
      <c r="AX405" s="159">
        <f t="shared" si="1447"/>
        <v>6.5463593812798333</v>
      </c>
      <c r="AY405" s="159">
        <f t="shared" si="1447"/>
        <v>-8.768801072522983</v>
      </c>
      <c r="AZ405" s="159">
        <f t="shared" si="1447"/>
        <v>-3.0737097444896424</v>
      </c>
      <c r="BA405" s="159">
        <f t="shared" si="1447"/>
        <v>-5.5525106100382899</v>
      </c>
      <c r="BB405" s="159">
        <f t="shared" si="1442"/>
        <v>1.7990708163286453</v>
      </c>
      <c r="BC405" s="159">
        <f t="shared" si="1442"/>
        <v>186.03585535865099</v>
      </c>
      <c r="BD405" s="159">
        <f t="shared" si="1443"/>
        <v>-191.23113083703194</v>
      </c>
      <c r="BE405" s="159">
        <f t="shared" si="1443"/>
        <v>-3.0459287259332357</v>
      </c>
      <c r="BF405" s="159">
        <f t="shared" si="1443"/>
        <v>-3.2170973527189051</v>
      </c>
      <c r="BG405" s="142"/>
      <c r="BH405" s="159"/>
      <c r="BI405" s="159"/>
      <c r="BJ405" s="159"/>
      <c r="BK405" s="159"/>
      <c r="BL405" s="159">
        <f>BL140/BL$381</f>
        <v>-19.495031745911938</v>
      </c>
      <c r="BM405" s="203"/>
      <c r="BN405" s="159">
        <f t="shared" si="1409"/>
        <v>-24.696990274135473</v>
      </c>
      <c r="BO405" s="159">
        <f t="shared" si="1410"/>
        <v>-29.240679700554551</v>
      </c>
      <c r="BP405" s="159">
        <f t="shared" si="1411"/>
        <v>-43.17326451666667</v>
      </c>
      <c r="BQ405" s="159">
        <f t="shared" si="1412"/>
        <v>-38.365172177852031</v>
      </c>
      <c r="BR405" s="159">
        <f t="shared" si="1413"/>
        <v>-17.33973537796982</v>
      </c>
      <c r="BS405" s="159">
        <f t="shared" si="1414"/>
        <v>-18.647597779417957</v>
      </c>
      <c r="BT405" s="159">
        <f t="shared" si="1415"/>
        <v>-25.594363038253412</v>
      </c>
      <c r="BU405" s="159">
        <f t="shared" si="1416"/>
        <v>-41.946271537966126</v>
      </c>
      <c r="BV405" s="159">
        <f t="shared" si="1417"/>
        <v>-34.84977219496308</v>
      </c>
      <c r="BW405" s="159">
        <f t="shared" si="1418"/>
        <v>-6.6291839451242023</v>
      </c>
      <c r="BX405" s="203"/>
      <c r="BY405" s="203"/>
      <c r="BZ405" s="203"/>
      <c r="CA405" s="203"/>
      <c r="CJ405" s="6"/>
      <c r="CK405" s="6"/>
      <c r="CL405" s="6"/>
    </row>
    <row r="406" spans="2:90" ht="13.5" customHeight="1">
      <c r="B406" s="1" t="str">
        <f t="shared" si="1402"/>
        <v>Disposals/ Acquisition, of subsidiaries</v>
      </c>
      <c r="C406" s="159">
        <f t="shared" ref="C406:O406" si="1448">C141/C$381</f>
        <v>-508.33448143629067</v>
      </c>
      <c r="D406" s="159">
        <f t="shared" si="1448"/>
        <v>0.67861049250859717</v>
      </c>
      <c r="E406" s="159">
        <f t="shared" si="1448"/>
        <v>80.086145796170769</v>
      </c>
      <c r="F406" s="159">
        <f t="shared" si="1448"/>
        <v>3.4334369490039669</v>
      </c>
      <c r="G406" s="159">
        <f t="shared" si="1448"/>
        <v>3.4334369490039669</v>
      </c>
      <c r="H406" s="159">
        <f t="shared" si="1448"/>
        <v>-0.95439311064725885</v>
      </c>
      <c r="I406" s="159">
        <f t="shared" si="1448"/>
        <v>-0.95439311064725885</v>
      </c>
      <c r="J406" s="159">
        <f t="shared" si="1448"/>
        <v>13.462228679998892</v>
      </c>
      <c r="K406" s="159">
        <f t="shared" si="1448"/>
        <v>-15.76719706091731</v>
      </c>
      <c r="L406" s="159">
        <f t="shared" si="1448"/>
        <v>-23.869987676987897</v>
      </c>
      <c r="M406" s="159">
        <f t="shared" si="1448"/>
        <v>5.6319158168124703</v>
      </c>
      <c r="N406" s="159">
        <f t="shared" si="1448"/>
        <v>3.9470260628837242</v>
      </c>
      <c r="O406" s="159">
        <f t="shared" si="1448"/>
        <v>0</v>
      </c>
      <c r="P406" s="159">
        <f>P141/P$381</f>
        <v>0.40851588180688825</v>
      </c>
      <c r="Q406" s="203"/>
      <c r="R406" s="159">
        <f t="shared" ref="R406:AF406" si="1449">R141/R$381</f>
        <v>2.880114757651461</v>
      </c>
      <c r="S406" s="159">
        <f t="shared" si="1449"/>
        <v>-0.33893386667060271</v>
      </c>
      <c r="T406" s="159">
        <f t="shared" si="1449"/>
        <v>2.9737639597616319</v>
      </c>
      <c r="U406" s="159">
        <f t="shared" si="1449"/>
        <v>75.295002070764554</v>
      </c>
      <c r="V406" s="159">
        <f t="shared" si="1449"/>
        <v>1.2490874120358828</v>
      </c>
      <c r="W406" s="159">
        <f t="shared" si="1449"/>
        <v>2.0330422344349919</v>
      </c>
      <c r="X406" s="159">
        <f t="shared" si="1449"/>
        <v>-0.25818506755099341</v>
      </c>
      <c r="Y406" s="159">
        <f t="shared" si="1449"/>
        <v>0.37183169266348393</v>
      </c>
      <c r="Z406" s="159">
        <f t="shared" si="1449"/>
        <v>33.341703467333332</v>
      </c>
      <c r="AA406" s="159">
        <f t="shared" si="1449"/>
        <v>10.468468044000005</v>
      </c>
      <c r="AB406" s="159">
        <f t="shared" si="1449"/>
        <v>-131.35047109001334</v>
      </c>
      <c r="AC406" s="159">
        <f t="shared" si="1449"/>
        <v>82.496468013783755</v>
      </c>
      <c r="AD406" s="159">
        <f t="shared" si="1449"/>
        <v>4.7168566787450823</v>
      </c>
      <c r="AE406" s="159">
        <f t="shared" si="1449"/>
        <v>1.8373177844326767</v>
      </c>
      <c r="AF406" s="159">
        <f t="shared" si="1449"/>
        <v>5.6104288749465479</v>
      </c>
      <c r="AG406" s="159">
        <f t="shared" ref="AG406:AQ406" si="1450">AG141/AG$381</f>
        <v>1.3438156713287046</v>
      </c>
      <c r="AH406" s="159">
        <f t="shared" si="1450"/>
        <v>0</v>
      </c>
      <c r="AI406" s="159">
        <f t="shared" si="1450"/>
        <v>5.6584479584568781</v>
      </c>
      <c r="AJ406" s="159">
        <f t="shared" si="1450"/>
        <v>-55.903032918732841</v>
      </c>
      <c r="AK406" s="159">
        <f t="shared" si="1450"/>
        <v>34.602474603445785</v>
      </c>
      <c r="AL406" s="159">
        <f t="shared" si="1450"/>
        <v>0</v>
      </c>
      <c r="AM406" s="159">
        <f t="shared" si="1450"/>
        <v>13.685642287808335</v>
      </c>
      <c r="AN406" s="159">
        <f t="shared" si="1450"/>
        <v>0.89986164287158499</v>
      </c>
      <c r="AO406" s="159">
        <f t="shared" si="1450"/>
        <v>-34.419954966951551</v>
      </c>
      <c r="AP406" s="159">
        <f t="shared" si="1450"/>
        <v>0</v>
      </c>
      <c r="AQ406" s="159">
        <f t="shared" si="1450"/>
        <v>2.9858280324154753</v>
      </c>
      <c r="AR406" s="159">
        <f t="shared" ref="AR406:BA406" si="1451">AR141/AR$381</f>
        <v>1.5046100134030878</v>
      </c>
      <c r="AS406" s="159">
        <f t="shared" si="1451"/>
        <v>0.11689937093132768</v>
      </c>
      <c r="AT406" s="159">
        <f t="shared" si="1451"/>
        <v>0</v>
      </c>
      <c r="AU406" s="159">
        <f t="shared" si="1451"/>
        <v>1.064956101499744</v>
      </c>
      <c r="AV406" s="159">
        <f t="shared" si="1451"/>
        <v>0.5580395881704544</v>
      </c>
      <c r="AW406" s="159">
        <f t="shared" si="1451"/>
        <v>2.2981174318325595</v>
      </c>
      <c r="AX406" s="159">
        <f t="shared" si="1451"/>
        <v>0</v>
      </c>
      <c r="AY406" s="159">
        <f t="shared" si="1451"/>
        <v>29.475475612870273</v>
      </c>
      <c r="AZ406" s="159">
        <f t="shared" si="1451"/>
        <v>-29.529810287847692</v>
      </c>
      <c r="BA406" s="159">
        <f t="shared" si="1451"/>
        <v>0</v>
      </c>
      <c r="BB406" s="159">
        <f t="shared" si="1442"/>
        <v>0.40012020328018699</v>
      </c>
      <c r="BC406" s="159">
        <f t="shared" si="1442"/>
        <v>0</v>
      </c>
      <c r="BD406" s="159">
        <f t="shared" si="1443"/>
        <v>0</v>
      </c>
      <c r="BE406" s="159">
        <f t="shared" si="1443"/>
        <v>0</v>
      </c>
      <c r="BF406" s="159">
        <f t="shared" si="1443"/>
        <v>8.1540521335032761</v>
      </c>
      <c r="BG406" s="142"/>
      <c r="BH406" s="159"/>
      <c r="BI406" s="159"/>
      <c r="BJ406" s="159"/>
      <c r="BK406" s="159"/>
      <c r="BL406" s="159">
        <f>BL141/BL$381</f>
        <v>4.7168566787450823</v>
      </c>
      <c r="BM406" s="203"/>
      <c r="BN406" s="159">
        <f t="shared" si="1409"/>
        <v>2.5411808909808582</v>
      </c>
      <c r="BO406" s="159">
        <f t="shared" si="1410"/>
        <v>3.2821296464708745</v>
      </c>
      <c r="BP406" s="159">
        <f t="shared" si="1411"/>
        <v>43.810171511333337</v>
      </c>
      <c r="BQ406" s="159">
        <f t="shared" si="1412"/>
        <v>6.554174463177759</v>
      </c>
      <c r="BR406" s="159">
        <f t="shared" si="1413"/>
        <v>5.6584479584568781</v>
      </c>
      <c r="BS406" s="159">
        <f t="shared" si="1414"/>
        <v>13.685642287808335</v>
      </c>
      <c r="BT406" s="159">
        <f t="shared" si="1415"/>
        <v>14.58550393067992</v>
      </c>
      <c r="BU406" s="159">
        <f t="shared" si="1416"/>
        <v>-33.520093324079966</v>
      </c>
      <c r="BV406" s="159">
        <f t="shared" si="1417"/>
        <v>-34.419954966951551</v>
      </c>
      <c r="BW406" s="159">
        <f t="shared" si="1418"/>
        <v>2.9858280324154753</v>
      </c>
      <c r="BX406" s="203"/>
      <c r="BY406" s="203"/>
      <c r="BZ406" s="203"/>
      <c r="CA406" s="203"/>
      <c r="CJ406" s="6"/>
      <c r="CK406" s="6"/>
      <c r="CL406" s="6"/>
    </row>
    <row r="407" spans="2:90" ht="13.5" customHeight="1">
      <c r="B407" s="1" t="str">
        <f t="shared" si="1402"/>
        <v>Deposits interest received</v>
      </c>
      <c r="C407" s="159">
        <f t="shared" ref="C407:O407" si="1452">C142/C$381</f>
        <v>34.559381209691473</v>
      </c>
      <c r="D407" s="159">
        <f t="shared" si="1452"/>
        <v>17.722009119968487</v>
      </c>
      <c r="E407" s="159">
        <f t="shared" si="1452"/>
        <v>16.567958437388512</v>
      </c>
      <c r="F407" s="159">
        <f t="shared" si="1452"/>
        <v>23.701699833205861</v>
      </c>
      <c r="G407" s="159">
        <f t="shared" si="1452"/>
        <v>23.701699833205861</v>
      </c>
      <c r="H407" s="159">
        <f t="shared" si="1452"/>
        <v>29.365432431463599</v>
      </c>
      <c r="I407" s="159">
        <f t="shared" si="1452"/>
        <v>28.859763867151564</v>
      </c>
      <c r="J407" s="159">
        <f t="shared" si="1452"/>
        <v>16.307329430980907</v>
      </c>
      <c r="K407" s="159">
        <f t="shared" si="1452"/>
        <v>30.997299902158996</v>
      </c>
      <c r="L407" s="159">
        <f t="shared" si="1452"/>
        <v>37.353097529208476</v>
      </c>
      <c r="M407" s="159">
        <f t="shared" si="1452"/>
        <v>42.731994888816239</v>
      </c>
      <c r="N407" s="159">
        <f t="shared" si="1452"/>
        <v>52.540256096098879</v>
      </c>
      <c r="O407" s="159">
        <f t="shared" si="1452"/>
        <v>59.658673738638015</v>
      </c>
      <c r="P407" s="159">
        <f>P142/P$381</f>
        <v>59.01259142696172</v>
      </c>
      <c r="Q407" s="203"/>
      <c r="R407" s="159">
        <f t="shared" ref="R407:AF407" si="1453">R142/R$381</f>
        <v>2.5704473381015935</v>
      </c>
      <c r="S407" s="159">
        <f t="shared" si="1453"/>
        <v>4.1022516771341486</v>
      </c>
      <c r="T407" s="159">
        <f t="shared" si="1453"/>
        <v>1.7043225517210112</v>
      </c>
      <c r="U407" s="159">
        <f t="shared" si="1453"/>
        <v>8.1667053109226693</v>
      </c>
      <c r="V407" s="159">
        <f t="shared" si="1453"/>
        <v>1.6652672124724595</v>
      </c>
      <c r="W407" s="159">
        <f t="shared" si="1453"/>
        <v>8.0583482646992408</v>
      </c>
      <c r="X407" s="159">
        <f t="shared" si="1453"/>
        <v>6.3863367407589102</v>
      </c>
      <c r="Y407" s="159">
        <f t="shared" si="1453"/>
        <v>7.5482823671518116</v>
      </c>
      <c r="Z407" s="159">
        <f t="shared" si="1453"/>
        <v>5.67934318</v>
      </c>
      <c r="AA407" s="159">
        <f t="shared" si="1453"/>
        <v>8.4887421900000017</v>
      </c>
      <c r="AB407" s="159">
        <f t="shared" si="1453"/>
        <v>13.853798715597081</v>
      </c>
      <c r="AC407" s="159">
        <f t="shared" si="1453"/>
        <v>1.6213650249654272</v>
      </c>
      <c r="AD407" s="159">
        <f t="shared" si="1453"/>
        <v>5.6150405230023441</v>
      </c>
      <c r="AE407" s="159">
        <f t="shared" si="1453"/>
        <v>2.3305446305245665</v>
      </c>
      <c r="AF407" s="159">
        <f t="shared" si="1453"/>
        <v>4.617542874949244</v>
      </c>
      <c r="AG407" s="159">
        <f t="shared" ref="AG407:AQ407" si="1454">AG142/AG$381</f>
        <v>3.7407908838545731</v>
      </c>
      <c r="AH407" s="159">
        <f t="shared" si="1454"/>
        <v>6.7790869809341006</v>
      </c>
      <c r="AI407" s="159">
        <f t="shared" si="1454"/>
        <v>2.857667011038874</v>
      </c>
      <c r="AJ407" s="159">
        <f t="shared" si="1454"/>
        <v>30.981405731322482</v>
      </c>
      <c r="AK407" s="159">
        <f t="shared" si="1454"/>
        <v>-9.7238300500703065</v>
      </c>
      <c r="AL407" s="159">
        <f t="shared" si="1454"/>
        <v>4.9487480685012004</v>
      </c>
      <c r="AM407" s="159">
        <f t="shared" si="1454"/>
        <v>9.0540267813841311</v>
      </c>
      <c r="AN407" s="159">
        <f t="shared" si="1454"/>
        <v>9.291482915210489</v>
      </c>
      <c r="AO407" s="159">
        <f t="shared" si="1454"/>
        <v>13.475879476067115</v>
      </c>
      <c r="AP407" s="159">
        <f t="shared" si="1454"/>
        <v>5.4168460070598137</v>
      </c>
      <c r="AQ407" s="159">
        <f t="shared" si="1454"/>
        <v>11.9798721244336</v>
      </c>
      <c r="AR407" s="159">
        <f t="shared" ref="AR407:BA407" si="1455">AR142/AR$381</f>
        <v>11.52646569242077</v>
      </c>
      <c r="AS407" s="159">
        <f t="shared" si="1455"/>
        <v>6.6471571356552666</v>
      </c>
      <c r="AT407" s="159">
        <f t="shared" si="1455"/>
        <v>16.379644641865628</v>
      </c>
      <c r="AU407" s="159">
        <f t="shared" si="1455"/>
        <v>10.500633447738133</v>
      </c>
      <c r="AV407" s="159">
        <f t="shared" si="1455"/>
        <v>13.221907174183258</v>
      </c>
      <c r="AW407" s="159">
        <f t="shared" si="1455"/>
        <v>12.466122045264243</v>
      </c>
      <c r="AX407" s="159">
        <f t="shared" si="1455"/>
        <v>14.975324425790864</v>
      </c>
      <c r="AY407" s="159">
        <f t="shared" si="1455"/>
        <v>4.0609944245829093</v>
      </c>
      <c r="AZ407" s="159">
        <f t="shared" si="1455"/>
        <v>17.568944688510644</v>
      </c>
      <c r="BA407" s="159">
        <f t="shared" si="1455"/>
        <v>22.85611024063255</v>
      </c>
      <c r="BB407" s="159">
        <f t="shared" si="1442"/>
        <v>11.297098632176985</v>
      </c>
      <c r="BC407" s="159">
        <f t="shared" si="1442"/>
        <v>13.374935103266367</v>
      </c>
      <c r="BD407" s="159">
        <f t="shared" si="1443"/>
        <v>14.483835510824951</v>
      </c>
      <c r="BE407" s="159">
        <f t="shared" si="1443"/>
        <v>20.007441158203584</v>
      </c>
      <c r="BF407" s="159">
        <f t="shared" si="1443"/>
        <v>19.080780987400882</v>
      </c>
      <c r="BG407" s="142"/>
      <c r="BH407" s="159"/>
      <c r="BI407" s="159"/>
      <c r="BJ407" s="159"/>
      <c r="BK407" s="159"/>
      <c r="BL407" s="159">
        <f>BL142/BL$381</f>
        <v>5.6150405230023441</v>
      </c>
      <c r="BM407" s="203"/>
      <c r="BN407" s="159">
        <f t="shared" si="1409"/>
        <v>6.6726990152357422</v>
      </c>
      <c r="BO407" s="159">
        <f t="shared" si="1410"/>
        <v>9.7236154771717001</v>
      </c>
      <c r="BP407" s="159">
        <f t="shared" si="1411"/>
        <v>14.168085370000002</v>
      </c>
      <c r="BQ407" s="159">
        <f t="shared" si="1412"/>
        <v>7.9455851535269106</v>
      </c>
      <c r="BR407" s="159">
        <f t="shared" si="1413"/>
        <v>9.6367539919729737</v>
      </c>
      <c r="BS407" s="159">
        <f t="shared" si="1414"/>
        <v>14.002774849885331</v>
      </c>
      <c r="BT407" s="159">
        <f t="shared" si="1415"/>
        <v>18.345509696594618</v>
      </c>
      <c r="BU407" s="159">
        <f t="shared" si="1416"/>
        <v>22.767362391277604</v>
      </c>
      <c r="BV407" s="159">
        <f t="shared" si="1417"/>
        <v>18.892725483126931</v>
      </c>
      <c r="BW407" s="159">
        <f t="shared" si="1418"/>
        <v>17.396718131493415</v>
      </c>
      <c r="BX407" s="203"/>
      <c r="BY407" s="203"/>
      <c r="BZ407" s="203"/>
      <c r="CA407" s="203"/>
      <c r="CJ407" s="6"/>
      <c r="CK407" s="6"/>
      <c r="CL407" s="6"/>
    </row>
    <row r="408" spans="2:90" ht="13.5" customHeight="1" thickBot="1">
      <c r="B408" s="61" t="str">
        <f t="shared" si="1402"/>
        <v>Disposed Cash from discontinued operations</v>
      </c>
      <c r="C408" s="168">
        <f t="shared" ref="C408:O408" si="1456">C143/C$381</f>
        <v>0</v>
      </c>
      <c r="D408" s="168">
        <f t="shared" si="1456"/>
        <v>0</v>
      </c>
      <c r="E408" s="168">
        <f t="shared" si="1456"/>
        <v>0</v>
      </c>
      <c r="F408" s="168">
        <f t="shared" si="1456"/>
        <v>0</v>
      </c>
      <c r="G408" s="168">
        <f t="shared" si="1456"/>
        <v>0</v>
      </c>
      <c r="H408" s="168">
        <f t="shared" si="1456"/>
        <v>0</v>
      </c>
      <c r="I408" s="168">
        <f t="shared" si="1456"/>
        <v>0</v>
      </c>
      <c r="J408" s="168">
        <f t="shared" si="1456"/>
        <v>0</v>
      </c>
      <c r="K408" s="168">
        <f t="shared" si="1456"/>
        <v>0</v>
      </c>
      <c r="L408" s="168">
        <f t="shared" si="1456"/>
        <v>0</v>
      </c>
      <c r="M408" s="168">
        <f t="shared" si="1456"/>
        <v>0</v>
      </c>
      <c r="N408" s="168">
        <f t="shared" si="1456"/>
        <v>0</v>
      </c>
      <c r="O408" s="168">
        <f t="shared" si="1456"/>
        <v>0</v>
      </c>
      <c r="P408" s="168">
        <f>P143/P$381</f>
        <v>0</v>
      </c>
      <c r="Q408" s="203"/>
      <c r="R408" s="168">
        <f t="shared" ref="R408:AF408" si="1457">R143/R$381</f>
        <v>0</v>
      </c>
      <c r="S408" s="168">
        <f t="shared" si="1457"/>
        <v>0</v>
      </c>
      <c r="T408" s="168">
        <f t="shared" si="1457"/>
        <v>0</v>
      </c>
      <c r="U408" s="168">
        <f t="shared" si="1457"/>
        <v>0</v>
      </c>
      <c r="V408" s="168">
        <f t="shared" si="1457"/>
        <v>0</v>
      </c>
      <c r="W408" s="168">
        <f t="shared" si="1457"/>
        <v>0</v>
      </c>
      <c r="X408" s="168">
        <f t="shared" si="1457"/>
        <v>0</v>
      </c>
      <c r="Y408" s="168">
        <f t="shared" si="1457"/>
        <v>0</v>
      </c>
      <c r="Z408" s="168">
        <f t="shared" si="1457"/>
        <v>0</v>
      </c>
      <c r="AA408" s="168">
        <f t="shared" si="1457"/>
        <v>0</v>
      </c>
      <c r="AB408" s="168">
        <f t="shared" si="1457"/>
        <v>0</v>
      </c>
      <c r="AC408" s="168">
        <f t="shared" si="1457"/>
        <v>0</v>
      </c>
      <c r="AD408" s="168">
        <f t="shared" si="1457"/>
        <v>0</v>
      </c>
      <c r="AE408" s="168">
        <f t="shared" si="1457"/>
        <v>0</v>
      </c>
      <c r="AF408" s="168">
        <f t="shared" si="1457"/>
        <v>0</v>
      </c>
      <c r="AG408" s="168">
        <f t="shared" ref="AG408:AQ408" si="1458">AG143/AG$381</f>
        <v>0</v>
      </c>
      <c r="AH408" s="168">
        <f t="shared" si="1458"/>
        <v>0</v>
      </c>
      <c r="AI408" s="168">
        <f t="shared" si="1458"/>
        <v>0</v>
      </c>
      <c r="AJ408" s="168">
        <f t="shared" si="1458"/>
        <v>0</v>
      </c>
      <c r="AK408" s="168">
        <f t="shared" si="1458"/>
        <v>0</v>
      </c>
      <c r="AL408" s="168">
        <f t="shared" si="1458"/>
        <v>0</v>
      </c>
      <c r="AM408" s="168">
        <f t="shared" si="1458"/>
        <v>0</v>
      </c>
      <c r="AN408" s="168">
        <f t="shared" si="1458"/>
        <v>0</v>
      </c>
      <c r="AO408" s="168">
        <f t="shared" si="1458"/>
        <v>0</v>
      </c>
      <c r="AP408" s="168">
        <f t="shared" si="1458"/>
        <v>0</v>
      </c>
      <c r="AQ408" s="168">
        <f t="shared" si="1458"/>
        <v>0</v>
      </c>
      <c r="AR408" s="168">
        <f t="shared" ref="AR408:BA408" si="1459">AR143/AR$381</f>
        <v>0</v>
      </c>
      <c r="AS408" s="168">
        <f t="shared" si="1459"/>
        <v>0</v>
      </c>
      <c r="AT408" s="168">
        <f t="shared" si="1459"/>
        <v>0</v>
      </c>
      <c r="AU408" s="168">
        <f t="shared" si="1459"/>
        <v>0</v>
      </c>
      <c r="AV408" s="168">
        <f t="shared" si="1459"/>
        <v>0</v>
      </c>
      <c r="AW408" s="168">
        <f t="shared" si="1459"/>
        <v>0</v>
      </c>
      <c r="AX408" s="168">
        <f t="shared" si="1459"/>
        <v>0</v>
      </c>
      <c r="AY408" s="168">
        <f t="shared" si="1459"/>
        <v>0</v>
      </c>
      <c r="AZ408" s="168">
        <f t="shared" si="1459"/>
        <v>0</v>
      </c>
      <c r="BA408" s="168">
        <f t="shared" si="1459"/>
        <v>0</v>
      </c>
      <c r="BB408" s="168">
        <f t="shared" si="1442"/>
        <v>0</v>
      </c>
      <c r="BC408" s="168">
        <f t="shared" si="1442"/>
        <v>0</v>
      </c>
      <c r="BD408" s="168">
        <f t="shared" si="1443"/>
        <v>0</v>
      </c>
      <c r="BE408" s="168">
        <f t="shared" si="1443"/>
        <v>0</v>
      </c>
      <c r="BF408" s="168">
        <f t="shared" si="1443"/>
        <v>0</v>
      </c>
      <c r="BG408" s="142"/>
      <c r="BH408" s="168"/>
      <c r="BI408" s="168"/>
      <c r="BJ408" s="168"/>
      <c r="BK408" s="168"/>
      <c r="BL408" s="168">
        <f>BL143/BL$381</f>
        <v>0</v>
      </c>
      <c r="BM408" s="203"/>
      <c r="BN408" s="168">
        <f t="shared" si="1409"/>
        <v>0</v>
      </c>
      <c r="BO408" s="168">
        <f t="shared" si="1410"/>
        <v>0</v>
      </c>
      <c r="BP408" s="168">
        <f t="shared" si="1411"/>
        <v>0</v>
      </c>
      <c r="BQ408" s="168">
        <f t="shared" si="1412"/>
        <v>0</v>
      </c>
      <c r="BR408" s="168">
        <f t="shared" si="1413"/>
        <v>0</v>
      </c>
      <c r="BS408" s="168">
        <f t="shared" si="1414"/>
        <v>0</v>
      </c>
      <c r="BT408" s="168">
        <f t="shared" si="1415"/>
        <v>0</v>
      </c>
      <c r="BU408" s="168">
        <f t="shared" si="1416"/>
        <v>0</v>
      </c>
      <c r="BV408" s="168">
        <f t="shared" si="1417"/>
        <v>0</v>
      </c>
      <c r="BW408" s="168">
        <f t="shared" si="1418"/>
        <v>0</v>
      </c>
      <c r="BX408" s="203"/>
      <c r="BY408" s="203"/>
      <c r="BZ408" s="203"/>
      <c r="CA408" s="203"/>
      <c r="CJ408" s="6"/>
      <c r="CK408" s="6"/>
      <c r="CL408" s="6"/>
    </row>
    <row r="409" spans="2:90" ht="13.5" customHeight="1" thickTop="1" thickBot="1">
      <c r="B409" s="73" t="str">
        <f t="shared" si="1402"/>
        <v xml:space="preserve">Free cash flow </v>
      </c>
      <c r="C409" s="169">
        <f>SUM(C403:C408)</f>
        <v>-453.47910057521329</v>
      </c>
      <c r="D409" s="169">
        <f>SUM(D403:D408)</f>
        <v>-172.97459285854941</v>
      </c>
      <c r="E409" s="169">
        <f>SUM(E403:E408)</f>
        <v>213.7259617671543</v>
      </c>
      <c r="F409" s="169">
        <f t="shared" ref="F409:K409" si="1460">SUM(F403:F408)</f>
        <v>67.755147250186113</v>
      </c>
      <c r="G409" s="169">
        <f t="shared" si="1460"/>
        <v>70.519169316531318</v>
      </c>
      <c r="H409" s="169">
        <f t="shared" si="1460"/>
        <v>2.4034474538249206</v>
      </c>
      <c r="I409" s="169">
        <f t="shared" si="1460"/>
        <v>1918.68314846567</v>
      </c>
      <c r="J409" s="169">
        <f t="shared" si="1460"/>
        <v>155.54213812461472</v>
      </c>
      <c r="K409" s="169">
        <f t="shared" si="1460"/>
        <v>377.57885881375603</v>
      </c>
      <c r="L409" s="169">
        <f>SUM(L403:L408)</f>
        <v>148.05385895578613</v>
      </c>
      <c r="M409" s="169">
        <f>SUM(M403:M408)</f>
        <v>-515.002451775895</v>
      </c>
      <c r="N409" s="169">
        <f>SUM(N403:N408)</f>
        <v>731.40956463277212</v>
      </c>
      <c r="O409" s="169">
        <f>SUM(O403:O408)</f>
        <v>463.60538580014645</v>
      </c>
      <c r="P409" s="169">
        <f>SUM(P403:P408)</f>
        <v>989.49824633424316</v>
      </c>
      <c r="Q409" s="146"/>
      <c r="R409" s="169">
        <f t="shared" ref="R409:W409" si="1461">SUM(R403:R408)</f>
        <v>165.74503211160922</v>
      </c>
      <c r="S409" s="169">
        <f t="shared" si="1461"/>
        <v>-190.99513059136916</v>
      </c>
      <c r="T409" s="169">
        <f t="shared" si="1461"/>
        <v>-65.314116675146551</v>
      </c>
      <c r="U409" s="169">
        <f t="shared" si="1461"/>
        <v>300.71140452923999</v>
      </c>
      <c r="V409" s="169">
        <f t="shared" si="1461"/>
        <v>67.991125991584212</v>
      </c>
      <c r="W409" s="169">
        <f t="shared" si="1461"/>
        <v>-109.06913950161882</v>
      </c>
      <c r="X409" s="169">
        <f t="shared" ref="X409:AC409" si="1462">SUM(X403:X408)</f>
        <v>-43.990423517368598</v>
      </c>
      <c r="Y409" s="169">
        <f t="shared" si="1462"/>
        <v>150.82073338618272</v>
      </c>
      <c r="Z409" s="169">
        <f t="shared" si="1462"/>
        <v>132.34298887933338</v>
      </c>
      <c r="AA409" s="169">
        <f t="shared" si="1462"/>
        <v>-236.55331900200017</v>
      </c>
      <c r="AB409" s="169" t="e">
        <f t="shared" si="1462"/>
        <v>#REF!</v>
      </c>
      <c r="AC409" s="169" t="e">
        <f t="shared" si="1462"/>
        <v>#REF!</v>
      </c>
      <c r="AD409" s="169">
        <f t="shared" ref="AD409:AI409" si="1463">SUM(AD403:AD408)</f>
        <v>2261.2066532978247</v>
      </c>
      <c r="AE409" s="169">
        <f t="shared" si="1463"/>
        <v>-254.76341069482294</v>
      </c>
      <c r="AF409" s="169">
        <f t="shared" si="1463"/>
        <v>10.200402378501545</v>
      </c>
      <c r="AG409" s="169">
        <f t="shared" si="1463"/>
        <v>-1680.8838709336294</v>
      </c>
      <c r="AH409" s="169">
        <f t="shared" si="1463"/>
        <v>-212.58048008919445</v>
      </c>
      <c r="AI409" s="169">
        <f t="shared" si="1463"/>
        <v>-101.31071430684459</v>
      </c>
      <c r="AJ409" s="169">
        <f t="shared" ref="AJ409:AO409" si="1464">SUM(AJ403:AJ408)</f>
        <v>218.70204986475926</v>
      </c>
      <c r="AK409" s="169">
        <f t="shared" si="1464"/>
        <v>521.75451881250603</v>
      </c>
      <c r="AL409" s="169">
        <f t="shared" si="1464"/>
        <v>-8.5683240133153191</v>
      </c>
      <c r="AM409" s="169">
        <f t="shared" si="1464"/>
        <v>153.43591098215686</v>
      </c>
      <c r="AN409" s="169">
        <f t="shared" si="1464"/>
        <v>-213.81636772912003</v>
      </c>
      <c r="AO409" s="169">
        <f t="shared" si="1464"/>
        <v>202.48429896133501</v>
      </c>
      <c r="AP409" s="169">
        <f t="shared" ref="AP409:AU409" si="1465">SUM(AP403:AP408)</f>
        <v>-165.80536375108989</v>
      </c>
      <c r="AQ409" s="169">
        <f t="shared" si="1465"/>
        <v>-371.59305507145353</v>
      </c>
      <c r="AR409" s="169">
        <f t="shared" si="1465"/>
        <v>-166.06244541484668</v>
      </c>
      <c r="AS409" s="169">
        <f t="shared" si="1465"/>
        <v>266.37628060408053</v>
      </c>
      <c r="AT409" s="169">
        <f t="shared" si="1465"/>
        <v>334.44864581405392</v>
      </c>
      <c r="AU409" s="169">
        <f t="shared" si="1465"/>
        <v>-228.38828113688714</v>
      </c>
      <c r="AV409" s="169">
        <f t="shared" ref="AV409:BA409" si="1466">SUM(AV403:AV408)</f>
        <v>188.82763315274758</v>
      </c>
      <c r="AW409" s="169">
        <f t="shared" si="1466"/>
        <v>428.46643746306489</v>
      </c>
      <c r="AX409" s="169">
        <f t="shared" si="1466"/>
        <v>-43.939411574152373</v>
      </c>
      <c r="AY409" s="169">
        <f t="shared" si="1466"/>
        <v>-119.00089802519589</v>
      </c>
      <c r="AZ409" s="169">
        <f t="shared" si="1466"/>
        <v>283.86477736582742</v>
      </c>
      <c r="BA409" s="169">
        <f t="shared" si="1466"/>
        <v>338.61820879725201</v>
      </c>
      <c r="BB409" s="169">
        <f>SUM(BB403:BB408)</f>
        <v>14.981355890655033</v>
      </c>
      <c r="BC409" s="169">
        <f>SUM(BC403:BC408)</f>
        <v>225.53133635363594</v>
      </c>
      <c r="BD409" s="169">
        <f>SUM(BD403:BD408)</f>
        <v>-40.87547873559685</v>
      </c>
      <c r="BE409" s="169">
        <f>SUM(BE403:BE408)</f>
        <v>807.14778874777835</v>
      </c>
      <c r="BF409" s="169">
        <f>SUM(BF403:BF408)</f>
        <v>415.6130559346696</v>
      </c>
      <c r="BG409" s="142"/>
      <c r="BH409" s="169"/>
      <c r="BI409" s="169"/>
      <c r="BJ409" s="169"/>
      <c r="BK409" s="169"/>
      <c r="BL409" s="169">
        <f>SUM(BL403:BL408)</f>
        <v>-1173.7610644180186</v>
      </c>
      <c r="BM409" s="146"/>
      <c r="BN409" s="170">
        <f t="shared" si="1409"/>
        <v>-25.250098479759941</v>
      </c>
      <c r="BO409" s="169">
        <f t="shared" si="1410"/>
        <v>-41.078013510034609</v>
      </c>
      <c r="BP409" s="169">
        <f t="shared" si="1411"/>
        <v>-104.21033012266679</v>
      </c>
      <c r="BQ409" s="169">
        <f t="shared" si="1412"/>
        <v>2006.4432426030016</v>
      </c>
      <c r="BR409" s="169">
        <f t="shared" si="1413"/>
        <v>-313.89119439603905</v>
      </c>
      <c r="BS409" s="169">
        <f t="shared" si="1414"/>
        <v>144.86758696884152</v>
      </c>
      <c r="BT409" s="169">
        <f t="shared" si="1415"/>
        <v>-60.380456746963176</v>
      </c>
      <c r="BU409" s="169">
        <f t="shared" si="1416"/>
        <v>-11.332068767785017</v>
      </c>
      <c r="BV409" s="169">
        <f t="shared" si="1417"/>
        <v>36.678935210245129</v>
      </c>
      <c r="BW409" s="169">
        <f t="shared" si="1418"/>
        <v>-537.39841882254336</v>
      </c>
      <c r="BX409" s="146"/>
      <c r="BY409" s="146"/>
      <c r="BZ409" s="146"/>
      <c r="CA409" s="146"/>
      <c r="CJ409" s="6"/>
      <c r="CK409" s="6"/>
      <c r="CL409" s="6"/>
    </row>
    <row r="410" spans="2:90" ht="13.5" customHeight="1" thickTop="1">
      <c r="B410" s="1" t="str">
        <f t="shared" si="1402"/>
        <v>Equity Issuance/Buyback</v>
      </c>
      <c r="C410" s="165">
        <f t="shared" ref="C410:O410" si="1467">C145/C$381</f>
        <v>86.952255534251336</v>
      </c>
      <c r="D410" s="165">
        <f t="shared" si="1467"/>
        <v>-1.977986335196716</v>
      </c>
      <c r="E410" s="165">
        <f t="shared" si="1467"/>
        <v>-22.909219288857177</v>
      </c>
      <c r="F410" s="165">
        <f t="shared" si="1467"/>
        <v>27.228264596730977</v>
      </c>
      <c r="G410" s="165">
        <f t="shared" si="1467"/>
        <v>27.228264596730977</v>
      </c>
      <c r="H410" s="165">
        <f t="shared" si="1467"/>
        <v>571.95023139013824</v>
      </c>
      <c r="I410" s="165">
        <f t="shared" si="1467"/>
        <v>571.95023139013824</v>
      </c>
      <c r="J410" s="165">
        <f t="shared" si="1467"/>
        <v>22.933765260239937</v>
      </c>
      <c r="K410" s="165">
        <f t="shared" si="1467"/>
        <v>6.170380777482503</v>
      </c>
      <c r="L410" s="165">
        <f t="shared" si="1467"/>
        <v>24.249918505899849</v>
      </c>
      <c r="M410" s="165">
        <f t="shared" si="1467"/>
        <v>29.074056417038264</v>
      </c>
      <c r="N410" s="165">
        <f t="shared" si="1467"/>
        <v>12.464380371771391</v>
      </c>
      <c r="O410" s="165">
        <f t="shared" si="1467"/>
        <v>329.79514048058348</v>
      </c>
      <c r="P410" s="165">
        <f>P145/P$381</f>
        <v>0</v>
      </c>
      <c r="Q410" s="203"/>
      <c r="R410" s="165">
        <f t="shared" ref="R410:AF410" si="1468">R145/R$381</f>
        <v>-14.311362832666006</v>
      </c>
      <c r="S410" s="165">
        <f t="shared" si="1468"/>
        <v>-13.347505147639467</v>
      </c>
      <c r="T410" s="165">
        <f t="shared" si="1468"/>
        <v>0</v>
      </c>
      <c r="U410" s="165">
        <f t="shared" si="1468"/>
        <v>5.5106785847889208</v>
      </c>
      <c r="V410" s="159">
        <f t="shared" si="1468"/>
        <v>0</v>
      </c>
      <c r="W410" s="159">
        <f t="shared" si="1468"/>
        <v>2.4241511706692767</v>
      </c>
      <c r="X410" s="159">
        <f t="shared" si="1468"/>
        <v>14.06829674132498</v>
      </c>
      <c r="Y410" s="165">
        <f t="shared" si="1468"/>
        <v>10.92048814956779</v>
      </c>
      <c r="Z410" s="165">
        <f t="shared" si="1468"/>
        <v>12.710170170000001</v>
      </c>
      <c r="AA410" s="165">
        <f t="shared" si="1468"/>
        <v>-26.892372426000005</v>
      </c>
      <c r="AB410" s="159">
        <f t="shared" si="1468"/>
        <v>0.4523184623932397</v>
      </c>
      <c r="AC410" s="159">
        <f t="shared" si="1468"/>
        <v>563.58664330621912</v>
      </c>
      <c r="AD410" s="165">
        <f t="shared" si="1468"/>
        <v>0.49038440263792238</v>
      </c>
      <c r="AE410" s="165">
        <f t="shared" si="1468"/>
        <v>2.538388507446061</v>
      </c>
      <c r="AF410" s="165">
        <f t="shared" si="1468"/>
        <v>0.76325384489826753</v>
      </c>
      <c r="AG410" s="159">
        <f t="shared" ref="AG410:AQ410" si="1469">AG145/AG$381</f>
        <v>18.216392206212095</v>
      </c>
      <c r="AH410" s="165">
        <f t="shared" si="1469"/>
        <v>3.4928182984032317</v>
      </c>
      <c r="AI410" s="165">
        <f t="shared" si="1469"/>
        <v>1.2197864133786325</v>
      </c>
      <c r="AJ410" s="165">
        <f t="shared" si="1469"/>
        <v>0</v>
      </c>
      <c r="AK410" s="159">
        <f t="shared" si="1469"/>
        <v>1.2907047954476765</v>
      </c>
      <c r="AL410" s="165">
        <f t="shared" si="1469"/>
        <v>2.5489378603031287</v>
      </c>
      <c r="AM410" s="165">
        <f t="shared" si="1469"/>
        <v>0.95163082444790115</v>
      </c>
      <c r="AN410" s="165">
        <f t="shared" si="1469"/>
        <v>14.694574115240325</v>
      </c>
      <c r="AO410" s="159">
        <f t="shared" si="1469"/>
        <v>5.7809977483475752</v>
      </c>
      <c r="AP410" s="165">
        <f t="shared" si="1469"/>
        <v>3.184475726557213</v>
      </c>
      <c r="AQ410" s="165">
        <f t="shared" si="1469"/>
        <v>15.235872690833043</v>
      </c>
      <c r="AR410" s="165">
        <f t="shared" ref="AR410:BA410" si="1470">AR145/AR$381</f>
        <v>5.7163085304163612</v>
      </c>
      <c r="AS410" s="159">
        <f t="shared" si="1470"/>
        <v>0</v>
      </c>
      <c r="AT410" s="165">
        <f t="shared" si="1470"/>
        <v>2.1636152754642479</v>
      </c>
      <c r="AU410" s="165">
        <f t="shared" si="1470"/>
        <v>-191.79667034922102</v>
      </c>
      <c r="AV410" s="165">
        <f t="shared" si="1470"/>
        <v>9.0652981602170428E-15</v>
      </c>
      <c r="AW410" s="159">
        <f t="shared" si="1470"/>
        <v>195.79486059425901</v>
      </c>
      <c r="AX410" s="165">
        <f t="shared" si="1470"/>
        <v>3.8080973741628394</v>
      </c>
      <c r="AY410" s="165">
        <f t="shared" si="1470"/>
        <v>0</v>
      </c>
      <c r="AZ410" s="165">
        <f t="shared" si="1470"/>
        <v>328.77430030379139</v>
      </c>
      <c r="BA410" s="159">
        <f t="shared" si="1470"/>
        <v>0.38240549542919344</v>
      </c>
      <c r="BB410" s="165">
        <f t="shared" ref="BB410:BC414" si="1471">BB145/BB$381</f>
        <v>0</v>
      </c>
      <c r="BC410" s="165">
        <f t="shared" si="1471"/>
        <v>0</v>
      </c>
      <c r="BD410" s="165">
        <f t="shared" ref="BD410:BF414" si="1472">BD145/BD$381</f>
        <v>0</v>
      </c>
      <c r="BE410" s="159">
        <f t="shared" si="1472"/>
        <v>0</v>
      </c>
      <c r="BF410" s="165">
        <f t="shared" si="1472"/>
        <v>0</v>
      </c>
      <c r="BG410" s="142"/>
      <c r="BH410" s="165"/>
      <c r="BI410" s="165"/>
      <c r="BJ410" s="165"/>
      <c r="BK410" s="159"/>
      <c r="BL410" s="165">
        <f>BL145/BL$381</f>
        <v>0.49038440263792238</v>
      </c>
      <c r="BM410" s="203"/>
      <c r="BN410" s="159">
        <f t="shared" si="1409"/>
        <v>-27.658867980305473</v>
      </c>
      <c r="BO410" s="165">
        <f t="shared" si="1410"/>
        <v>2.4241511706692767</v>
      </c>
      <c r="BP410" s="165">
        <f t="shared" si="1411"/>
        <v>-14.182202256000004</v>
      </c>
      <c r="BQ410" s="165">
        <f t="shared" si="1412"/>
        <v>3.0287729100839833</v>
      </c>
      <c r="BR410" s="165">
        <f t="shared" si="1413"/>
        <v>4.7126047117818644</v>
      </c>
      <c r="BS410" s="165">
        <f t="shared" si="1414"/>
        <v>3.50056868475103</v>
      </c>
      <c r="BT410" s="165">
        <f t="shared" si="1415"/>
        <v>15.646204939688227</v>
      </c>
      <c r="BU410" s="165">
        <f t="shared" si="1416"/>
        <v>20.475571863587902</v>
      </c>
      <c r="BV410" s="165">
        <f t="shared" si="1417"/>
        <v>8.9654734749047886</v>
      </c>
      <c r="BW410" s="165">
        <f t="shared" si="1418"/>
        <v>18.420348417390255</v>
      </c>
      <c r="BX410" s="203"/>
      <c r="BY410" s="203"/>
      <c r="BZ410" s="203"/>
      <c r="CA410" s="203"/>
      <c r="CJ410" s="6"/>
      <c r="CK410" s="6"/>
      <c r="CL410" s="6"/>
    </row>
    <row r="411" spans="2:90" s="5" customFormat="1" ht="13.5" customHeight="1">
      <c r="B411" s="1" t="str">
        <f t="shared" si="1402"/>
        <v xml:space="preserve">Dividends received  / Dividends Paid </v>
      </c>
      <c r="C411" s="165">
        <f t="shared" ref="C411:O411" si="1473">C146/C$381</f>
        <v>-304.13901167857762</v>
      </c>
      <c r="D411" s="165">
        <f t="shared" si="1473"/>
        <v>-285.0819888197064</v>
      </c>
      <c r="E411" s="165">
        <f t="shared" si="1473"/>
        <v>-319.29019205613037</v>
      </c>
      <c r="F411" s="165">
        <f t="shared" si="1473"/>
        <v>-320.05453524162118</v>
      </c>
      <c r="G411" s="165">
        <f t="shared" si="1473"/>
        <v>-320.05453524162118</v>
      </c>
      <c r="H411" s="165">
        <f t="shared" si="1473"/>
        <v>-222.51958030395065</v>
      </c>
      <c r="I411" s="165">
        <f t="shared" si="1473"/>
        <v>-222.51958030395065</v>
      </c>
      <c r="J411" s="165">
        <f t="shared" si="1473"/>
        <v>-284.56219669225948</v>
      </c>
      <c r="K411" s="165">
        <f t="shared" si="1473"/>
        <v>-114.26840797555734</v>
      </c>
      <c r="L411" s="165">
        <f t="shared" si="1473"/>
        <v>-71.595253288810497</v>
      </c>
      <c r="M411" s="165">
        <f t="shared" si="1473"/>
        <v>-324.91552719864819</v>
      </c>
      <c r="N411" s="165">
        <f t="shared" si="1473"/>
        <v>-0.40583326518545842</v>
      </c>
      <c r="O411" s="165">
        <f t="shared" si="1473"/>
        <v>-33.078743326436395</v>
      </c>
      <c r="P411" s="165">
        <f>P146/P$381</f>
        <v>-323.20021398623641</v>
      </c>
      <c r="Q411" s="203"/>
      <c r="R411" s="165">
        <f t="shared" ref="R411:AF411" si="1474">R146/R$381</f>
        <v>-2.3377308556631649</v>
      </c>
      <c r="S411" s="165">
        <f t="shared" si="1474"/>
        <v>-215.54546085210961</v>
      </c>
      <c r="T411" s="165">
        <f t="shared" si="1474"/>
        <v>6.4996952402287022E-3</v>
      </c>
      <c r="U411" s="165">
        <f t="shared" si="1474"/>
        <v>-100.8491391678982</v>
      </c>
      <c r="V411" s="159">
        <f t="shared" si="1474"/>
        <v>-2.4384538668593438</v>
      </c>
      <c r="W411" s="159">
        <f t="shared" si="1474"/>
        <v>-214.91592260784458</v>
      </c>
      <c r="X411" s="159">
        <f t="shared" si="1474"/>
        <v>3.7025331622292869E-3</v>
      </c>
      <c r="Y411" s="165">
        <f t="shared" si="1474"/>
        <v>-98.448109444539355</v>
      </c>
      <c r="Z411" s="165">
        <f t="shared" si="1474"/>
        <v>-2.875510466666667E-2</v>
      </c>
      <c r="AA411" s="165">
        <f t="shared" si="1474"/>
        <v>-216.67332534000002</v>
      </c>
      <c r="AB411" s="159">
        <f t="shared" si="1474"/>
        <v>1.3181175620429369E-2</v>
      </c>
      <c r="AC411" s="159">
        <f t="shared" si="1474"/>
        <v>-6.9990069996952542</v>
      </c>
      <c r="AD411" s="165">
        <f t="shared" si="1474"/>
        <v>-101.10646696136757</v>
      </c>
      <c r="AE411" s="165">
        <f t="shared" si="1474"/>
        <v>-192.44525491791345</v>
      </c>
      <c r="AF411" s="165">
        <f t="shared" si="1474"/>
        <v>10.089586578839846</v>
      </c>
      <c r="AG411" s="159">
        <f t="shared" ref="AG411:AQ411" si="1475">AG146/AG$381</f>
        <v>-12.962282873301229</v>
      </c>
      <c r="AH411" s="165">
        <f t="shared" si="1475"/>
        <v>-52.804941715962194</v>
      </c>
      <c r="AI411" s="165">
        <f t="shared" si="1475"/>
        <v>-58.953009964796657</v>
      </c>
      <c r="AJ411" s="165">
        <f t="shared" si="1475"/>
        <v>-11.503880476209989</v>
      </c>
      <c r="AK411" s="159">
        <f t="shared" si="1475"/>
        <v>13.858352279447505</v>
      </c>
      <c r="AL411" s="165">
        <f t="shared" si="1475"/>
        <v>6.4621430376931655E-3</v>
      </c>
      <c r="AM411" s="165">
        <f t="shared" si="1475"/>
        <v>-3.0343565381825499</v>
      </c>
      <c r="AN411" s="165">
        <f t="shared" si="1475"/>
        <v>-94.331520556345026</v>
      </c>
      <c r="AO411" s="159">
        <f t="shared" si="1475"/>
        <v>22.495321163111623</v>
      </c>
      <c r="AP411" s="165">
        <f t="shared" si="1475"/>
        <v>-6.5953373529967632</v>
      </c>
      <c r="AQ411" s="165">
        <f t="shared" si="1475"/>
        <v>-186.1913242854653</v>
      </c>
      <c r="AR411" s="165">
        <f t="shared" ref="AR411:BA411" si="1476">AR146/AR$381</f>
        <v>-0.25542068398979961</v>
      </c>
      <c r="AS411" s="159">
        <f t="shared" si="1476"/>
        <v>-74.549772044801969</v>
      </c>
      <c r="AT411" s="165">
        <f t="shared" si="1476"/>
        <v>-0.2768128817323709</v>
      </c>
      <c r="AU411" s="165">
        <f t="shared" si="1476"/>
        <v>1.5326839720070102</v>
      </c>
      <c r="AV411" s="165">
        <f t="shared" si="1476"/>
        <v>-0.46713103027744529</v>
      </c>
      <c r="AW411" s="159">
        <f t="shared" si="1476"/>
        <v>-1.1423278190763508</v>
      </c>
      <c r="AX411" s="165">
        <f t="shared" si="1476"/>
        <v>-3.1266377595447667</v>
      </c>
      <c r="AY411" s="165">
        <f t="shared" si="1476"/>
        <v>-16.915387725570309</v>
      </c>
      <c r="AZ411" s="165">
        <f t="shared" si="1476"/>
        <v>-0.58484675635828998</v>
      </c>
      <c r="BA411" s="159">
        <f t="shared" si="1476"/>
        <v>-12.374808811779475</v>
      </c>
      <c r="BB411" s="165">
        <f t="shared" si="1471"/>
        <v>-57.167477695733027</v>
      </c>
      <c r="BC411" s="165">
        <f t="shared" si="1471"/>
        <v>-141.81719824952134</v>
      </c>
      <c r="BD411" s="165">
        <f t="shared" si="1472"/>
        <v>-3.6265560209205745</v>
      </c>
      <c r="BE411" s="159">
        <f t="shared" si="1472"/>
        <v>-123.35819930182254</v>
      </c>
      <c r="BF411" s="165">
        <f t="shared" si="1472"/>
        <v>25.586242485082963</v>
      </c>
      <c r="BG411" s="142"/>
      <c r="BH411" s="165"/>
      <c r="BI411" s="165"/>
      <c r="BJ411" s="165"/>
      <c r="BK411" s="159"/>
      <c r="BL411" s="165">
        <f>BL146/BL$381</f>
        <v>-101.10646696136757</v>
      </c>
      <c r="BM411" s="203"/>
      <c r="BN411" s="159">
        <f t="shared" si="1409"/>
        <v>-217.88319170777277</v>
      </c>
      <c r="BO411" s="165">
        <f t="shared" si="1410"/>
        <v>-217.35437647470391</v>
      </c>
      <c r="BP411" s="165">
        <f t="shared" si="1411"/>
        <v>-216.70208044466668</v>
      </c>
      <c r="BQ411" s="165">
        <f t="shared" si="1412"/>
        <v>-293.55172187928099</v>
      </c>
      <c r="BR411" s="165">
        <f t="shared" si="1413"/>
        <v>-111.75795168075885</v>
      </c>
      <c r="BS411" s="165">
        <f t="shared" si="1414"/>
        <v>-3.0278943951448567</v>
      </c>
      <c r="BT411" s="165">
        <f t="shared" si="1415"/>
        <v>-97.365877094527576</v>
      </c>
      <c r="BU411" s="165">
        <f t="shared" si="1416"/>
        <v>-71.8361993932334</v>
      </c>
      <c r="BV411" s="165">
        <f t="shared" si="1417"/>
        <v>15.899983810114859</v>
      </c>
      <c r="BW411" s="165">
        <f t="shared" si="1418"/>
        <v>-192.78666163846205</v>
      </c>
      <c r="BX411" s="203"/>
      <c r="BY411" s="203"/>
      <c r="BZ411" s="203"/>
      <c r="CA411" s="203"/>
      <c r="CJ411" s="6"/>
      <c r="CK411" s="6"/>
      <c r="CL411" s="6"/>
    </row>
    <row r="412" spans="2:90" ht="13.5" customHeight="1">
      <c r="B412" s="1" t="str">
        <f t="shared" si="1402"/>
        <v>Acquisition of bonds</v>
      </c>
      <c r="C412" s="165">
        <f t="shared" ref="C412:O412" si="1477">C147/C$381</f>
        <v>0</v>
      </c>
      <c r="D412" s="165">
        <f t="shared" si="1477"/>
        <v>0</v>
      </c>
      <c r="E412" s="165">
        <f t="shared" si="1477"/>
        <v>0</v>
      </c>
      <c r="F412" s="165">
        <f t="shared" si="1477"/>
        <v>0</v>
      </c>
      <c r="G412" s="165">
        <f t="shared" si="1477"/>
        <v>0</v>
      </c>
      <c r="H412" s="165">
        <f t="shared" si="1477"/>
        <v>0</v>
      </c>
      <c r="I412" s="165">
        <f t="shared" si="1477"/>
        <v>0</v>
      </c>
      <c r="J412" s="165">
        <f t="shared" si="1477"/>
        <v>0</v>
      </c>
      <c r="K412" s="165">
        <f t="shared" si="1477"/>
        <v>0</v>
      </c>
      <c r="L412" s="165">
        <f t="shared" si="1477"/>
        <v>0</v>
      </c>
      <c r="M412" s="165">
        <f t="shared" si="1477"/>
        <v>0</v>
      </c>
      <c r="N412" s="165">
        <f t="shared" si="1477"/>
        <v>0</v>
      </c>
      <c r="O412" s="165">
        <f t="shared" si="1477"/>
        <v>0</v>
      </c>
      <c r="P412" s="165">
        <f>P147/P$381</f>
        <v>0</v>
      </c>
      <c r="Q412" s="203"/>
      <c r="R412" s="165">
        <f t="shared" ref="R412:AF412" si="1478">R147/R$381</f>
        <v>0</v>
      </c>
      <c r="S412" s="165">
        <f t="shared" si="1478"/>
        <v>0</v>
      </c>
      <c r="T412" s="165">
        <f t="shared" si="1478"/>
        <v>0</v>
      </c>
      <c r="U412" s="165">
        <f t="shared" si="1478"/>
        <v>0</v>
      </c>
      <c r="V412" s="159">
        <f t="shared" si="1478"/>
        <v>0</v>
      </c>
      <c r="W412" s="159">
        <f t="shared" si="1478"/>
        <v>0</v>
      </c>
      <c r="X412" s="159">
        <f t="shared" si="1478"/>
        <v>0</v>
      </c>
      <c r="Y412" s="165">
        <f t="shared" si="1478"/>
        <v>0</v>
      </c>
      <c r="Z412" s="165">
        <f t="shared" si="1478"/>
        <v>0</v>
      </c>
      <c r="AA412" s="165">
        <f t="shared" si="1478"/>
        <v>0</v>
      </c>
      <c r="AB412" s="159">
        <f t="shared" si="1478"/>
        <v>0</v>
      </c>
      <c r="AC412" s="159">
        <f t="shared" si="1478"/>
        <v>0</v>
      </c>
      <c r="AD412" s="165">
        <f t="shared" si="1478"/>
        <v>0</v>
      </c>
      <c r="AE412" s="165">
        <f t="shared" si="1478"/>
        <v>0</v>
      </c>
      <c r="AF412" s="165">
        <f t="shared" si="1478"/>
        <v>0</v>
      </c>
      <c r="AG412" s="159">
        <f t="shared" ref="AG412:AQ412" si="1479">AG147/AG$381</f>
        <v>0</v>
      </c>
      <c r="AH412" s="165">
        <f t="shared" si="1479"/>
        <v>0</v>
      </c>
      <c r="AI412" s="165">
        <f t="shared" si="1479"/>
        <v>0</v>
      </c>
      <c r="AJ412" s="165">
        <f t="shared" si="1479"/>
        <v>0</v>
      </c>
      <c r="AK412" s="159">
        <f t="shared" si="1479"/>
        <v>0</v>
      </c>
      <c r="AL412" s="165">
        <f t="shared" si="1479"/>
        <v>0</v>
      </c>
      <c r="AM412" s="165">
        <f t="shared" si="1479"/>
        <v>0</v>
      </c>
      <c r="AN412" s="165">
        <f t="shared" si="1479"/>
        <v>0</v>
      </c>
      <c r="AO412" s="159">
        <f t="shared" si="1479"/>
        <v>0</v>
      </c>
      <c r="AP412" s="165">
        <f t="shared" si="1479"/>
        <v>0</v>
      </c>
      <c r="AQ412" s="165">
        <f t="shared" si="1479"/>
        <v>0</v>
      </c>
      <c r="AR412" s="165">
        <f t="shared" ref="AR412:BA412" si="1480">AR147/AR$381</f>
        <v>0</v>
      </c>
      <c r="AS412" s="159">
        <f t="shared" si="1480"/>
        <v>0</v>
      </c>
      <c r="AT412" s="165">
        <f t="shared" si="1480"/>
        <v>0</v>
      </c>
      <c r="AU412" s="165">
        <f t="shared" si="1480"/>
        <v>0</v>
      </c>
      <c r="AV412" s="165">
        <f t="shared" si="1480"/>
        <v>0</v>
      </c>
      <c r="AW412" s="159">
        <f t="shared" si="1480"/>
        <v>0</v>
      </c>
      <c r="AX412" s="165">
        <f t="shared" si="1480"/>
        <v>0</v>
      </c>
      <c r="AY412" s="165">
        <f t="shared" si="1480"/>
        <v>0</v>
      </c>
      <c r="AZ412" s="165">
        <f t="shared" si="1480"/>
        <v>0</v>
      </c>
      <c r="BA412" s="159">
        <f t="shared" si="1480"/>
        <v>0</v>
      </c>
      <c r="BB412" s="165">
        <f t="shared" si="1471"/>
        <v>0</v>
      </c>
      <c r="BC412" s="165">
        <f t="shared" si="1471"/>
        <v>0</v>
      </c>
      <c r="BD412" s="165">
        <f t="shared" si="1472"/>
        <v>0</v>
      </c>
      <c r="BE412" s="159">
        <f t="shared" si="1472"/>
        <v>0</v>
      </c>
      <c r="BF412" s="165">
        <f t="shared" si="1472"/>
        <v>0</v>
      </c>
      <c r="BG412" s="142"/>
      <c r="BH412" s="165"/>
      <c r="BI412" s="165"/>
      <c r="BJ412" s="165"/>
      <c r="BK412" s="159"/>
      <c r="BL412" s="165">
        <f>BL147/BL$381</f>
        <v>0</v>
      </c>
      <c r="BM412" s="203"/>
      <c r="BN412" s="159">
        <f t="shared" si="1409"/>
        <v>0</v>
      </c>
      <c r="BO412" s="165">
        <f t="shared" si="1410"/>
        <v>0</v>
      </c>
      <c r="BP412" s="165">
        <f t="shared" si="1411"/>
        <v>0</v>
      </c>
      <c r="BQ412" s="165">
        <f t="shared" si="1412"/>
        <v>0</v>
      </c>
      <c r="BR412" s="165">
        <f t="shared" si="1413"/>
        <v>0</v>
      </c>
      <c r="BS412" s="165">
        <f t="shared" si="1414"/>
        <v>0</v>
      </c>
      <c r="BT412" s="165">
        <f t="shared" si="1415"/>
        <v>0</v>
      </c>
      <c r="BU412" s="165">
        <f t="shared" si="1416"/>
        <v>0</v>
      </c>
      <c r="BV412" s="165">
        <f t="shared" si="1417"/>
        <v>0</v>
      </c>
      <c r="BW412" s="165">
        <f t="shared" si="1418"/>
        <v>0</v>
      </c>
      <c r="BX412" s="203"/>
      <c r="BY412" s="203"/>
      <c r="BZ412" s="203"/>
      <c r="CA412" s="203"/>
      <c r="CJ412" s="6"/>
      <c r="CK412" s="6"/>
      <c r="CL412" s="6"/>
    </row>
    <row r="413" spans="2:90" ht="13.5" customHeight="1">
      <c r="B413" s="1" t="str">
        <f t="shared" si="1402"/>
        <v>Change in debt /Finance Costs</v>
      </c>
      <c r="C413" s="165">
        <f t="shared" ref="C413:O413" si="1481">C148/C$381</f>
        <v>547.06539131950467</v>
      </c>
      <c r="D413" s="159">
        <f t="shared" si="1481"/>
        <v>354.09490372524988</v>
      </c>
      <c r="E413" s="159">
        <f t="shared" si="1481"/>
        <v>590.86248662147716</v>
      </c>
      <c r="F413" s="159">
        <f t="shared" si="1481"/>
        <v>128.04826670281355</v>
      </c>
      <c r="G413" s="159">
        <f t="shared" si="1481"/>
        <v>128.04826670281355</v>
      </c>
      <c r="H413" s="159">
        <f t="shared" si="1481"/>
        <v>-320.38217685277596</v>
      </c>
      <c r="I413" s="159">
        <f t="shared" si="1481"/>
        <v>-510.89368846044897</v>
      </c>
      <c r="J413" s="159">
        <f t="shared" si="1481"/>
        <v>-349.42303392296498</v>
      </c>
      <c r="K413" s="159">
        <f t="shared" si="1481"/>
        <v>824.91406687835115</v>
      </c>
      <c r="L413" s="159">
        <f t="shared" si="1481"/>
        <v>-533.74347886348357</v>
      </c>
      <c r="M413" s="159">
        <f t="shared" si="1481"/>
        <v>885.21250552235961</v>
      </c>
      <c r="N413" s="159">
        <f t="shared" si="1481"/>
        <v>-223.21430613280242</v>
      </c>
      <c r="O413" s="159">
        <f t="shared" si="1481"/>
        <v>-281.60406360593754</v>
      </c>
      <c r="P413" s="159">
        <f>P148/P$381</f>
        <v>-925.47831610944388</v>
      </c>
      <c r="Q413" s="203"/>
      <c r="R413" s="159">
        <f t="shared" ref="R413:AF413" si="1482">R148/R$381</f>
        <v>-112.83889012468192</v>
      </c>
      <c r="S413" s="159">
        <f t="shared" si="1482"/>
        <v>259.18814603797802</v>
      </c>
      <c r="T413" s="159">
        <f t="shared" si="1482"/>
        <v>117.60281839842423</v>
      </c>
      <c r="U413" s="159">
        <f t="shared" si="1482"/>
        <v>335.32890852428875</v>
      </c>
      <c r="V413" s="159">
        <f t="shared" si="1482"/>
        <v>-98.112465335904801</v>
      </c>
      <c r="W413" s="159">
        <f t="shared" si="1482"/>
        <v>184.69259956335179</v>
      </c>
      <c r="X413" s="159">
        <f t="shared" si="1482"/>
        <v>100.09032503349277</v>
      </c>
      <c r="Y413" s="159">
        <f t="shared" si="1482"/>
        <v>-57.511942577473718</v>
      </c>
      <c r="Z413" s="159">
        <f t="shared" si="1482"/>
        <v>-80.803852556666627</v>
      </c>
      <c r="AA413" s="159">
        <f t="shared" si="1482"/>
        <v>330.65705729399986</v>
      </c>
      <c r="AB413" s="159">
        <f t="shared" si="1482"/>
        <v>239.7987419167392</v>
      </c>
      <c r="AC413" s="159">
        <f t="shared" si="1482"/>
        <v>-776.03312181720173</v>
      </c>
      <c r="AD413" s="159">
        <f t="shared" si="1482"/>
        <v>-86.951540808275581</v>
      </c>
      <c r="AE413" s="159">
        <f t="shared" si="1482"/>
        <v>-24.161615827806603</v>
      </c>
      <c r="AF413" s="159">
        <f t="shared" si="1482"/>
        <v>81.760425966569855</v>
      </c>
      <c r="AG413" s="159">
        <f t="shared" ref="AG413:AQ413" si="1483">AG148/AG$381</f>
        <v>-309.50526103563641</v>
      </c>
      <c r="AH413" s="159">
        <f t="shared" si="1483"/>
        <v>1117.58454740299</v>
      </c>
      <c r="AI413" s="159">
        <f t="shared" si="1483"/>
        <v>564.2148566038677</v>
      </c>
      <c r="AJ413" s="159">
        <f t="shared" si="1483"/>
        <v>-354.82072199909788</v>
      </c>
      <c r="AK413" s="159">
        <f t="shared" si="1483"/>
        <v>-624.75257908086189</v>
      </c>
      <c r="AL413" s="159">
        <f t="shared" si="1483"/>
        <v>-70.460269968760613</v>
      </c>
      <c r="AM413" s="159">
        <f t="shared" si="1483"/>
        <v>-390.63011445191245</v>
      </c>
      <c r="AN413" s="159">
        <f t="shared" si="1483"/>
        <v>-137.18808932706207</v>
      </c>
      <c r="AO413" s="159">
        <f t="shared" si="1483"/>
        <v>37.497040166573782</v>
      </c>
      <c r="AP413" s="159">
        <f t="shared" si="1483"/>
        <v>142.07690563138996</v>
      </c>
      <c r="AQ413" s="159">
        <f t="shared" si="1483"/>
        <v>453.68007363192743</v>
      </c>
      <c r="AR413" s="159">
        <f t="shared" ref="AR413:BA413" si="1484">AR148/AR$381</f>
        <v>1318.3963292835836</v>
      </c>
      <c r="AS413" s="159">
        <f t="shared" si="1484"/>
        <v>-1190.5683120355959</v>
      </c>
      <c r="AT413" s="159">
        <f t="shared" si="1484"/>
        <v>-102.61590721204273</v>
      </c>
      <c r="AU413" s="159">
        <f t="shared" si="1484"/>
        <v>-68.217392325878009</v>
      </c>
      <c r="AV413" s="159">
        <f t="shared" si="1484"/>
        <v>-72.86725298435708</v>
      </c>
      <c r="AW413" s="159">
        <f t="shared" si="1484"/>
        <v>18.685258859817989</v>
      </c>
      <c r="AX413" s="159">
        <f t="shared" si="1484"/>
        <v>-6.1848383378255951</v>
      </c>
      <c r="AY413" s="159">
        <f t="shared" si="1484"/>
        <v>19.393780856315914</v>
      </c>
      <c r="AZ413" s="159">
        <f t="shared" si="1484"/>
        <v>9.397733124672877</v>
      </c>
      <c r="BA413" s="159">
        <f t="shared" si="1484"/>
        <v>-298.77972626620038</v>
      </c>
      <c r="BB413" s="159">
        <f t="shared" si="1471"/>
        <v>-425.72231980601697</v>
      </c>
      <c r="BC413" s="159">
        <f t="shared" si="1471"/>
        <v>-20.560707368179902</v>
      </c>
      <c r="BD413" s="159">
        <f t="shared" si="1472"/>
        <v>-173.17304390406528</v>
      </c>
      <c r="BE413" s="159">
        <f t="shared" si="1472"/>
        <v>-301.04042575974989</v>
      </c>
      <c r="BF413" s="159">
        <f t="shared" si="1472"/>
        <v>141.30178891683678</v>
      </c>
      <c r="BG413" s="142"/>
      <c r="BH413" s="159"/>
      <c r="BI413" s="159"/>
      <c r="BJ413" s="159"/>
      <c r="BK413" s="159"/>
      <c r="BL413" s="159">
        <f>BL148/BL$381</f>
        <v>-37.815531484615029</v>
      </c>
      <c r="BM413" s="203"/>
      <c r="BN413" s="159">
        <f t="shared" si="1409"/>
        <v>146.34925591329608</v>
      </c>
      <c r="BO413" s="159">
        <f t="shared" si="1410"/>
        <v>86.58013422744699</v>
      </c>
      <c r="BP413" s="159">
        <f t="shared" si="1411"/>
        <v>249.85320473733321</v>
      </c>
      <c r="BQ413" s="159">
        <f t="shared" si="1412"/>
        <v>-111.11315663608218</v>
      </c>
      <c r="BR413" s="159">
        <f t="shared" si="1413"/>
        <v>1681.7994040068577</v>
      </c>
      <c r="BS413" s="159">
        <f t="shared" si="1414"/>
        <v>-461.09038442067305</v>
      </c>
      <c r="BT413" s="159">
        <f t="shared" si="1415"/>
        <v>-527.81820377897452</v>
      </c>
      <c r="BU413" s="159">
        <f t="shared" si="1416"/>
        <v>-99.691049160488291</v>
      </c>
      <c r="BV413" s="159">
        <f t="shared" si="1417"/>
        <v>179.57394579796375</v>
      </c>
      <c r="BW413" s="159">
        <f t="shared" si="1418"/>
        <v>595.75697926331736</v>
      </c>
      <c r="BX413" s="203"/>
      <c r="BY413" s="203"/>
      <c r="BZ413" s="203"/>
      <c r="CA413" s="203"/>
      <c r="CJ413" s="6"/>
      <c r="CK413" s="6"/>
      <c r="CL413" s="6"/>
    </row>
    <row r="414" spans="2:90" ht="13.5" customHeight="1" thickBot="1">
      <c r="B414" s="61" t="str">
        <f t="shared" si="1402"/>
        <v>Other items</v>
      </c>
      <c r="C414" s="159">
        <f t="shared" ref="C414:O414" si="1485">C149/C$381</f>
        <v>37.736278542792405</v>
      </c>
      <c r="D414" s="168">
        <f t="shared" si="1485"/>
        <v>40.351580845036281</v>
      </c>
      <c r="E414" s="168">
        <f t="shared" si="1485"/>
        <v>-155.86731032227374</v>
      </c>
      <c r="F414" s="168">
        <f t="shared" si="1485"/>
        <v>-64.261533481691657</v>
      </c>
      <c r="G414" s="168">
        <f t="shared" si="1485"/>
        <v>-64.261533481691657</v>
      </c>
      <c r="H414" s="168">
        <f t="shared" si="1485"/>
        <v>-170.84481752850644</v>
      </c>
      <c r="I414" s="168">
        <f t="shared" si="1485"/>
        <v>-170.84481752850644</v>
      </c>
      <c r="J414" s="168">
        <f t="shared" si="1485"/>
        <v>-19.117451973837905</v>
      </c>
      <c r="K414" s="168">
        <f t="shared" si="1485"/>
        <v>-26.353820512367403</v>
      </c>
      <c r="L414" s="168">
        <f t="shared" si="1485"/>
        <v>-35.489622655646258</v>
      </c>
      <c r="M414" s="168">
        <f t="shared" si="1485"/>
        <v>-33.122721003427841</v>
      </c>
      <c r="N414" s="168">
        <f t="shared" si="1485"/>
        <v>-202.21760424876072</v>
      </c>
      <c r="O414" s="168">
        <f t="shared" si="1485"/>
        <v>32.98996657495573</v>
      </c>
      <c r="P414" s="168">
        <f>P149/P$381</f>
        <v>201.92318833564548</v>
      </c>
      <c r="Q414" s="203"/>
      <c r="R414" s="168">
        <f t="shared" ref="R414:AF414" si="1486">R149/R$381</f>
        <v>9.4509798888926912</v>
      </c>
      <c r="S414" s="168">
        <f t="shared" si="1486"/>
        <v>15.322885039741994</v>
      </c>
      <c r="T414" s="168">
        <f t="shared" si="1486"/>
        <v>-22.657677679997182</v>
      </c>
      <c r="U414" s="168">
        <f t="shared" si="1486"/>
        <v>-160.55981905473979</v>
      </c>
      <c r="V414" s="168">
        <f t="shared" si="1486"/>
        <v>3.1402144212813372</v>
      </c>
      <c r="W414" s="168">
        <f t="shared" si="1486"/>
        <v>-15.147133930587971</v>
      </c>
      <c r="X414" s="168">
        <f t="shared" si="1486"/>
        <v>-31.246881228182723</v>
      </c>
      <c r="Y414" s="168">
        <f t="shared" si="1486"/>
        <v>-21.333392092634043</v>
      </c>
      <c r="Z414" s="168">
        <f t="shared" si="1486"/>
        <v>-1.4673442619999999</v>
      </c>
      <c r="AA414" s="168">
        <f t="shared" si="1486"/>
        <v>-20.872010922000001</v>
      </c>
      <c r="AB414" s="168">
        <f t="shared" si="1486"/>
        <v>-117.92893588405883</v>
      </c>
      <c r="AC414" s="168">
        <f t="shared" si="1486"/>
        <v>-30.961082777374067</v>
      </c>
      <c r="AD414" s="168">
        <f t="shared" si="1486"/>
        <v>-10.23840573840914</v>
      </c>
      <c r="AE414" s="168">
        <f t="shared" si="1486"/>
        <v>-15.667389242626774</v>
      </c>
      <c r="AF414" s="168">
        <f t="shared" si="1486"/>
        <v>18.340617700898552</v>
      </c>
      <c r="AG414" s="168">
        <f t="shared" ref="AG414:AQ414" si="1487">AG149/AG$381</f>
        <v>-12.441576002679472</v>
      </c>
      <c r="AH414" s="168">
        <f t="shared" si="1487"/>
        <v>-9.8495604832963952</v>
      </c>
      <c r="AI414" s="168">
        <f t="shared" si="1487"/>
        <v>-23.443706647217986</v>
      </c>
      <c r="AJ414" s="168">
        <f t="shared" si="1487"/>
        <v>14.521214550633172</v>
      </c>
      <c r="AK414" s="168">
        <f t="shared" si="1487"/>
        <v>-6.4047770491372473</v>
      </c>
      <c r="AL414" s="168">
        <f t="shared" si="1487"/>
        <v>-22.993394146411095</v>
      </c>
      <c r="AM414" s="168">
        <f t="shared" si="1487"/>
        <v>3.9057480324865139</v>
      </c>
      <c r="AN414" s="168">
        <f t="shared" si="1487"/>
        <v>-23.716384555476797</v>
      </c>
      <c r="AO414" s="168">
        <f t="shared" si="1487"/>
        <v>5.8371159479941026</v>
      </c>
      <c r="AP414" s="168">
        <f t="shared" si="1487"/>
        <v>-33.309474659659685</v>
      </c>
      <c r="AQ414" s="168">
        <f t="shared" si="1487"/>
        <v>-6.7440179505054054</v>
      </c>
      <c r="AR414" s="168">
        <f t="shared" ref="AR414:BA414" si="1488">AR149/AR$381</f>
        <v>-12.273726706731802</v>
      </c>
      <c r="AS414" s="168">
        <f t="shared" si="1488"/>
        <v>21.841013304692797</v>
      </c>
      <c r="AT414" s="168">
        <f t="shared" si="1488"/>
        <v>-32.906316244061941</v>
      </c>
      <c r="AU414" s="168">
        <f t="shared" si="1488"/>
        <v>-3.6232841586646662</v>
      </c>
      <c r="AV414" s="168">
        <f t="shared" si="1488"/>
        <v>29.292655784610332</v>
      </c>
      <c r="AW414" s="168">
        <f t="shared" si="1488"/>
        <v>-194.03578623242959</v>
      </c>
      <c r="AX414" s="168">
        <f t="shared" si="1488"/>
        <v>7.5858061361352815</v>
      </c>
      <c r="AY414" s="168">
        <f t="shared" si="1488"/>
        <v>-21.687259533537624</v>
      </c>
      <c r="AZ414" s="168">
        <f t="shared" si="1488"/>
        <v>37.813032086724952</v>
      </c>
      <c r="BA414" s="168">
        <f t="shared" si="1488"/>
        <v>9.3110935862448159</v>
      </c>
      <c r="BB414" s="168">
        <f t="shared" si="1471"/>
        <v>-11.437836604860403</v>
      </c>
      <c r="BC414" s="168">
        <f t="shared" si="1471"/>
        <v>17.684453595471819</v>
      </c>
      <c r="BD414" s="168">
        <f t="shared" si="1472"/>
        <v>195.43996478506389</v>
      </c>
      <c r="BE414" s="168">
        <f t="shared" si="1472"/>
        <v>-1.1859968303600426</v>
      </c>
      <c r="BF414" s="168">
        <f t="shared" si="1472"/>
        <v>-202.67741407897853</v>
      </c>
      <c r="BG414" s="142"/>
      <c r="BH414" s="168"/>
      <c r="BI414" s="168"/>
      <c r="BJ414" s="168"/>
      <c r="BK414" s="168"/>
      <c r="BL414" s="168">
        <f>BL149/BL$381</f>
        <v>-10.23840573840914</v>
      </c>
      <c r="BM414" s="203"/>
      <c r="BN414" s="168"/>
      <c r="BO414" s="168"/>
      <c r="BP414" s="168"/>
      <c r="BQ414" s="168"/>
      <c r="BR414" s="168"/>
      <c r="BS414" s="168"/>
      <c r="BT414" s="168"/>
      <c r="BU414" s="168"/>
      <c r="BV414" s="168"/>
      <c r="BW414" s="168"/>
      <c r="BX414" s="203"/>
      <c r="BY414" s="203"/>
      <c r="BZ414" s="203"/>
      <c r="CA414" s="203"/>
      <c r="CJ414" s="6"/>
      <c r="CK414" s="6"/>
      <c r="CL414" s="6"/>
    </row>
    <row r="415" spans="2:90" ht="13.5" customHeight="1" thickTop="1" thickBot="1">
      <c r="B415" s="101" t="str">
        <f t="shared" si="1402"/>
        <v>Cash flow after financing activities</v>
      </c>
      <c r="C415" s="170">
        <f>SUM(C409:C414)</f>
        <v>-85.864186857242458</v>
      </c>
      <c r="D415" s="169">
        <f>SUM(D409:D414)</f>
        <v>-65.588083443166326</v>
      </c>
      <c r="E415" s="169">
        <f>SUM(E409:E414)</f>
        <v>306.52172672137021</v>
      </c>
      <c r="F415" s="169">
        <f t="shared" ref="F415:K415" si="1489">SUM(F409:F414)</f>
        <v>-161.28439017358221</v>
      </c>
      <c r="G415" s="169">
        <f t="shared" si="1489"/>
        <v>-158.520368107237</v>
      </c>
      <c r="H415" s="169">
        <f t="shared" si="1489"/>
        <v>-139.39289584126988</v>
      </c>
      <c r="I415" s="169">
        <f t="shared" si="1489"/>
        <v>1586.375293562902</v>
      </c>
      <c r="J415" s="169">
        <f t="shared" si="1489"/>
        <v>-474.62677920420765</v>
      </c>
      <c r="K415" s="169">
        <f t="shared" si="1489"/>
        <v>1068.041077981665</v>
      </c>
      <c r="L415" s="169">
        <f>SUM(L409:L414)</f>
        <v>-468.52457734625438</v>
      </c>
      <c r="M415" s="169">
        <f>SUM(M409:M414)</f>
        <v>41.24586196142684</v>
      </c>
      <c r="N415" s="169">
        <f>SUM(N409:N414)</f>
        <v>318.03620135779488</v>
      </c>
      <c r="O415" s="169">
        <f>SUM(O409:O414)</f>
        <v>511.70768592331171</v>
      </c>
      <c r="P415" s="169">
        <f>SUM(P409:P414)</f>
        <v>-57.257095425791704</v>
      </c>
      <c r="Q415" s="146"/>
      <c r="R415" s="169">
        <f t="shared" ref="R415:X415" si="1490">SUM(R409:R414)</f>
        <v>45.708028187490839</v>
      </c>
      <c r="S415" s="169">
        <f t="shared" si="1490"/>
        <v>-145.37706551339824</v>
      </c>
      <c r="T415" s="169">
        <f t="shared" si="1490"/>
        <v>29.637523738520724</v>
      </c>
      <c r="U415" s="169">
        <f t="shared" si="1490"/>
        <v>380.14203341567963</v>
      </c>
      <c r="V415" s="169">
        <f t="shared" si="1490"/>
        <v>-29.419578789898601</v>
      </c>
      <c r="W415" s="169">
        <f t="shared" si="1490"/>
        <v>-152.0154453060303</v>
      </c>
      <c r="X415" s="169">
        <f t="shared" si="1490"/>
        <v>38.925019562428666</v>
      </c>
      <c r="Y415" s="169">
        <f t="shared" ref="Y415:AD415" si="1491">SUM(Y409:Y414)</f>
        <v>-15.55222257889659</v>
      </c>
      <c r="Z415" s="169">
        <f t="shared" si="1491"/>
        <v>62.753207126000092</v>
      </c>
      <c r="AA415" s="169">
        <f t="shared" si="1491"/>
        <v>-170.33397039600032</v>
      </c>
      <c r="AB415" s="169" t="e">
        <f t="shared" si="1491"/>
        <v>#REF!</v>
      </c>
      <c r="AC415" s="169" t="e">
        <f t="shared" si="1491"/>
        <v>#REF!</v>
      </c>
      <c r="AD415" s="169">
        <f t="shared" si="1491"/>
        <v>2063.4006241924103</v>
      </c>
      <c r="AE415" s="169">
        <f t="shared" ref="AE415:AJ415" si="1492">SUM(AE409:AE414)</f>
        <v>-484.49928217572369</v>
      </c>
      <c r="AF415" s="169">
        <f t="shared" si="1492"/>
        <v>121.15428646970807</v>
      </c>
      <c r="AG415" s="169">
        <f t="shared" si="1492"/>
        <v>-1997.5765986390347</v>
      </c>
      <c r="AH415" s="169">
        <f t="shared" si="1492"/>
        <v>845.84238341294019</v>
      </c>
      <c r="AI415" s="169">
        <f t="shared" si="1492"/>
        <v>381.7272120983871</v>
      </c>
      <c r="AJ415" s="169">
        <f t="shared" si="1492"/>
        <v>-133.10133805991543</v>
      </c>
      <c r="AK415" s="169">
        <f t="shared" ref="AK415:AP415" si="1493">SUM(AK409:AK414)</f>
        <v>-94.253780242597841</v>
      </c>
      <c r="AL415" s="169">
        <f t="shared" si="1493"/>
        <v>-99.466588125146203</v>
      </c>
      <c r="AM415" s="169">
        <f t="shared" si="1493"/>
        <v>-235.37118115100373</v>
      </c>
      <c r="AN415" s="169">
        <f t="shared" si="1493"/>
        <v>-454.35778805276362</v>
      </c>
      <c r="AO415" s="169">
        <f t="shared" si="1493"/>
        <v>274.09477398736209</v>
      </c>
      <c r="AP415" s="169">
        <f t="shared" si="1493"/>
        <v>-60.448794405799134</v>
      </c>
      <c r="AQ415" s="169">
        <f t="shared" ref="AQ415:AV415" si="1494">SUM(AQ409:AQ414)</f>
        <v>-95.612450984663795</v>
      </c>
      <c r="AR415" s="169">
        <f t="shared" si="1494"/>
        <v>1145.5210450084317</v>
      </c>
      <c r="AS415" s="169">
        <f t="shared" si="1494"/>
        <v>-976.90079017162452</v>
      </c>
      <c r="AT415" s="169">
        <f t="shared" si="1494"/>
        <v>200.8132247516811</v>
      </c>
      <c r="AU415" s="169">
        <f t="shared" si="1494"/>
        <v>-490.4929439986438</v>
      </c>
      <c r="AV415" s="169">
        <f t="shared" si="1494"/>
        <v>144.78590492272338</v>
      </c>
      <c r="AW415" s="169">
        <f t="shared" ref="AW415:BB415" si="1495">SUM(AW409:AW414)</f>
        <v>447.76844286563585</v>
      </c>
      <c r="AX415" s="169">
        <f t="shared" si="1495"/>
        <v>-41.856984161224609</v>
      </c>
      <c r="AY415" s="169">
        <f t="shared" si="1495"/>
        <v>-138.20976442798792</v>
      </c>
      <c r="AZ415" s="169">
        <f t="shared" si="1495"/>
        <v>659.26499612465841</v>
      </c>
      <c r="BA415" s="169">
        <f t="shared" si="1495"/>
        <v>37.157172800946135</v>
      </c>
      <c r="BB415" s="169">
        <f t="shared" si="1495"/>
        <v>-479.34627821595541</v>
      </c>
      <c r="BC415" s="169">
        <f>SUM(BC409:BC414)</f>
        <v>80.837884331406514</v>
      </c>
      <c r="BD415" s="169">
        <f>SUM(BD409:BD414)</f>
        <v>-22.235113875518806</v>
      </c>
      <c r="BE415" s="169">
        <f>SUM(BE409:BE414)</f>
        <v>381.56316685584585</v>
      </c>
      <c r="BF415" s="169">
        <f>SUM(BF409:BF414)</f>
        <v>379.82367325761078</v>
      </c>
      <c r="BG415" s="142"/>
      <c r="BH415" s="169"/>
      <c r="BI415" s="169"/>
      <c r="BJ415" s="169"/>
      <c r="BK415" s="169"/>
      <c r="BL415" s="169">
        <f>SUM(BL409:BL414)</f>
        <v>-1322.4310841997722</v>
      </c>
      <c r="BM415" s="146"/>
      <c r="BN415" s="169">
        <f>R415+S415</f>
        <v>-99.669037325907397</v>
      </c>
      <c r="BO415" s="169">
        <f>V415+W415</f>
        <v>-181.4350240959289</v>
      </c>
      <c r="BP415" s="169">
        <f>Z415+AA415</f>
        <v>-107.58076327000023</v>
      </c>
      <c r="BQ415" s="169">
        <f>AD415+AE415</f>
        <v>1578.9013420166866</v>
      </c>
      <c r="BR415" s="169">
        <f>AH415+AI415</f>
        <v>1227.5695955113274</v>
      </c>
      <c r="BS415" s="169">
        <f>AL415+AM415</f>
        <v>-334.83776927614991</v>
      </c>
      <c r="BT415" s="169">
        <f>AM415+AN415</f>
        <v>-689.72896920376729</v>
      </c>
      <c r="BU415" s="169">
        <f>AN415+AO415</f>
        <v>-180.26301406540153</v>
      </c>
      <c r="BV415" s="169">
        <f>AO415+AP415</f>
        <v>213.64597958156295</v>
      </c>
      <c r="BW415" s="169">
        <f>AP415+AQ415</f>
        <v>-156.06124539046294</v>
      </c>
      <c r="BX415" s="146"/>
      <c r="BY415" s="146"/>
      <c r="BZ415" s="146"/>
      <c r="CA415" s="146"/>
      <c r="CJ415" s="6"/>
      <c r="CK415" s="6"/>
      <c r="CL415" s="6"/>
    </row>
    <row r="416" spans="2:90" ht="13.5" customHeight="1" thickTop="1">
      <c r="B416" s="234"/>
      <c r="C416" s="233"/>
      <c r="D416" s="233"/>
      <c r="E416" s="233"/>
      <c r="F416" s="233"/>
      <c r="G416" s="233"/>
      <c r="H416" s="233"/>
      <c r="I416" s="233"/>
      <c r="J416" s="233"/>
      <c r="K416" s="233"/>
      <c r="L416" s="233"/>
      <c r="M416" s="233"/>
      <c r="N416" s="233"/>
      <c r="O416" s="233"/>
      <c r="P416" s="233"/>
      <c r="Q416" s="146"/>
      <c r="R416" s="233"/>
      <c r="S416" s="233"/>
      <c r="T416" s="233"/>
      <c r="U416" s="233"/>
      <c r="V416" s="233"/>
      <c r="W416" s="233"/>
      <c r="X416" s="233"/>
      <c r="Y416" s="233"/>
      <c r="Z416" s="233"/>
      <c r="AA416" s="233"/>
      <c r="AB416" s="233"/>
      <c r="AC416" s="233"/>
      <c r="AD416" s="233"/>
      <c r="AE416" s="233"/>
      <c r="AF416" s="233"/>
      <c r="AG416" s="233"/>
      <c r="AH416" s="233"/>
      <c r="AI416" s="233"/>
      <c r="AJ416" s="233"/>
      <c r="AK416" s="233"/>
      <c r="AL416" s="233"/>
      <c r="AM416" s="233"/>
      <c r="AN416" s="233"/>
      <c r="AO416" s="233"/>
      <c r="AP416" s="233"/>
      <c r="AQ416" s="233"/>
      <c r="AR416" s="233"/>
      <c r="AS416" s="233"/>
      <c r="AT416" s="233"/>
      <c r="AU416" s="233"/>
      <c r="AV416" s="233"/>
      <c r="AW416" s="233"/>
      <c r="AX416" s="233"/>
      <c r="AY416" s="233"/>
      <c r="AZ416" s="233"/>
      <c r="BA416" s="233"/>
      <c r="BB416" s="233"/>
      <c r="BC416" s="233"/>
      <c r="BD416" s="233"/>
      <c r="BE416" s="233"/>
      <c r="BF416" s="233"/>
      <c r="BG416" s="142"/>
      <c r="BH416" s="233"/>
      <c r="BI416" s="233"/>
      <c r="BJ416" s="233"/>
      <c r="BK416" s="233"/>
      <c r="BL416" s="233"/>
      <c r="BM416" s="146"/>
      <c r="BN416" s="233"/>
      <c r="BO416" s="233"/>
      <c r="BP416" s="233"/>
      <c r="BQ416" s="233"/>
      <c r="BR416" s="233"/>
      <c r="BS416" s="233"/>
      <c r="BT416" s="233"/>
      <c r="BU416" s="233"/>
      <c r="BV416" s="233"/>
      <c r="BW416" s="233"/>
      <c r="BX416" s="146"/>
      <c r="BY416" s="146"/>
      <c r="BZ416" s="146"/>
      <c r="CA416" s="146"/>
      <c r="CJ416" s="6"/>
      <c r="CK416" s="6"/>
      <c r="CL416" s="6"/>
    </row>
    <row r="417" spans="2:90" s="5" customFormat="1" ht="13.5" customHeight="1">
      <c r="B417" s="5" t="str">
        <f>B151</f>
        <v>Balancing figure</v>
      </c>
      <c r="C417" s="165">
        <f t="shared" ref="C417:O417" si="1496">C151/C$381</f>
        <v>25.664310615304299</v>
      </c>
      <c r="D417" s="159">
        <f t="shared" si="1496"/>
        <v>19.346767864987722</v>
      </c>
      <c r="E417" s="159">
        <f t="shared" si="1496"/>
        <v>-273.79739713402307</v>
      </c>
      <c r="F417" s="159">
        <f t="shared" si="1496"/>
        <v>42.998297260783183</v>
      </c>
      <c r="G417" s="159">
        <f t="shared" si="1496"/>
        <v>40.234275194437693</v>
      </c>
      <c r="H417" s="159">
        <f t="shared" si="1496"/>
        <v>-107.60110071974373</v>
      </c>
      <c r="I417" s="159">
        <f t="shared" si="1496"/>
        <v>-2277.1206632238409</v>
      </c>
      <c r="J417" s="159">
        <f t="shared" si="1496"/>
        <v>-100.72977753280726</v>
      </c>
      <c r="K417" s="159">
        <f t="shared" si="1496"/>
        <v>-185.19687083905833</v>
      </c>
      <c r="L417" s="159">
        <f t="shared" si="1496"/>
        <v>-443.83176462984704</v>
      </c>
      <c r="M417" s="159">
        <f t="shared" si="1496"/>
        <v>8.1835194417958768</v>
      </c>
      <c r="N417" s="159">
        <f t="shared" si="1496"/>
        <v>-241.37774017784082</v>
      </c>
      <c r="O417" s="159">
        <f t="shared" si="1496"/>
        <v>12.791040285048563</v>
      </c>
      <c r="P417" s="159">
        <f>P151/P$381</f>
        <v>-297.4414211859513</v>
      </c>
      <c r="Q417" s="203"/>
      <c r="R417" s="159">
        <f t="shared" ref="R417:AF417" si="1497">R151/R$381</f>
        <v>-65.576611569305257</v>
      </c>
      <c r="S417" s="159">
        <f t="shared" si="1497"/>
        <v>62.766793850876645</v>
      </c>
      <c r="T417" s="159">
        <f t="shared" si="1497"/>
        <v>-54.297353879012377</v>
      </c>
      <c r="U417" s="159">
        <f t="shared" si="1497"/>
        <v>-217.53425475261741</v>
      </c>
      <c r="V417" s="159">
        <f t="shared" si="1497"/>
        <v>-46.940351805585976</v>
      </c>
      <c r="W417" s="159">
        <f t="shared" si="1497"/>
        <v>94.554038997214562</v>
      </c>
      <c r="X417" s="159">
        <f t="shared" si="1497"/>
        <v>2.0525875110848437</v>
      </c>
      <c r="Y417" s="159">
        <f t="shared" si="1497"/>
        <v>-7.7567314871886035</v>
      </c>
      <c r="Z417" s="159">
        <f t="shared" si="1497"/>
        <v>-190.22821658466671</v>
      </c>
      <c r="AA417" s="159">
        <f t="shared" si="1497"/>
        <v>69.110023740000372</v>
      </c>
      <c r="AB417" s="159" t="e">
        <f t="shared" si="1497"/>
        <v>#REF!</v>
      </c>
      <c r="AC417" s="159" t="e">
        <f t="shared" si="1497"/>
        <v>#REF!</v>
      </c>
      <c r="AD417" s="159">
        <f t="shared" si="1497"/>
        <v>-2097.7758446013654</v>
      </c>
      <c r="AE417" s="159">
        <f t="shared" si="1497"/>
        <v>52.119397360460326</v>
      </c>
      <c r="AF417" s="159">
        <f t="shared" si="1497"/>
        <v>-109.62706620873577</v>
      </c>
      <c r="AG417" s="159">
        <f t="shared" ref="AG417:AQ417" si="1498">AG151/AG$381</f>
        <v>1865.1348500346271</v>
      </c>
      <c r="AH417" s="159">
        <f t="shared" si="1498"/>
        <v>-78.099583610017888</v>
      </c>
      <c r="AI417" s="159">
        <f t="shared" si="1498"/>
        <v>-10.034156940427366</v>
      </c>
      <c r="AJ417" s="159">
        <f t="shared" si="1498"/>
        <v>-100.08625286873489</v>
      </c>
      <c r="AK417" s="159">
        <f t="shared" si="1498"/>
        <v>5.3485892263414536</v>
      </c>
      <c r="AL417" s="159">
        <f t="shared" si="1498"/>
        <v>-166.0503563980254</v>
      </c>
      <c r="AM417" s="159">
        <f t="shared" si="1498"/>
        <v>-101.93828485654055</v>
      </c>
      <c r="AN417" s="159">
        <f t="shared" si="1498"/>
        <v>51.254535561853885</v>
      </c>
      <c r="AO417" s="159">
        <f t="shared" si="1498"/>
        <v>-216.83470692201618</v>
      </c>
      <c r="AP417" s="159">
        <f t="shared" si="1498"/>
        <v>-149.46772787406945</v>
      </c>
      <c r="AQ417" s="159">
        <f t="shared" si="1498"/>
        <v>189.54113258103885</v>
      </c>
      <c r="AR417" s="159">
        <f t="shared" ref="AR417:BA417" si="1499">AR151/AR$381</f>
        <v>-107.81538436594805</v>
      </c>
      <c r="AS417" s="159">
        <f t="shared" si="1499"/>
        <v>59.70355741621551</v>
      </c>
      <c r="AT417" s="159">
        <f t="shared" si="1499"/>
        <v>-294.37491640446655</v>
      </c>
      <c r="AU417" s="159">
        <f t="shared" si="1499"/>
        <v>80.62226107198849</v>
      </c>
      <c r="AV417" s="159">
        <f t="shared" si="1499"/>
        <v>-28.203827481882719</v>
      </c>
      <c r="AW417" s="159">
        <f t="shared" si="1499"/>
        <v>-3.6111469841001269</v>
      </c>
      <c r="AX417" s="159">
        <f t="shared" si="1499"/>
        <v>-163.41165352788133</v>
      </c>
      <c r="AY417" s="159">
        <f t="shared" si="1499"/>
        <v>181.10547114402459</v>
      </c>
      <c r="AZ417" s="159">
        <f t="shared" si="1499"/>
        <v>-252.39971892443032</v>
      </c>
      <c r="BA417" s="159">
        <f t="shared" si="1499"/>
        <v>242.29330400224191</v>
      </c>
      <c r="BB417" s="159">
        <f t="shared" ref="BB417:BE418" si="1500">BB151/BB$381</f>
        <v>-83.723873540441502</v>
      </c>
      <c r="BC417" s="159">
        <f t="shared" si="1500"/>
        <v>34.79805247024705</v>
      </c>
      <c r="BD417" s="159">
        <f t="shared" si="1500"/>
        <v>-119.45273801337706</v>
      </c>
      <c r="BE417" s="159">
        <f t="shared" si="1500"/>
        <v>-127.99107682093678</v>
      </c>
      <c r="BF417" s="159">
        <f>BF151/BF$381</f>
        <v>-302.98642972354128</v>
      </c>
      <c r="BG417" s="142"/>
      <c r="BH417" s="159"/>
      <c r="BI417" s="159"/>
      <c r="BJ417" s="159"/>
      <c r="BK417" s="159"/>
      <c r="BL417" s="159">
        <f>BL151/BL$381</f>
        <v>1288.0558637908171</v>
      </c>
      <c r="BM417" s="203"/>
      <c r="BN417" s="159">
        <f>R417+S417</f>
        <v>-2.8098177184286115</v>
      </c>
      <c r="BO417" s="159">
        <f>V417+W417</f>
        <v>47.613687191628586</v>
      </c>
      <c r="BP417" s="159">
        <f>Z417+AA417</f>
        <v>-121.11819284466634</v>
      </c>
      <c r="BQ417" s="159">
        <f>AD417+AE417</f>
        <v>-2045.656447240905</v>
      </c>
      <c r="BR417" s="159">
        <f>AH417+AI417</f>
        <v>-88.133740550445253</v>
      </c>
      <c r="BS417" s="159">
        <f t="shared" ref="BS417:BW418" si="1501">AL417+AM417</f>
        <v>-267.98864125456595</v>
      </c>
      <c r="BT417" s="159">
        <f t="shared" si="1501"/>
        <v>-50.683749294686663</v>
      </c>
      <c r="BU417" s="159">
        <f t="shared" si="1501"/>
        <v>-165.5801713601623</v>
      </c>
      <c r="BV417" s="159">
        <f t="shared" si="1501"/>
        <v>-366.30243479608566</v>
      </c>
      <c r="BW417" s="159">
        <f t="shared" si="1501"/>
        <v>40.073404706969399</v>
      </c>
      <c r="BX417" s="203"/>
      <c r="BY417" s="203"/>
      <c r="BZ417" s="203"/>
      <c r="CA417" s="203"/>
      <c r="CJ417" s="6"/>
      <c r="CK417" s="6"/>
      <c r="CL417" s="6"/>
    </row>
    <row r="418" spans="2:90" ht="13.5" customHeight="1">
      <c r="B418" s="5" t="str">
        <f>B152</f>
        <v>Net increase in Cash and cash equivalents - Non Banking Business</v>
      </c>
      <c r="C418" s="165">
        <f t="shared" ref="C418:O418" si="1502">C152/C$381</f>
        <v>-60.199876241938355</v>
      </c>
      <c r="D418" s="159">
        <f t="shared" si="1502"/>
        <v>-46.2413155781787</v>
      </c>
      <c r="E418" s="159">
        <f t="shared" si="1502"/>
        <v>32.724329587346958</v>
      </c>
      <c r="F418" s="159">
        <f t="shared" si="1502"/>
        <v>-118.28609291279916</v>
      </c>
      <c r="G418" s="159">
        <f t="shared" si="1502"/>
        <v>-118.28609291279916</v>
      </c>
      <c r="H418" s="159">
        <f t="shared" si="1502"/>
        <v>-246.9939965610138</v>
      </c>
      <c r="I418" s="159">
        <f t="shared" si="1502"/>
        <v>-690.74536966093842</v>
      </c>
      <c r="J418" s="159">
        <f t="shared" si="1502"/>
        <v>-575.35655673701501</v>
      </c>
      <c r="K418" s="159">
        <f t="shared" si="1502"/>
        <v>882.84420714260671</v>
      </c>
      <c r="L418" s="159">
        <f t="shared" si="1502"/>
        <v>-912.35634197610136</v>
      </c>
      <c r="M418" s="159">
        <f t="shared" si="1502"/>
        <v>49.42938140322272</v>
      </c>
      <c r="N418" s="159">
        <f t="shared" si="1502"/>
        <v>76.658461179954543</v>
      </c>
      <c r="O418" s="159">
        <f t="shared" si="1502"/>
        <v>524.49872620836015</v>
      </c>
      <c r="P418" s="159">
        <f>P152/P$381</f>
        <v>-354.69851661174312</v>
      </c>
      <c r="Q418" s="203"/>
      <c r="R418" s="159">
        <f t="shared" ref="R418:AF418" si="1503">R152/R$381</f>
        <v>-19.868583381814471</v>
      </c>
      <c r="S418" s="159">
        <f t="shared" si="1503"/>
        <v>-82.610271662521598</v>
      </c>
      <c r="T418" s="159">
        <f t="shared" si="1503"/>
        <v>-24.659830140491614</v>
      </c>
      <c r="U418" s="159">
        <f t="shared" si="1503"/>
        <v>162.60777866306213</v>
      </c>
      <c r="V418" s="159">
        <f t="shared" si="1503"/>
        <v>-76.359930595484613</v>
      </c>
      <c r="W418" s="159">
        <f t="shared" si="1503"/>
        <v>-57.461406308815761</v>
      </c>
      <c r="X418" s="159">
        <f t="shared" si="1503"/>
        <v>40.977607073513511</v>
      </c>
      <c r="Y418" s="159">
        <f t="shared" si="1503"/>
        <v>-23.308954066085128</v>
      </c>
      <c r="Z418" s="159">
        <f t="shared" si="1503"/>
        <v>-127.47500945866668</v>
      </c>
      <c r="AA418" s="159">
        <f t="shared" si="1503"/>
        <v>-101.223946656</v>
      </c>
      <c r="AB418" s="159" t="e">
        <f t="shared" si="1503"/>
        <v>#REF!</v>
      </c>
      <c r="AC418" s="159" t="e">
        <f t="shared" si="1503"/>
        <v>#REF!</v>
      </c>
      <c r="AD418" s="159">
        <f t="shared" si="1503"/>
        <v>-34.375220408955215</v>
      </c>
      <c r="AE418" s="159">
        <f t="shared" si="1503"/>
        <v>-432.37988481526338</v>
      </c>
      <c r="AF418" s="159">
        <f t="shared" si="1503"/>
        <v>11.527220260972328</v>
      </c>
      <c r="AG418" s="159">
        <f t="shared" ref="AG418:AQ418" si="1504">AG152/AG$381</f>
        <v>-132.44174860440714</v>
      </c>
      <c r="AH418" s="159">
        <f t="shared" si="1504"/>
        <v>767.74279980292215</v>
      </c>
      <c r="AI418" s="159">
        <f t="shared" si="1504"/>
        <v>371.69305515795969</v>
      </c>
      <c r="AJ418" s="159">
        <f t="shared" si="1504"/>
        <v>-233.18759092865037</v>
      </c>
      <c r="AK418" s="159">
        <f t="shared" si="1504"/>
        <v>-88.905191016256552</v>
      </c>
      <c r="AL418" s="159">
        <f t="shared" si="1504"/>
        <v>-265.51694452317162</v>
      </c>
      <c r="AM418" s="159">
        <f t="shared" si="1504"/>
        <v>-337.30946600754424</v>
      </c>
      <c r="AN418" s="159">
        <f t="shared" si="1504"/>
        <v>-403.10325249090982</v>
      </c>
      <c r="AO418" s="159">
        <f t="shared" si="1504"/>
        <v>57.260067065346014</v>
      </c>
      <c r="AP418" s="159">
        <f t="shared" si="1504"/>
        <v>-209.91652227986859</v>
      </c>
      <c r="AQ418" s="159">
        <f t="shared" si="1504"/>
        <v>93.928681596374943</v>
      </c>
      <c r="AR418" s="159">
        <f t="shared" ref="AR418:BA418" si="1505">AR152/AR$381</f>
        <v>1037.7056606424837</v>
      </c>
      <c r="AS418" s="159">
        <f t="shared" si="1505"/>
        <v>-917.19723275540889</v>
      </c>
      <c r="AT418" s="159">
        <f t="shared" si="1505"/>
        <v>-93.561691652785484</v>
      </c>
      <c r="AU418" s="159">
        <f t="shared" si="1505"/>
        <v>-409.87068292665532</v>
      </c>
      <c r="AV418" s="159">
        <f t="shared" si="1505"/>
        <v>116.58207744084069</v>
      </c>
      <c r="AW418" s="159">
        <f t="shared" si="1505"/>
        <v>444.15729588153579</v>
      </c>
      <c r="AX418" s="159">
        <f t="shared" si="1505"/>
        <v>-205.26863768910593</v>
      </c>
      <c r="AY418" s="159">
        <f t="shared" si="1505"/>
        <v>42.895706716036671</v>
      </c>
      <c r="AZ418" s="159">
        <f t="shared" si="1505"/>
        <v>406.86527720022815</v>
      </c>
      <c r="BA418" s="159">
        <f t="shared" si="1505"/>
        <v>279.45047680318794</v>
      </c>
      <c r="BB418" s="159">
        <f t="shared" si="1500"/>
        <v>-563.07015175639685</v>
      </c>
      <c r="BC418" s="159">
        <f t="shared" si="1500"/>
        <v>115.6359368016535</v>
      </c>
      <c r="BD418" s="159">
        <f t="shared" si="1500"/>
        <v>-141.68785188889589</v>
      </c>
      <c r="BE418" s="159">
        <f t="shared" si="1500"/>
        <v>253.57209003490905</v>
      </c>
      <c r="BF418" s="159">
        <f>BF152/BF$381</f>
        <v>76.837243534069472</v>
      </c>
      <c r="BG418" s="142"/>
      <c r="BH418" s="159"/>
      <c r="BI418" s="159"/>
      <c r="BJ418" s="159"/>
      <c r="BK418" s="159"/>
      <c r="BL418" s="159">
        <f>BL152/BL$381</f>
        <v>-34.375220408955215</v>
      </c>
      <c r="BM418" s="203"/>
      <c r="BN418" s="159">
        <f>R418+S418</f>
        <v>-102.47885504433607</v>
      </c>
      <c r="BO418" s="159">
        <f>V418+W418</f>
        <v>-133.82133690430038</v>
      </c>
      <c r="BP418" s="159">
        <f>Z418+AA418</f>
        <v>-228.69895611466666</v>
      </c>
      <c r="BQ418" s="159">
        <f>AD418+AE418</f>
        <v>-466.7551052242186</v>
      </c>
      <c r="BR418" s="159">
        <f>AH418+AI418</f>
        <v>1139.4358549608819</v>
      </c>
      <c r="BS418" s="159">
        <f t="shared" si="1501"/>
        <v>-602.82641053071586</v>
      </c>
      <c r="BT418" s="159">
        <f t="shared" si="1501"/>
        <v>-740.41271849845407</v>
      </c>
      <c r="BU418" s="159">
        <f t="shared" si="1501"/>
        <v>-345.84318542556383</v>
      </c>
      <c r="BV418" s="159">
        <f t="shared" si="1501"/>
        <v>-152.65645521452257</v>
      </c>
      <c r="BW418" s="159">
        <f t="shared" si="1501"/>
        <v>-115.98784068349364</v>
      </c>
      <c r="BX418" s="203"/>
      <c r="BY418" s="203"/>
      <c r="BZ418" s="203"/>
      <c r="CA418" s="203"/>
      <c r="CJ418" s="6"/>
      <c r="CK418" s="6"/>
      <c r="CL418" s="6"/>
    </row>
    <row r="419" spans="2:90" s="5" customFormat="1" ht="13.5" customHeight="1" thickBot="1">
      <c r="B419" s="61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203"/>
      <c r="R419" s="168"/>
      <c r="S419" s="168"/>
      <c r="T419" s="168"/>
      <c r="U419" s="168"/>
      <c r="V419" s="168"/>
      <c r="W419" s="168"/>
      <c r="X419" s="94"/>
      <c r="Y419" s="168"/>
      <c r="Z419" s="168"/>
      <c r="AA419" s="168"/>
      <c r="AB419" s="94"/>
      <c r="AC419" s="94"/>
      <c r="AD419" s="168"/>
      <c r="AE419" s="168"/>
      <c r="AF419" s="168"/>
      <c r="AG419" s="94"/>
      <c r="AH419" s="168"/>
      <c r="AI419" s="168"/>
      <c r="AJ419" s="168"/>
      <c r="AK419" s="94"/>
      <c r="AL419" s="168"/>
      <c r="AM419" s="168"/>
      <c r="AN419" s="168"/>
      <c r="AO419" s="94"/>
      <c r="AP419" s="168"/>
      <c r="AQ419" s="168"/>
      <c r="AR419" s="168"/>
      <c r="AS419" s="94"/>
      <c r="AT419" s="168"/>
      <c r="AU419" s="168"/>
      <c r="AV419" s="168"/>
      <c r="AW419" s="94"/>
      <c r="AX419" s="168"/>
      <c r="AY419" s="168"/>
      <c r="AZ419" s="168"/>
      <c r="BA419" s="94"/>
      <c r="BB419" s="168"/>
      <c r="BC419" s="168"/>
      <c r="BD419" s="168"/>
      <c r="BE419" s="94"/>
      <c r="BF419" s="168"/>
      <c r="BG419" s="142"/>
      <c r="BH419" s="168"/>
      <c r="BI419" s="168"/>
      <c r="BJ419" s="168"/>
      <c r="BK419" s="94"/>
      <c r="BL419" s="168"/>
      <c r="BM419" s="203"/>
      <c r="BN419" s="168"/>
      <c r="BO419" s="168"/>
      <c r="BP419" s="168"/>
      <c r="BQ419" s="168"/>
      <c r="BR419" s="168"/>
      <c r="BS419" s="168"/>
      <c r="BT419" s="168"/>
      <c r="BU419" s="168"/>
      <c r="BV419" s="168"/>
      <c r="BW419" s="168"/>
      <c r="BX419" s="203"/>
      <c r="BY419" s="203"/>
      <c r="BZ419" s="203"/>
      <c r="CA419" s="203"/>
      <c r="CJ419" s="6"/>
      <c r="CK419" s="6"/>
      <c r="CL419" s="6"/>
    </row>
    <row r="420" spans="2:90" ht="13.5" customHeight="1" thickTop="1" thickBot="1">
      <c r="B420" s="101" t="str">
        <f>B154</f>
        <v>Cash and cash equivalents - Non Banking Business</v>
      </c>
      <c r="C420" s="170">
        <f t="shared" ref="C420:H420" si="1506">C154/C$382</f>
        <v>347.97342339373967</v>
      </c>
      <c r="D420" s="170">
        <f t="shared" si="1506"/>
        <v>292.76687755966668</v>
      </c>
      <c r="E420" s="170">
        <f t="shared" si="1506"/>
        <v>299.58278869047615</v>
      </c>
      <c r="F420" s="170">
        <f t="shared" si="1506"/>
        <v>376.56969780576475</v>
      </c>
      <c r="G420" s="170">
        <f t="shared" si="1506"/>
        <v>376.56969780576475</v>
      </c>
      <c r="H420" s="170">
        <f t="shared" si="1506"/>
        <v>507.34943083573489</v>
      </c>
      <c r="I420" s="170">
        <f t="shared" ref="I420:N420" si="1507">I154/I$382</f>
        <v>457.48037752161383</v>
      </c>
      <c r="J420" s="170">
        <f t="shared" si="1507"/>
        <v>399.88553086058477</v>
      </c>
      <c r="K420" s="170">
        <f t="shared" si="1507"/>
        <v>1708.6654865267358</v>
      </c>
      <c r="L420" s="170">
        <f t="shared" si="1507"/>
        <v>626.56037833392077</v>
      </c>
      <c r="M420" s="170">
        <f>M154/M$382</f>
        <v>648.28625253207304</v>
      </c>
      <c r="N420" s="170">
        <f t="shared" si="1507"/>
        <v>1223.0531598818002</v>
      </c>
      <c r="O420" s="170">
        <f>O154/O$382</f>
        <v>1650.599628249043</v>
      </c>
      <c r="P420" s="170">
        <f>P154/P$382</f>
        <v>1759.5306078942988</v>
      </c>
      <c r="Q420" s="146"/>
      <c r="R420" s="170">
        <f t="shared" ref="R420:AF420" si="1508">R154/R$382</f>
        <v>289.27414283575388</v>
      </c>
      <c r="S420" s="170">
        <f t="shared" si="1508"/>
        <v>266.97061039939712</v>
      </c>
      <c r="T420" s="170">
        <f t="shared" si="1508"/>
        <v>242.85936734849062</v>
      </c>
      <c r="U420" s="170">
        <f t="shared" si="1508"/>
        <v>299.58278869047615</v>
      </c>
      <c r="V420" s="170">
        <f t="shared" si="1508"/>
        <v>294.43884036030585</v>
      </c>
      <c r="W420" s="170">
        <f t="shared" si="1508"/>
        <v>266.2921030042919</v>
      </c>
      <c r="X420" s="170">
        <f t="shared" si="1508"/>
        <v>326.82254809948381</v>
      </c>
      <c r="Y420" s="170">
        <f t="shared" si="1508"/>
        <v>376.56969780576475</v>
      </c>
      <c r="Z420" s="170">
        <f t="shared" si="1508"/>
        <v>361.6075803918327</v>
      </c>
      <c r="AA420" s="170">
        <f t="shared" si="1508"/>
        <v>325.99388235294117</v>
      </c>
      <c r="AB420" s="170">
        <f t="shared" si="1508"/>
        <v>314.18</v>
      </c>
      <c r="AC420" s="170">
        <f t="shared" si="1508"/>
        <v>507.34943083573489</v>
      </c>
      <c r="AD420" s="170">
        <f t="shared" si="1508"/>
        <v>432.00443872296603</v>
      </c>
      <c r="AE420" s="170">
        <f t="shared" si="1508"/>
        <v>284.27807195898157</v>
      </c>
      <c r="AF420" s="170">
        <f t="shared" si="1508"/>
        <v>314.65057446897612</v>
      </c>
      <c r="AG420" s="170">
        <f t="shared" ref="AG420:AM420" si="1509">AG154/AG$382</f>
        <v>399.88553086058477</v>
      </c>
      <c r="AH420" s="170">
        <f t="shared" si="1509"/>
        <v>1067.9161942361225</v>
      </c>
      <c r="AI420" s="170">
        <f t="shared" si="1509"/>
        <v>1742.4897069030599</v>
      </c>
      <c r="AJ420" s="170">
        <f t="shared" si="1509"/>
        <v>1547.335246643632</v>
      </c>
      <c r="AK420" s="170">
        <f t="shared" si="1509"/>
        <v>1708.6654865267358</v>
      </c>
      <c r="AL420" s="170">
        <f t="shared" si="1509"/>
        <v>1418.2716928126392</v>
      </c>
      <c r="AM420" s="170">
        <f t="shared" si="1509"/>
        <v>1109.6094528718102</v>
      </c>
      <c r="AN420" s="170">
        <f t="shared" ref="AN420:AS420" si="1510">AN154/AN$382</f>
        <v>650.95615509069876</v>
      </c>
      <c r="AO420" s="170">
        <f t="shared" si="1510"/>
        <v>626.56037833392077</v>
      </c>
      <c r="AP420" s="170">
        <f t="shared" si="1510"/>
        <v>446.98124738649466</v>
      </c>
      <c r="AQ420" s="170">
        <f t="shared" si="1510"/>
        <v>698.76190920239128</v>
      </c>
      <c r="AR420" s="170">
        <f t="shared" si="1510"/>
        <v>683.75789850932324</v>
      </c>
      <c r="AS420" s="170">
        <f t="shared" si="1510"/>
        <v>736.10847015805621</v>
      </c>
      <c r="AT420" s="170">
        <f t="shared" ref="AT420:AY420" si="1511">AT154/AT$382</f>
        <v>664.03817654802299</v>
      </c>
      <c r="AU420" s="170">
        <f t="shared" si="1511"/>
        <v>503.17648733620899</v>
      </c>
      <c r="AV420" s="170">
        <f t="shared" si="1511"/>
        <v>729.58255641630171</v>
      </c>
      <c r="AW420" s="170">
        <f t="shared" si="1511"/>
        <v>1223.0531598818002</v>
      </c>
      <c r="AX420" s="170">
        <f t="shared" si="1511"/>
        <v>968.44327936684942</v>
      </c>
      <c r="AY420" s="170">
        <f t="shared" si="1511"/>
        <v>1045.1058269977138</v>
      </c>
      <c r="AZ420" s="170">
        <f t="shared" ref="AZ420:BE420" si="1512">AZ154/AZ$382</f>
        <v>1373.2296177800399</v>
      </c>
      <c r="BA420" s="170">
        <f t="shared" si="1512"/>
        <v>1650.599628249043</v>
      </c>
      <c r="BB420" s="170">
        <f t="shared" si="1512"/>
        <v>1132.9754495260001</v>
      </c>
      <c r="BC420" s="170">
        <f t="shared" si="1512"/>
        <v>1581.1004610181176</v>
      </c>
      <c r="BD420" s="170">
        <f t="shared" si="1512"/>
        <v>1393.5840903184223</v>
      </c>
      <c r="BE420" s="170">
        <f t="shared" si="1512"/>
        <v>1759.5306078942988</v>
      </c>
      <c r="BF420" s="170">
        <f>BF154/BF$382</f>
        <v>1974.1147743098663</v>
      </c>
      <c r="BG420" s="142"/>
      <c r="BH420" s="170"/>
      <c r="BI420" s="170"/>
      <c r="BJ420" s="170"/>
      <c r="BK420" s="170"/>
      <c r="BL420" s="170">
        <f>BL154/BL$382</f>
        <v>441.32021921435927</v>
      </c>
      <c r="BM420" s="146"/>
      <c r="BN420" s="170">
        <f>S420</f>
        <v>266.97061039939712</v>
      </c>
      <c r="BO420" s="170">
        <f>W420</f>
        <v>266.2921030042919</v>
      </c>
      <c r="BP420" s="170">
        <f>AA420</f>
        <v>325.99388235294117</v>
      </c>
      <c r="BQ420" s="170">
        <f>AE420</f>
        <v>284.27807195898157</v>
      </c>
      <c r="BR420" s="170">
        <f>AI420</f>
        <v>1742.4897069030599</v>
      </c>
      <c r="BS420" s="170">
        <f>AM420</f>
        <v>1109.6094528718102</v>
      </c>
      <c r="BT420" s="170">
        <f>AN420</f>
        <v>650.95615509069876</v>
      </c>
      <c r="BU420" s="170">
        <f>AO420</f>
        <v>626.56037833392077</v>
      </c>
      <c r="BV420" s="170">
        <f>AP420</f>
        <v>446.98124738649466</v>
      </c>
      <c r="BW420" s="170">
        <f>AQ420</f>
        <v>698.76190920239128</v>
      </c>
      <c r="BX420" s="146"/>
      <c r="BY420" s="146"/>
      <c r="BZ420" s="146"/>
      <c r="CA420" s="146"/>
      <c r="CJ420" s="6"/>
      <c r="CK420" s="6"/>
      <c r="CL420" s="6"/>
    </row>
    <row r="421" spans="2:90" ht="13.5" customHeight="1" thickTop="1">
      <c r="C421" s="426"/>
      <c r="D421" s="426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  <c r="AS421" s="72"/>
      <c r="AT421" s="72"/>
      <c r="AU421" s="72"/>
      <c r="AV421" s="72"/>
      <c r="AW421" s="72"/>
      <c r="AX421" s="72"/>
      <c r="AY421" s="72"/>
      <c r="AZ421" s="72"/>
      <c r="BA421" s="72"/>
      <c r="BB421" s="72"/>
      <c r="BC421" s="72"/>
      <c r="BD421" s="72"/>
      <c r="BE421" s="72"/>
      <c r="BF421" s="72"/>
      <c r="BG421" s="142"/>
      <c r="BH421" s="72"/>
      <c r="BI421" s="72"/>
      <c r="BJ421" s="72"/>
      <c r="BK421" s="72"/>
      <c r="BL421" s="72"/>
      <c r="BM421" s="72"/>
      <c r="BN421" s="72"/>
      <c r="BO421" s="72"/>
      <c r="BP421" s="72"/>
      <c r="BQ421" s="72"/>
      <c r="BR421" s="72"/>
      <c r="BS421" s="72"/>
      <c r="BT421" s="72"/>
      <c r="BU421" s="72"/>
      <c r="BV421" s="72"/>
      <c r="BW421" s="72"/>
      <c r="BX421" s="72"/>
      <c r="BY421" s="72"/>
      <c r="BZ421" s="72"/>
      <c r="CA421" s="72"/>
      <c r="CJ421" s="6"/>
      <c r="CK421" s="6"/>
      <c r="CL421" s="6"/>
    </row>
    <row r="422" spans="2:90" ht="13.5" customHeight="1">
      <c r="B422" s="1" t="s">
        <v>491</v>
      </c>
      <c r="C422" s="293">
        <f t="shared" ref="C422:H423" si="1513">C254/C$382</f>
        <v>4515.8051350906098</v>
      </c>
      <c r="D422" s="293">
        <f t="shared" si="1513"/>
        <v>4439.2174650473098</v>
      </c>
      <c r="E422" s="293">
        <f t="shared" si="1513"/>
        <v>5140.5647291666664</v>
      </c>
      <c r="F422" s="293">
        <f t="shared" si="1513"/>
        <v>5713.0761003635416</v>
      </c>
      <c r="G422" s="293">
        <f t="shared" si="1513"/>
        <v>5713.0761003635416</v>
      </c>
      <c r="H422" s="293">
        <f t="shared" si="1513"/>
        <v>4876.5109740634007</v>
      </c>
      <c r="I422" s="293">
        <f t="shared" ref="I422:K423" si="1514">I254/I$382</f>
        <v>4304.1159798270901</v>
      </c>
      <c r="J422" s="293">
        <f t="shared" si="1514"/>
        <v>3942.3487560660374</v>
      </c>
      <c r="K422" s="293">
        <f t="shared" si="1514"/>
        <v>3574.6138202815478</v>
      </c>
      <c r="L422" s="293">
        <f t="shared" ref="L422:N423" si="1515">L254/L$382</f>
        <v>3664.3666631418164</v>
      </c>
      <c r="M422" s="293">
        <f>M254/M$382</f>
        <v>4178.2971640783262</v>
      </c>
      <c r="N422" s="293">
        <f t="shared" si="1515"/>
        <v>4017.5980799609283</v>
      </c>
      <c r="O422" s="293">
        <f>O254/O$382</f>
        <v>2992.2975982268781</v>
      </c>
      <c r="P422" s="293">
        <f>P254/P$382</f>
        <v>2043.0864497862653</v>
      </c>
      <c r="Q422" s="293"/>
      <c r="R422" s="293">
        <f t="shared" ref="R422:AF422" si="1516">R254/R$382</f>
        <v>4543.6169291810147</v>
      </c>
      <c r="S422" s="293">
        <f t="shared" si="1516"/>
        <v>4827.5872961567447</v>
      </c>
      <c r="T422" s="293">
        <f t="shared" si="1516"/>
        <v>5047.6853258307347</v>
      </c>
      <c r="U422" s="293">
        <f t="shared" si="1516"/>
        <v>5140.5647291666664</v>
      </c>
      <c r="V422" s="293">
        <f t="shared" si="1516"/>
        <v>5238.2290954507616</v>
      </c>
      <c r="W422" s="293">
        <f t="shared" si="1516"/>
        <v>5329.9342534447715</v>
      </c>
      <c r="X422" s="293">
        <f t="shared" si="1516"/>
        <v>5571.7048772094486</v>
      </c>
      <c r="Y422" s="293">
        <f t="shared" si="1516"/>
        <v>5713.0761003635416</v>
      </c>
      <c r="Z422" s="293">
        <f t="shared" si="1516"/>
        <v>5790.9616880218227</v>
      </c>
      <c r="AA422" s="293">
        <f t="shared" si="1516"/>
        <v>5725.2296119174944</v>
      </c>
      <c r="AB422" s="293">
        <f t="shared" si="1516"/>
        <v>5981.2202479841781</v>
      </c>
      <c r="AC422" s="293">
        <f t="shared" si="1516"/>
        <v>4876.5109740634007</v>
      </c>
      <c r="AD422" s="293">
        <f t="shared" si="1516"/>
        <v>4324.8308062380456</v>
      </c>
      <c r="AE422" s="293">
        <f t="shared" si="1516"/>
        <v>4545.6575318246114</v>
      </c>
      <c r="AF422" s="293">
        <f t="shared" si="1516"/>
        <v>4409.1378195619027</v>
      </c>
      <c r="AG422" s="293">
        <f t="shared" ref="AG422:AJ423" si="1517">AG254/AG$382</f>
        <v>3942.3487560660374</v>
      </c>
      <c r="AH422" s="293">
        <f t="shared" si="1517"/>
        <v>4067.7971211031199</v>
      </c>
      <c r="AI422" s="293">
        <f t="shared" si="1517"/>
        <v>3988.7504596763392</v>
      </c>
      <c r="AJ422" s="293">
        <f t="shared" si="1517"/>
        <v>4054.7768171560433</v>
      </c>
      <c r="AK422" s="293">
        <f t="shared" ref="AK422:AN423" si="1518">AK254/AK$382</f>
        <v>3574.6138202815478</v>
      </c>
      <c r="AL422" s="293">
        <f t="shared" si="1518"/>
        <v>3761.4624596684471</v>
      </c>
      <c r="AM422" s="293">
        <f t="shared" si="1518"/>
        <v>3539.8733503091053</v>
      </c>
      <c r="AN422" s="293">
        <f t="shared" si="1518"/>
        <v>3700.9367569703745</v>
      </c>
      <c r="AO422" s="293">
        <f t="shared" ref="AO422:AR423" si="1519">AO254/AO$382</f>
        <v>3664.3666631418164</v>
      </c>
      <c r="AP422" s="293">
        <f t="shared" si="1519"/>
        <v>4315.8168886298263</v>
      </c>
      <c r="AQ422" s="293">
        <f t="shared" si="1519"/>
        <v>5081.4888163609421</v>
      </c>
      <c r="AR422" s="293">
        <f t="shared" si="1519"/>
        <v>4544.80228016413</v>
      </c>
      <c r="AS422" s="293">
        <f t="shared" ref="AS422:AV423" si="1520">AS254/AS$382</f>
        <v>4744.3238558622324</v>
      </c>
      <c r="AT422" s="293">
        <f t="shared" si="1520"/>
        <v>4976.1811882942638</v>
      </c>
      <c r="AU422" s="293">
        <f t="shared" si="1520"/>
        <v>5055.2350232070612</v>
      </c>
      <c r="AV422" s="293">
        <f t="shared" si="1520"/>
        <v>4433.351128326035</v>
      </c>
      <c r="AW422" s="293">
        <f t="shared" ref="AW422:AZ423" si="1521">AW254/AW$382</f>
        <v>4017.5980799609283</v>
      </c>
      <c r="AX422" s="293">
        <f t="shared" si="1521"/>
        <v>4000.1256030394075</v>
      </c>
      <c r="AY422" s="293">
        <f t="shared" si="1521"/>
        <v>4018.5919708650108</v>
      </c>
      <c r="AZ422" s="293">
        <f t="shared" si="1521"/>
        <v>3385.7282104729507</v>
      </c>
      <c r="BA422" s="293">
        <f t="shared" ref="BA422:BD423" si="1522">BA254/BA$382</f>
        <v>2992.2975982268781</v>
      </c>
      <c r="BB422" s="293">
        <f t="shared" si="1522"/>
        <v>3074.9497278859994</v>
      </c>
      <c r="BC422" s="293">
        <f t="shared" si="1522"/>
        <v>2627.3895021435187</v>
      </c>
      <c r="BD422" s="293">
        <f t="shared" si="1522"/>
        <v>2540.1489162413068</v>
      </c>
      <c r="BE422" s="293">
        <f>BE254/BE$382</f>
        <v>2043.0864497862653</v>
      </c>
      <c r="BF422" s="293">
        <f>BF254/BF$382</f>
        <v>1883.6419348570073</v>
      </c>
      <c r="BG422" s="142"/>
      <c r="BH422" s="293"/>
      <c r="BI422" s="293"/>
      <c r="BJ422" s="293"/>
      <c r="BK422" s="293"/>
      <c r="BL422" s="293">
        <f>BL254/BL$382</f>
        <v>4315.5150257466521</v>
      </c>
      <c r="BM422" s="293"/>
      <c r="BN422" s="293">
        <f>S422</f>
        <v>4827.5872961567447</v>
      </c>
      <c r="BO422" s="293">
        <f>W422</f>
        <v>5329.9342534447715</v>
      </c>
      <c r="BP422" s="293">
        <f>AA422</f>
        <v>5725.2296119174944</v>
      </c>
      <c r="BQ422" s="293">
        <f>AE422</f>
        <v>4545.6575318246114</v>
      </c>
      <c r="BR422" s="293">
        <f>AI422</f>
        <v>3988.7504596763392</v>
      </c>
      <c r="BS422" s="293">
        <f t="shared" ref="BS422:BW423" si="1523">AM422</f>
        <v>3539.8733503091053</v>
      </c>
      <c r="BT422" s="293">
        <f t="shared" si="1523"/>
        <v>3700.9367569703745</v>
      </c>
      <c r="BU422" s="293">
        <f t="shared" si="1523"/>
        <v>3664.3666631418164</v>
      </c>
      <c r="BV422" s="293">
        <f t="shared" si="1523"/>
        <v>4315.8168886298263</v>
      </c>
      <c r="BW422" s="293">
        <f t="shared" si="1523"/>
        <v>5081.4888163609421</v>
      </c>
      <c r="BX422" s="293"/>
      <c r="BY422" s="293"/>
      <c r="BZ422" s="293"/>
      <c r="CA422" s="293"/>
      <c r="CJ422" s="6"/>
      <c r="CK422" s="6"/>
      <c r="CL422" s="6"/>
    </row>
    <row r="423" spans="2:90" ht="13.5" customHeight="1">
      <c r="B423" s="1" t="s">
        <v>492</v>
      </c>
      <c r="C423" s="293">
        <f t="shared" si="1513"/>
        <v>4863.7785584843496</v>
      </c>
      <c r="D423" s="293">
        <f t="shared" si="1513"/>
        <v>4731.9843426069765</v>
      </c>
      <c r="E423" s="293">
        <f t="shared" si="1513"/>
        <v>5440.1475178571436</v>
      </c>
      <c r="F423" s="293">
        <f t="shared" si="1513"/>
        <v>6089.6457981693065</v>
      </c>
      <c r="G423" s="293">
        <f t="shared" si="1513"/>
        <v>6089.6457981693065</v>
      </c>
      <c r="H423" s="293">
        <f t="shared" si="1513"/>
        <v>5383.8604048991356</v>
      </c>
      <c r="I423" s="293">
        <f t="shared" si="1514"/>
        <v>4761.5963573487033</v>
      </c>
      <c r="J423" s="293">
        <f t="shared" si="1514"/>
        <v>4342.2342869266222</v>
      </c>
      <c r="K423" s="293">
        <f t="shared" si="1514"/>
        <v>5283.2793068082838</v>
      </c>
      <c r="L423" s="293">
        <f t="shared" si="1515"/>
        <v>4290.9270414757366</v>
      </c>
      <c r="M423" s="293">
        <f>M255/M$382</f>
        <v>4826.5834166103987</v>
      </c>
      <c r="N423" s="293">
        <f t="shared" si="1515"/>
        <v>5240.6512398427285</v>
      </c>
      <c r="O423" s="293">
        <f>O255/O$382</f>
        <v>4642.8972264759213</v>
      </c>
      <c r="P423" s="293">
        <f>P255/P$382</f>
        <v>3802.6170576805639</v>
      </c>
      <c r="Q423" s="293"/>
      <c r="R423" s="293">
        <f t="shared" ref="R423:AF423" si="1524">R255/R$382</f>
        <v>4832.8910720167687</v>
      </c>
      <c r="S423" s="293">
        <f t="shared" si="1524"/>
        <v>5094.5579065561415</v>
      </c>
      <c r="T423" s="293">
        <f t="shared" si="1524"/>
        <v>5290.5446931792258</v>
      </c>
      <c r="U423" s="293">
        <f t="shared" si="1524"/>
        <v>5440.1475178571436</v>
      </c>
      <c r="V423" s="293">
        <f t="shared" si="1524"/>
        <v>5532.6679358110669</v>
      </c>
      <c r="W423" s="293">
        <f t="shared" si="1524"/>
        <v>5596.2263564490631</v>
      </c>
      <c r="X423" s="293">
        <f t="shared" si="1524"/>
        <v>5898.5274253089319</v>
      </c>
      <c r="Y423" s="293">
        <f t="shared" si="1524"/>
        <v>6089.6457981693065</v>
      </c>
      <c r="Z423" s="293">
        <f t="shared" si="1524"/>
        <v>6152.5692684136557</v>
      </c>
      <c r="AA423" s="293">
        <f t="shared" si="1524"/>
        <v>6051.2234942704354</v>
      </c>
      <c r="AB423" s="293">
        <f t="shared" si="1524"/>
        <v>6295.4002479841774</v>
      </c>
      <c r="AC423" s="293">
        <f t="shared" si="1524"/>
        <v>5383.8604048991356</v>
      </c>
      <c r="AD423" s="293">
        <f t="shared" si="1524"/>
        <v>4756.8352449610111</v>
      </c>
      <c r="AE423" s="293">
        <f t="shared" si="1524"/>
        <v>4829.9356037835923</v>
      </c>
      <c r="AF423" s="293">
        <f t="shared" si="1524"/>
        <v>4723.7883940308784</v>
      </c>
      <c r="AG423" s="293">
        <f t="shared" si="1517"/>
        <v>4342.2342869266222</v>
      </c>
      <c r="AH423" s="293">
        <f t="shared" si="1517"/>
        <v>5135.7133153392424</v>
      </c>
      <c r="AI423" s="293">
        <f t="shared" si="1517"/>
        <v>5731.2401665793986</v>
      </c>
      <c r="AJ423" s="293">
        <f t="shared" si="1517"/>
        <v>5602.1120637996755</v>
      </c>
      <c r="AK423" s="293">
        <f t="shared" si="1518"/>
        <v>5283.2793068082838</v>
      </c>
      <c r="AL423" s="293">
        <f t="shared" si="1518"/>
        <v>5179.7341524810863</v>
      </c>
      <c r="AM423" s="293">
        <f t="shared" si="1518"/>
        <v>4649.4828031809147</v>
      </c>
      <c r="AN423" s="293">
        <f t="shared" si="1518"/>
        <v>4351.8929120610728</v>
      </c>
      <c r="AO423" s="293">
        <f t="shared" si="1519"/>
        <v>4290.9270414757366</v>
      </c>
      <c r="AP423" s="293">
        <f t="shared" si="1519"/>
        <v>4762.7981360163212</v>
      </c>
      <c r="AQ423" s="293">
        <f t="shared" si="1519"/>
        <v>5780.2507255633336</v>
      </c>
      <c r="AR423" s="293">
        <f t="shared" si="1519"/>
        <v>5228.5601786734542</v>
      </c>
      <c r="AS423" s="293">
        <f t="shared" si="1520"/>
        <v>5480.4323260202891</v>
      </c>
      <c r="AT423" s="293">
        <f t="shared" si="1520"/>
        <v>5640.2193648422863</v>
      </c>
      <c r="AU423" s="293">
        <f t="shared" si="1520"/>
        <v>5558.4115105432702</v>
      </c>
      <c r="AV423" s="293">
        <f t="shared" si="1520"/>
        <v>5162.9336847423374</v>
      </c>
      <c r="AW423" s="293">
        <f t="shared" si="1521"/>
        <v>5240.6512398427285</v>
      </c>
      <c r="AX423" s="293">
        <f t="shared" si="1521"/>
        <v>4968.5688824062563</v>
      </c>
      <c r="AY423" s="293">
        <f t="shared" si="1521"/>
        <v>5063.6977978627247</v>
      </c>
      <c r="AZ423" s="293">
        <f t="shared" si="1521"/>
        <v>4758.9578282529901</v>
      </c>
      <c r="BA423" s="293">
        <f t="shared" si="1522"/>
        <v>4642.8972264759213</v>
      </c>
      <c r="BB423" s="293">
        <f t="shared" si="1522"/>
        <v>4207.9251774119994</v>
      </c>
      <c r="BC423" s="293">
        <f t="shared" si="1522"/>
        <v>4208.4899631616363</v>
      </c>
      <c r="BD423" s="293">
        <f t="shared" si="1522"/>
        <v>3933.7330065597293</v>
      </c>
      <c r="BE423" s="293">
        <f>BE255/BE$382</f>
        <v>3802.6170576805639</v>
      </c>
      <c r="BF423" s="293">
        <f>BF255/BF$382</f>
        <v>3857.7567091668739</v>
      </c>
      <c r="BG423" s="142"/>
      <c r="BH423" s="293"/>
      <c r="BI423" s="293"/>
      <c r="BJ423" s="293"/>
      <c r="BK423" s="293"/>
      <c r="BL423" s="293">
        <f>BL255/BL$382</f>
        <v>4756.8352449610111</v>
      </c>
      <c r="BM423" s="293"/>
      <c r="BN423" s="293">
        <f>S423</f>
        <v>5094.5579065561415</v>
      </c>
      <c r="BO423" s="293">
        <f>W423</f>
        <v>5596.2263564490631</v>
      </c>
      <c r="BP423" s="293">
        <f>AA423</f>
        <v>6051.2234942704354</v>
      </c>
      <c r="BQ423" s="293">
        <f>AE423</f>
        <v>4829.9356037835923</v>
      </c>
      <c r="BR423" s="293">
        <f>AI423</f>
        <v>5731.2401665793986</v>
      </c>
      <c r="BS423" s="293">
        <f t="shared" si="1523"/>
        <v>4649.4828031809147</v>
      </c>
      <c r="BT423" s="293">
        <f t="shared" si="1523"/>
        <v>4351.8929120610728</v>
      </c>
      <c r="BU423" s="293">
        <f t="shared" si="1523"/>
        <v>4290.9270414757366</v>
      </c>
      <c r="BV423" s="293">
        <f t="shared" si="1523"/>
        <v>4762.7981360163212</v>
      </c>
      <c r="BW423" s="293">
        <f t="shared" si="1523"/>
        <v>5780.2507255633336</v>
      </c>
      <c r="BX423" s="293"/>
      <c r="BY423" s="293"/>
      <c r="BZ423" s="293"/>
      <c r="CA423" s="293"/>
      <c r="CJ423" s="6"/>
      <c r="CK423" s="6"/>
      <c r="CL423" s="6"/>
    </row>
    <row r="424" spans="2:90" ht="13.5" customHeight="1">
      <c r="C424" s="293"/>
      <c r="D424" s="293"/>
      <c r="E424" s="293"/>
      <c r="F424" s="293"/>
      <c r="G424" s="293"/>
      <c r="H424" s="293"/>
      <c r="I424" s="293"/>
      <c r="J424" s="293"/>
      <c r="K424" s="293"/>
      <c r="L424" s="293"/>
      <c r="M424" s="293"/>
      <c r="N424" s="293"/>
      <c r="O424" s="293"/>
      <c r="P424" s="293"/>
      <c r="Q424" s="293"/>
      <c r="R424" s="293"/>
      <c r="S424" s="293"/>
      <c r="T424" s="293"/>
      <c r="U424" s="293"/>
      <c r="V424" s="293"/>
      <c r="W424" s="293"/>
      <c r="X424" s="293"/>
      <c r="Y424" s="293"/>
      <c r="Z424" s="293"/>
      <c r="AA424" s="293"/>
      <c r="AB424" s="293"/>
      <c r="AC424" s="293"/>
      <c r="AD424" s="293"/>
      <c r="AE424" s="293"/>
      <c r="AF424" s="293"/>
      <c r="AG424" s="293"/>
      <c r="AH424" s="293"/>
      <c r="AI424" s="293"/>
      <c r="AJ424" s="293"/>
      <c r="AK424" s="293"/>
      <c r="AL424" s="293"/>
      <c r="AM424" s="293"/>
      <c r="AN424" s="293"/>
      <c r="AO424" s="293"/>
      <c r="AP424" s="293"/>
      <c r="AQ424" s="293"/>
      <c r="AR424" s="293"/>
      <c r="AS424" s="293"/>
      <c r="AT424" s="293"/>
      <c r="AU424" s="293"/>
      <c r="AV424" s="293"/>
      <c r="AW424" s="293"/>
      <c r="AX424" s="293"/>
      <c r="AY424" s="293"/>
      <c r="AZ424" s="293"/>
      <c r="BA424" s="293"/>
      <c r="BB424" s="293"/>
      <c r="BC424" s="293"/>
      <c r="BD424" s="293"/>
      <c r="BE424" s="293"/>
      <c r="BF424" s="293"/>
      <c r="BG424" s="142"/>
      <c r="BH424" s="293"/>
      <c r="BI424" s="293"/>
      <c r="BJ424" s="293"/>
      <c r="BK424" s="293"/>
      <c r="BL424" s="293"/>
      <c r="BM424" s="293"/>
      <c r="BN424" s="293"/>
      <c r="BO424" s="293"/>
      <c r="BP424" s="293"/>
      <c r="BQ424" s="293"/>
      <c r="BR424" s="293"/>
      <c r="BS424" s="293"/>
      <c r="BT424" s="293"/>
      <c r="BU424" s="293"/>
      <c r="BV424" s="293"/>
      <c r="BW424" s="293"/>
      <c r="BX424" s="293"/>
      <c r="BY424" s="293"/>
      <c r="BZ424" s="293"/>
      <c r="CA424" s="293"/>
      <c r="CJ424" s="6"/>
      <c r="CK424" s="6"/>
      <c r="CL424" s="6"/>
    </row>
    <row r="425" spans="2:90" ht="13.5" customHeight="1">
      <c r="B425" s="1" t="s">
        <v>331</v>
      </c>
      <c r="C425" s="293">
        <f t="shared" ref="C425:N425" si="1525">C105/C$381</f>
        <v>1576.1076503398976</v>
      </c>
      <c r="D425" s="293">
        <f t="shared" si="1525"/>
        <v>1527.9200866548495</v>
      </c>
      <c r="E425" s="293">
        <f t="shared" si="1525"/>
        <v>1757.2411657153052</v>
      </c>
      <c r="F425" s="293">
        <f t="shared" si="1525"/>
        <v>1662.4161177161238</v>
      </c>
      <c r="G425" s="293">
        <f t="shared" si="1525"/>
        <v>1662.4161177161225</v>
      </c>
      <c r="H425" s="293">
        <f t="shared" si="1525"/>
        <v>1642.7253344945029</v>
      </c>
      <c r="I425" s="293">
        <f t="shared" si="1525"/>
        <v>1332.9690116260465</v>
      </c>
      <c r="J425" s="293">
        <f t="shared" si="1525"/>
        <v>1145.8491825345243</v>
      </c>
      <c r="K425" s="293">
        <f t="shared" si="1525"/>
        <v>718.48711407558096</v>
      </c>
      <c r="L425" s="293">
        <f t="shared" si="1525"/>
        <v>1599.6985113882738</v>
      </c>
      <c r="M425" s="293">
        <f t="shared" si="1525"/>
        <v>1017.1400757495609</v>
      </c>
      <c r="N425" s="293">
        <f t="shared" si="1525"/>
        <v>1139.9952622149333</v>
      </c>
      <c r="O425" s="293">
        <f>O105/O$381</f>
        <v>1463.5086200735429</v>
      </c>
      <c r="P425" s="293">
        <f>P105/P$381</f>
        <v>3060.4413372410359</v>
      </c>
      <c r="Q425" s="293"/>
      <c r="R425" s="293">
        <f t="shared" ref="R425:BA425" si="1526">R105/R$381</f>
        <v>315.1865838495147</v>
      </c>
      <c r="S425" s="293">
        <f t="shared" si="1526"/>
        <v>368.61375360703778</v>
      </c>
      <c r="T425" s="293">
        <f t="shared" si="1526"/>
        <v>536.18093714895952</v>
      </c>
      <c r="U425" s="293">
        <f t="shared" si="1526"/>
        <v>535.67286777604932</v>
      </c>
      <c r="V425" s="293">
        <f t="shared" si="1526"/>
        <v>377.78055910323644</v>
      </c>
      <c r="W425" s="293">
        <f t="shared" si="1526"/>
        <v>409.62886095008679</v>
      </c>
      <c r="X425" s="293">
        <f t="shared" si="1526"/>
        <v>333.43545499839621</v>
      </c>
      <c r="Y425" s="293">
        <f t="shared" si="1526"/>
        <v>537.5440542014494</v>
      </c>
      <c r="Z425" s="293">
        <f t="shared" si="1526"/>
        <v>399.47334756066664</v>
      </c>
      <c r="AA425" s="293">
        <f t="shared" si="1526"/>
        <v>406.86881529600015</v>
      </c>
      <c r="AB425" s="293">
        <f t="shared" si="1526"/>
        <v>342.41621127804677</v>
      </c>
      <c r="AC425" s="293">
        <f t="shared" si="1526"/>
        <v>489.76874338826673</v>
      </c>
      <c r="AD425" s="293">
        <f t="shared" si="1526"/>
        <v>274.74594898294004</v>
      </c>
      <c r="AE425" s="293">
        <f t="shared" si="1526"/>
        <v>326.74080253028939</v>
      </c>
      <c r="AF425" s="293">
        <f t="shared" si="1526"/>
        <v>236.2776644602034</v>
      </c>
      <c r="AG425" s="293">
        <f t="shared" si="1526"/>
        <v>309.35453150520294</v>
      </c>
      <c r="AH425" s="293">
        <f t="shared" si="1526"/>
        <v>165.67139105618463</v>
      </c>
      <c r="AI425" s="293">
        <f t="shared" si="1526"/>
        <v>-41.393116314367774</v>
      </c>
      <c r="AJ425" s="293">
        <f t="shared" si="1526"/>
        <v>174.52780367607988</v>
      </c>
      <c r="AK425" s="293">
        <f t="shared" si="1526"/>
        <v>439.04411049636519</v>
      </c>
      <c r="AL425" s="293">
        <f t="shared" si="1526"/>
        <v>331.79513391379885</v>
      </c>
      <c r="AM425" s="293">
        <f t="shared" si="1526"/>
        <v>384.45451064085523</v>
      </c>
      <c r="AN425" s="293">
        <f t="shared" si="1526"/>
        <v>423.07540800562259</v>
      </c>
      <c r="AO425" s="293">
        <f t="shared" si="1526"/>
        <v>452.1765138125561</v>
      </c>
      <c r="AP425" s="293">
        <f t="shared" si="1526"/>
        <v>251.83443823272972</v>
      </c>
      <c r="AQ425" s="293">
        <f t="shared" si="1526"/>
        <v>292.52670137678683</v>
      </c>
      <c r="AR425" s="293">
        <f t="shared" si="1526"/>
        <v>170.30650373989315</v>
      </c>
      <c r="AS425" s="293">
        <f t="shared" si="1526"/>
        <v>145.84324682725816</v>
      </c>
      <c r="AT425" s="293">
        <f t="shared" si="1526"/>
        <v>152.47990992658416</v>
      </c>
      <c r="AU425" s="293">
        <f t="shared" si="1526"/>
        <v>380.81550230332857</v>
      </c>
      <c r="AV425" s="293">
        <f t="shared" si="1526"/>
        <v>170.14055559464404</v>
      </c>
      <c r="AW425" s="293">
        <f t="shared" si="1526"/>
        <v>436.70443864260864</v>
      </c>
      <c r="AX425" s="293">
        <f t="shared" si="1526"/>
        <v>262.08319337343204</v>
      </c>
      <c r="AY425" s="293">
        <f t="shared" si="1526"/>
        <v>385.72113551242688</v>
      </c>
      <c r="AZ425" s="293">
        <f t="shared" si="1526"/>
        <v>272.10191291923269</v>
      </c>
      <c r="BA425" s="293">
        <f t="shared" si="1526"/>
        <v>539.84567867927115</v>
      </c>
      <c r="BB425" s="293">
        <f>BB105/BB$381</f>
        <v>363.80606669415158</v>
      </c>
      <c r="BC425" s="293">
        <f>BC105/BC$381</f>
        <v>821.02734714259043</v>
      </c>
      <c r="BD425" s="293">
        <f>BD105/BD$381</f>
        <v>340.86413910941587</v>
      </c>
      <c r="BE425" s="293">
        <f>BE105/BE$381</f>
        <v>1562.0789583021005</v>
      </c>
      <c r="BF425" s="293">
        <f>BF105/BF$381</f>
        <v>165.3533392738305</v>
      </c>
      <c r="BG425" s="142"/>
      <c r="BH425" s="293"/>
      <c r="BI425" s="293"/>
      <c r="BJ425" s="293"/>
      <c r="BK425" s="293"/>
      <c r="BL425" s="293"/>
      <c r="BM425" s="293"/>
      <c r="BN425" s="293"/>
      <c r="BO425" s="293"/>
      <c r="BP425" s="293"/>
      <c r="BQ425" s="293"/>
      <c r="BR425" s="293"/>
      <c r="BS425" s="293"/>
      <c r="BT425" s="293"/>
      <c r="BU425" s="293"/>
      <c r="BV425" s="293"/>
      <c r="BW425" s="293"/>
      <c r="BX425" s="293"/>
      <c r="BY425" s="293"/>
      <c r="BZ425" s="293"/>
      <c r="CA425" s="293"/>
      <c r="CJ425" s="6"/>
      <c r="CK425" s="6"/>
      <c r="CL425" s="6"/>
    </row>
    <row r="426" spans="2:90" ht="13.5" customHeight="1">
      <c r="B426" s="1" t="s">
        <v>499</v>
      </c>
      <c r="C426" s="293">
        <f t="shared" ref="C426:N426" si="1527">C113/C$381</f>
        <v>1777.6837493463481</v>
      </c>
      <c r="D426" s="293">
        <f t="shared" si="1527"/>
        <v>1700.1295656652878</v>
      </c>
      <c r="E426" s="293">
        <f t="shared" si="1527"/>
        <v>1752.6455836009036</v>
      </c>
      <c r="F426" s="293">
        <f t="shared" si="1527"/>
        <v>1901.6432759020283</v>
      </c>
      <c r="G426" s="293">
        <f t="shared" si="1527"/>
        <v>1928.7863705798259</v>
      </c>
      <c r="H426" s="293">
        <f t="shared" si="1527"/>
        <v>1897.9877251351152</v>
      </c>
      <c r="I426" s="293">
        <f t="shared" si="1527"/>
        <v>1583.2180248941409</v>
      </c>
      <c r="J426" s="293">
        <f t="shared" si="1527"/>
        <v>1221.8280170645949</v>
      </c>
      <c r="K426" s="293">
        <f t="shared" si="1527"/>
        <v>851.121839437277</v>
      </c>
      <c r="L426" s="293">
        <f t="shared" si="1527"/>
        <v>1757.9774436617686</v>
      </c>
      <c r="M426" s="293">
        <f t="shared" si="1527"/>
        <v>1159.2139808634049</v>
      </c>
      <c r="N426" s="293">
        <f t="shared" si="1527"/>
        <v>939.66497780550344</v>
      </c>
      <c r="O426" s="293">
        <f>O113/O$381</f>
        <v>1322.1127578932344</v>
      </c>
      <c r="P426" s="293">
        <f>P113/P$381</f>
        <v>1678.6174963491583</v>
      </c>
      <c r="Q426" s="293"/>
      <c r="R426" s="293">
        <f>R113/R$381</f>
        <v>364.32768100566949</v>
      </c>
      <c r="S426" s="293">
        <f t="shared" ref="S426:BA426" si="1528">S113/S$381</f>
        <v>427.30410261330337</v>
      </c>
      <c r="T426" s="293">
        <f t="shared" si="1528"/>
        <v>388.65413088047876</v>
      </c>
      <c r="U426" s="293">
        <f t="shared" si="1528"/>
        <v>566.17868519721321</v>
      </c>
      <c r="V426" s="293">
        <f t="shared" si="1528"/>
        <v>446.87797373415617</v>
      </c>
      <c r="W426" s="293">
        <f t="shared" si="1528"/>
        <v>457.1790182940602</v>
      </c>
      <c r="X426" s="293">
        <f t="shared" si="1528"/>
        <v>395.77931188793707</v>
      </c>
      <c r="Y426" s="293">
        <f t="shared" si="1528"/>
        <v>598.00510104179227</v>
      </c>
      <c r="Z426" s="293">
        <f t="shared" si="1528"/>
        <v>469.91169891333334</v>
      </c>
      <c r="AA426" s="293">
        <f t="shared" si="1528"/>
        <v>482.35229880600014</v>
      </c>
      <c r="AB426" s="293">
        <f t="shared" si="1528"/>
        <v>410.11568635377648</v>
      </c>
      <c r="AC426" s="293">
        <f t="shared" si="1528"/>
        <v>532.50056412480365</v>
      </c>
      <c r="AD426" s="293">
        <f t="shared" si="1528"/>
        <v>295.9430493924458</v>
      </c>
      <c r="AE426" s="293">
        <f t="shared" si="1528"/>
        <v>341.49300872534388</v>
      </c>
      <c r="AF426" s="293">
        <f t="shared" si="1528"/>
        <v>258.53340480259868</v>
      </c>
      <c r="AG426" s="293">
        <f t="shared" si="1528"/>
        <v>327.02969808348917</v>
      </c>
      <c r="AH426" s="293">
        <f t="shared" si="1528"/>
        <v>179.8261715622709</v>
      </c>
      <c r="AI426" s="293">
        <f t="shared" si="1528"/>
        <v>-36.273986612720044</v>
      </c>
      <c r="AJ426" s="293">
        <f t="shared" si="1528"/>
        <v>191.53043548420135</v>
      </c>
      <c r="AK426" s="293">
        <f t="shared" si="1528"/>
        <v>540.32411391323797</v>
      </c>
      <c r="AL426" s="293">
        <f t="shared" si="1528"/>
        <v>357.33201982901892</v>
      </c>
      <c r="AM426" s="293">
        <f t="shared" si="1528"/>
        <v>407.10039455092061</v>
      </c>
      <c r="AN426" s="293">
        <f t="shared" si="1528"/>
        <v>444.58053353806235</v>
      </c>
      <c r="AO426" s="293">
        <f t="shared" si="1528"/>
        <v>535.01123526136121</v>
      </c>
      <c r="AP426" s="293">
        <f t="shared" si="1528"/>
        <v>286.55384662281216</v>
      </c>
      <c r="AQ426" s="293">
        <f t="shared" si="1528"/>
        <v>231.08924058905532</v>
      </c>
      <c r="AR426" s="293">
        <f t="shared" si="1528"/>
        <v>175.94750421548721</v>
      </c>
      <c r="AS426" s="293">
        <f t="shared" si="1528"/>
        <v>287.95270696797644</v>
      </c>
      <c r="AT426" s="293">
        <f t="shared" si="1528"/>
        <v>173.45783206860384</v>
      </c>
      <c r="AU426" s="293">
        <f t="shared" si="1528"/>
        <v>199.41484534809254</v>
      </c>
      <c r="AV426" s="293">
        <f t="shared" si="1528"/>
        <v>177.69578437580617</v>
      </c>
      <c r="AW426" s="293">
        <f t="shared" si="1528"/>
        <v>386.63299353512537</v>
      </c>
      <c r="AX426" s="293">
        <f t="shared" si="1528"/>
        <v>267.79465123130177</v>
      </c>
      <c r="AY426" s="293">
        <f t="shared" si="1528"/>
        <v>302.03662112700033</v>
      </c>
      <c r="AZ426" s="293">
        <f t="shared" si="1528"/>
        <v>280.39523054155563</v>
      </c>
      <c r="BA426" s="293">
        <f t="shared" si="1528"/>
        <v>468.78677506718816</v>
      </c>
      <c r="BB426" s="293">
        <f>BB113/BB$381</f>
        <v>368.24149789238635</v>
      </c>
      <c r="BC426" s="293">
        <f>BC113/BC$381</f>
        <v>392.64538990129824</v>
      </c>
      <c r="BD426" s="293">
        <f>BD113/BD$381</f>
        <v>339.56987351795101</v>
      </c>
      <c r="BE426" s="293">
        <f>BE113/BE$381</f>
        <v>582.55056539524116</v>
      </c>
      <c r="BF426" s="293">
        <f>BF113/BF$381</f>
        <v>422.76193870760346</v>
      </c>
      <c r="BG426" s="142"/>
      <c r="BH426" s="293"/>
      <c r="BI426" s="293"/>
      <c r="BJ426" s="293"/>
      <c r="BK426" s="293"/>
      <c r="BL426" s="293"/>
      <c r="BM426" s="293"/>
      <c r="BN426" s="293"/>
      <c r="BO426" s="293"/>
      <c r="BP426" s="293"/>
      <c r="BQ426" s="293"/>
      <c r="BR426" s="293"/>
      <c r="BS426" s="293"/>
      <c r="BT426" s="293"/>
      <c r="BU426" s="293"/>
      <c r="BV426" s="293"/>
      <c r="BW426" s="293"/>
      <c r="BX426" s="293"/>
      <c r="BY426" s="293"/>
      <c r="BZ426" s="293"/>
      <c r="CA426" s="293"/>
      <c r="CJ426" s="6"/>
      <c r="CK426" s="6"/>
      <c r="CL426" s="6"/>
    </row>
    <row r="427" spans="2:90" ht="13.5" customHeight="1">
      <c r="B427" s="1" t="s">
        <v>493</v>
      </c>
      <c r="C427" s="293">
        <f t="shared" ref="C427:N427" si="1529">C105/C$381</f>
        <v>1576.1076503398976</v>
      </c>
      <c r="D427" s="293">
        <f t="shared" si="1529"/>
        <v>1527.9200866548495</v>
      </c>
      <c r="E427" s="293">
        <f t="shared" si="1529"/>
        <v>1757.2411657153052</v>
      </c>
      <c r="F427" s="293">
        <f t="shared" si="1529"/>
        <v>1662.4161177161238</v>
      </c>
      <c r="G427" s="293">
        <f t="shared" si="1529"/>
        <v>1662.4161177161225</v>
      </c>
      <c r="H427" s="293">
        <f t="shared" si="1529"/>
        <v>1642.7253344945029</v>
      </c>
      <c r="I427" s="293">
        <f t="shared" si="1529"/>
        <v>1332.9690116260465</v>
      </c>
      <c r="J427" s="293">
        <f t="shared" si="1529"/>
        <v>1145.8491825345243</v>
      </c>
      <c r="K427" s="293">
        <f t="shared" si="1529"/>
        <v>718.48711407558096</v>
      </c>
      <c r="L427" s="293">
        <f t="shared" si="1529"/>
        <v>1599.6985113882738</v>
      </c>
      <c r="M427" s="293">
        <f t="shared" si="1529"/>
        <v>1017.1400757495609</v>
      </c>
      <c r="N427" s="293">
        <f t="shared" si="1529"/>
        <v>1139.9952622149333</v>
      </c>
      <c r="O427" s="293">
        <f>O105/O$381</f>
        <v>1463.5086200735429</v>
      </c>
      <c r="P427" s="293">
        <f>P105/P$381</f>
        <v>3060.4413372410359</v>
      </c>
      <c r="Q427" s="293"/>
      <c r="R427" s="293"/>
      <c r="S427" s="293"/>
      <c r="T427" s="293"/>
      <c r="U427" s="293">
        <f t="shared" ref="U427:BF427" si="1530">SUM(R425:U425)</f>
        <v>1755.6541423815613</v>
      </c>
      <c r="V427" s="293">
        <f t="shared" si="1530"/>
        <v>1818.2481176352831</v>
      </c>
      <c r="W427" s="293">
        <f t="shared" si="1530"/>
        <v>1859.2632249783321</v>
      </c>
      <c r="X427" s="293">
        <f t="shared" si="1530"/>
        <v>1656.5177428277686</v>
      </c>
      <c r="Y427" s="293">
        <f t="shared" si="1530"/>
        <v>1658.3889292531687</v>
      </c>
      <c r="Z427" s="293">
        <f t="shared" si="1530"/>
        <v>1680.0817177105992</v>
      </c>
      <c r="AA427" s="293">
        <f t="shared" si="1530"/>
        <v>1677.3216720565122</v>
      </c>
      <c r="AB427" s="293">
        <f t="shared" si="1530"/>
        <v>1686.3024283361631</v>
      </c>
      <c r="AC427" s="293">
        <f t="shared" si="1530"/>
        <v>1638.5271175229805</v>
      </c>
      <c r="AD427" s="293">
        <f t="shared" si="1530"/>
        <v>1513.7997189452537</v>
      </c>
      <c r="AE427" s="293">
        <f t="shared" si="1530"/>
        <v>1433.671706179543</v>
      </c>
      <c r="AF427" s="293">
        <f t="shared" si="1530"/>
        <v>1327.5331593616995</v>
      </c>
      <c r="AG427" s="293">
        <f t="shared" si="1530"/>
        <v>1147.1189474786356</v>
      </c>
      <c r="AH427" s="293">
        <f t="shared" si="1530"/>
        <v>1038.0443895518804</v>
      </c>
      <c r="AI427" s="293">
        <f t="shared" si="1530"/>
        <v>669.91047070722334</v>
      </c>
      <c r="AJ427" s="293">
        <f t="shared" si="1530"/>
        <v>608.16060992309963</v>
      </c>
      <c r="AK427" s="293">
        <f t="shared" si="1530"/>
        <v>737.85018891426193</v>
      </c>
      <c r="AL427" s="293">
        <f t="shared" si="1530"/>
        <v>903.97393177187621</v>
      </c>
      <c r="AM427" s="293">
        <f t="shared" si="1530"/>
        <v>1329.8215587270993</v>
      </c>
      <c r="AN427" s="293">
        <f t="shared" si="1530"/>
        <v>1578.3691630566418</v>
      </c>
      <c r="AO427" s="293">
        <f t="shared" si="1530"/>
        <v>1591.5015663728327</v>
      </c>
      <c r="AP427" s="293">
        <f t="shared" si="1530"/>
        <v>1511.5408706917638</v>
      </c>
      <c r="AQ427" s="293">
        <f t="shared" si="1530"/>
        <v>1419.6130614276954</v>
      </c>
      <c r="AR427" s="293">
        <f t="shared" si="1530"/>
        <v>1166.8441571619658</v>
      </c>
      <c r="AS427" s="293">
        <f t="shared" si="1530"/>
        <v>860.510890176668</v>
      </c>
      <c r="AT427" s="293">
        <f t="shared" si="1530"/>
        <v>761.15636187052235</v>
      </c>
      <c r="AU427" s="293">
        <f t="shared" si="1530"/>
        <v>849.44516279706397</v>
      </c>
      <c r="AV427" s="293">
        <f t="shared" si="1530"/>
        <v>849.27921465181498</v>
      </c>
      <c r="AW427" s="293">
        <f t="shared" si="1530"/>
        <v>1140.1404064671653</v>
      </c>
      <c r="AX427" s="293">
        <f t="shared" si="1530"/>
        <v>1249.7436899140134</v>
      </c>
      <c r="AY427" s="293">
        <f t="shared" si="1530"/>
        <v>1254.6493231231116</v>
      </c>
      <c r="AZ427" s="293">
        <f t="shared" si="1530"/>
        <v>1356.6106804477004</v>
      </c>
      <c r="BA427" s="293">
        <f>SUM(AX425:BA425)</f>
        <v>1459.7519204843629</v>
      </c>
      <c r="BB427" s="293">
        <f t="shared" si="1530"/>
        <v>1561.4747938050823</v>
      </c>
      <c r="BC427" s="293">
        <f t="shared" si="1530"/>
        <v>1996.7810054352458</v>
      </c>
      <c r="BD427" s="293">
        <f t="shared" si="1530"/>
        <v>2065.5432316254291</v>
      </c>
      <c r="BE427" s="293">
        <f>SUM(BB425:BE425)</f>
        <v>3087.7765112482584</v>
      </c>
      <c r="BF427" s="293">
        <f t="shared" si="1530"/>
        <v>2889.3237838279374</v>
      </c>
      <c r="BG427" s="142"/>
      <c r="BH427" s="293"/>
      <c r="BI427" s="293"/>
      <c r="BJ427" s="293"/>
      <c r="BK427" s="293"/>
      <c r="BL427" s="293"/>
      <c r="BM427" s="293"/>
      <c r="BN427" s="293"/>
      <c r="BO427" s="293"/>
      <c r="BP427" s="293"/>
      <c r="BQ427" s="293"/>
      <c r="BR427" s="293"/>
      <c r="BS427" s="293"/>
      <c r="BT427" s="293"/>
      <c r="BU427" s="293"/>
      <c r="BV427" s="293"/>
      <c r="BW427" s="293"/>
      <c r="BX427" s="293"/>
      <c r="BY427" s="293"/>
      <c r="BZ427" s="293"/>
      <c r="CA427" s="293"/>
      <c r="CJ427" s="6"/>
      <c r="CK427" s="6"/>
      <c r="CL427" s="6"/>
    </row>
    <row r="428" spans="2:90" ht="13.5" customHeight="1">
      <c r="B428" s="1" t="s">
        <v>500</v>
      </c>
      <c r="C428" s="293">
        <f t="shared" ref="C428:J428" si="1531">C399</f>
        <v>1561.279414328046</v>
      </c>
      <c r="D428" s="293">
        <f t="shared" si="1531"/>
        <v>1476.7910436455634</v>
      </c>
      <c r="E428" s="293">
        <f t="shared" si="1531"/>
        <v>1518.3211440123675</v>
      </c>
      <c r="F428" s="293">
        <f t="shared" si="1531"/>
        <v>1653.7383879225606</v>
      </c>
      <c r="G428" s="293">
        <f t="shared" si="1531"/>
        <v>1657.4016430398115</v>
      </c>
      <c r="H428" s="293">
        <f t="shared" si="1531"/>
        <v>1606.7015000488796</v>
      </c>
      <c r="I428" s="293">
        <f t="shared" si="1531"/>
        <v>1296.0825676840936</v>
      </c>
      <c r="J428" s="293">
        <f t="shared" si="1531"/>
        <v>1116.5040999649646</v>
      </c>
      <c r="K428" s="293">
        <f t="shared" ref="K428:P428" si="1532">K399</f>
        <v>774.55340764434391</v>
      </c>
      <c r="L428" s="293">
        <f t="shared" si="1532"/>
        <v>1638.2937492769518</v>
      </c>
      <c r="M428" s="293">
        <f t="shared" si="1532"/>
        <v>1004.6809586819417</v>
      </c>
      <c r="N428" s="293">
        <f t="shared" si="1532"/>
        <v>818.02951562902183</v>
      </c>
      <c r="O428" s="293">
        <f t="shared" si="1532"/>
        <v>1214.7293219597088</v>
      </c>
      <c r="P428" s="293">
        <f t="shared" si="1532"/>
        <v>1580.8093352386286</v>
      </c>
      <c r="Q428" s="293"/>
      <c r="R428" s="293"/>
      <c r="S428" s="293"/>
      <c r="T428" s="293"/>
      <c r="U428" s="293">
        <f>SUM(R395:U395)</f>
        <v>1513.0430060838485</v>
      </c>
      <c r="V428" s="293">
        <f t="shared" ref="V428:BF428" si="1533">SUM(S395:V395)</f>
        <v>1586.2471524339419</v>
      </c>
      <c r="W428" s="293">
        <f t="shared" si="1533"/>
        <v>1613.5345700815074</v>
      </c>
      <c r="X428" s="293">
        <f t="shared" si="1533"/>
        <v>1619.9493377849076</v>
      </c>
      <c r="Y428" s="293">
        <f t="shared" si="1533"/>
        <v>1650.0365367540826</v>
      </c>
      <c r="Z428" s="293">
        <f t="shared" si="1533"/>
        <v>1663.6642202845087</v>
      </c>
      <c r="AA428" s="293">
        <f t="shared" si="1533"/>
        <v>1675.4075943752973</v>
      </c>
      <c r="AB428" s="293">
        <f t="shared" si="1533"/>
        <v>1680.3665613032731</v>
      </c>
      <c r="AC428" s="293">
        <f t="shared" si="1533"/>
        <v>1603.8943749498985</v>
      </c>
      <c r="AD428" s="293">
        <f t="shared" si="1533"/>
        <v>1479.0878256391782</v>
      </c>
      <c r="AE428" s="293">
        <f t="shared" si="1533"/>
        <v>1383.8706172075485</v>
      </c>
      <c r="AF428" s="293">
        <f t="shared" si="1533"/>
        <v>1274.6245937370381</v>
      </c>
      <c r="AG428" s="293">
        <f t="shared" si="1533"/>
        <v>1118.0372846424716</v>
      </c>
      <c r="AH428" s="293">
        <f t="shared" si="1533"/>
        <v>1007.7529038230824</v>
      </c>
      <c r="AI428" s="293">
        <f t="shared" si="1533"/>
        <v>651.24558052261239</v>
      </c>
      <c r="AJ428" s="293">
        <f t="shared" si="1533"/>
        <v>591.87794021385071</v>
      </c>
      <c r="AK428" s="293">
        <f t="shared" si="1533"/>
        <v>797.32842222434715</v>
      </c>
      <c r="AL428" s="293">
        <f t="shared" si="1533"/>
        <v>969.74082193124013</v>
      </c>
      <c r="AM428" s="293">
        <f t="shared" si="1533"/>
        <v>1399.4108596251122</v>
      </c>
      <c r="AN428" s="293">
        <f t="shared" si="1533"/>
        <v>1644.9392963637083</v>
      </c>
      <c r="AO428" s="293">
        <f t="shared" si="1533"/>
        <v>1627.1146699080741</v>
      </c>
      <c r="AP428" s="293">
        <f t="shared" si="1533"/>
        <v>1538.770159103786</v>
      </c>
      <c r="AQ428" s="293">
        <f t="shared" si="1533"/>
        <v>1353.9396182162679</v>
      </c>
      <c r="AR428" s="293">
        <f t="shared" si="1533"/>
        <v>1080.4502515525551</v>
      </c>
      <c r="AS428" s="293">
        <f t="shared" si="1533"/>
        <v>850.91105349166503</v>
      </c>
      <c r="AT428" s="293">
        <f t="shared" si="1533"/>
        <v>747.43113335055477</v>
      </c>
      <c r="AU428" s="293">
        <f t="shared" si="1533"/>
        <v>716.77596829333902</v>
      </c>
      <c r="AV428" s="293">
        <f t="shared" si="1533"/>
        <v>724.62244053554355</v>
      </c>
      <c r="AW428" s="293">
        <f t="shared" si="1533"/>
        <v>815.66653783218703</v>
      </c>
      <c r="AX428" s="293">
        <f t="shared" si="1533"/>
        <v>911.72043447711042</v>
      </c>
      <c r="AY428" s="293">
        <f t="shared" si="1533"/>
        <v>1015.1445257592302</v>
      </c>
      <c r="AZ428" s="293">
        <f t="shared" si="1533"/>
        <v>1118.7738211951762</v>
      </c>
      <c r="BA428" s="293">
        <f t="shared" si="1533"/>
        <v>1211.6741531120447</v>
      </c>
      <c r="BB428" s="293">
        <f t="shared" si="1533"/>
        <v>1316.3296925487621</v>
      </c>
      <c r="BC428" s="293">
        <f t="shared" si="1533"/>
        <v>1411.7231872395321</v>
      </c>
      <c r="BD428" s="293">
        <f t="shared" si="1533"/>
        <v>1472.2521249400015</v>
      </c>
      <c r="BE428" s="293">
        <f t="shared" si="1533"/>
        <v>1585.0608260442502</v>
      </c>
      <c r="BF428" s="293">
        <f t="shared" si="1533"/>
        <v>1637.3720865882046</v>
      </c>
      <c r="BG428" s="142"/>
      <c r="BH428" s="293"/>
      <c r="BI428" s="293"/>
      <c r="BJ428" s="293"/>
      <c r="BK428" s="293"/>
      <c r="BL428" s="293">
        <f>BL360/AVERAGE(BI$381:BL$381)</f>
        <v>766.96242885730419</v>
      </c>
      <c r="BM428" s="293"/>
      <c r="BN428" s="293"/>
      <c r="BO428" s="293"/>
      <c r="BP428" s="293"/>
      <c r="BQ428" s="293">
        <f>AE428</f>
        <v>1383.8706172075485</v>
      </c>
      <c r="BR428" s="293">
        <f>AI428</f>
        <v>651.24558052261239</v>
      </c>
      <c r="BS428" s="293">
        <f t="shared" ref="BS428:BW429" si="1534">AM428</f>
        <v>1399.4108596251122</v>
      </c>
      <c r="BT428" s="293">
        <f t="shared" si="1534"/>
        <v>1644.9392963637083</v>
      </c>
      <c r="BU428" s="293">
        <f t="shared" si="1534"/>
        <v>1627.1146699080741</v>
      </c>
      <c r="BV428" s="293">
        <f t="shared" si="1534"/>
        <v>1538.770159103786</v>
      </c>
      <c r="BW428" s="293">
        <f t="shared" si="1534"/>
        <v>1353.9396182162679</v>
      </c>
      <c r="BX428" s="293"/>
      <c r="BY428" s="293"/>
      <c r="BZ428" s="293"/>
      <c r="CA428" s="293"/>
      <c r="CJ428" s="6"/>
      <c r="CK428" s="6"/>
      <c r="CL428" s="6"/>
    </row>
    <row r="429" spans="2:90" ht="13.5" customHeight="1">
      <c r="B429" s="1" t="s">
        <v>501</v>
      </c>
      <c r="C429" s="293">
        <f t="shared" ref="C429:H429" si="1535">C361/C$381</f>
        <v>1777.6837493463481</v>
      </c>
      <c r="D429" s="293">
        <f t="shared" si="1535"/>
        <v>1700.1295656652878</v>
      </c>
      <c r="E429" s="293">
        <f t="shared" si="1535"/>
        <v>1752.6455836009036</v>
      </c>
      <c r="F429" s="293">
        <f t="shared" si="1535"/>
        <v>1901.6432759020283</v>
      </c>
      <c r="G429" s="293">
        <f t="shared" si="1535"/>
        <v>1928.7863705798259</v>
      </c>
      <c r="H429" s="293">
        <f t="shared" si="1535"/>
        <v>1897.9877251351152</v>
      </c>
      <c r="I429" s="293">
        <f t="shared" ref="I429:O429" si="1536">I361/I$381</f>
        <v>1583.2180248941409</v>
      </c>
      <c r="J429" s="293">
        <f t="shared" si="1536"/>
        <v>1221.8280170645949</v>
      </c>
      <c r="K429" s="293">
        <f t="shared" si="1536"/>
        <v>851.121839437277</v>
      </c>
      <c r="L429" s="293">
        <f t="shared" si="1536"/>
        <v>1757.9774436617686</v>
      </c>
      <c r="M429" s="293">
        <f t="shared" si="1536"/>
        <v>1159.2139808634049</v>
      </c>
      <c r="N429" s="293">
        <f t="shared" si="1536"/>
        <v>939.66497780550344</v>
      </c>
      <c r="O429" s="293">
        <f t="shared" si="1536"/>
        <v>1322.1127578932344</v>
      </c>
      <c r="P429" s="293">
        <f>P361/P$381</f>
        <v>1678.6174963491583</v>
      </c>
      <c r="Q429" s="293"/>
      <c r="R429" s="293"/>
      <c r="S429" s="293"/>
      <c r="T429" s="293"/>
      <c r="U429" s="293">
        <f>SUM(R426:U426)</f>
        <v>1746.4645996966647</v>
      </c>
      <c r="V429" s="293">
        <f t="shared" ref="V429:BF429" si="1537">SUM(S426:V426)</f>
        <v>1829.0148924251516</v>
      </c>
      <c r="W429" s="293">
        <f t="shared" si="1537"/>
        <v>1858.8898081059083</v>
      </c>
      <c r="X429" s="293">
        <f t="shared" si="1537"/>
        <v>1866.0149891133665</v>
      </c>
      <c r="Y429" s="293">
        <f t="shared" si="1537"/>
        <v>1897.841404957946</v>
      </c>
      <c r="Z429" s="293">
        <f t="shared" si="1537"/>
        <v>1920.8751301371228</v>
      </c>
      <c r="AA429" s="293">
        <f t="shared" si="1537"/>
        <v>1946.0484106490628</v>
      </c>
      <c r="AB429" s="293">
        <f t="shared" si="1537"/>
        <v>1960.3847851149021</v>
      </c>
      <c r="AC429" s="293">
        <f t="shared" si="1537"/>
        <v>1894.8802481979137</v>
      </c>
      <c r="AD429" s="293">
        <f t="shared" si="1537"/>
        <v>1720.9115986770259</v>
      </c>
      <c r="AE429" s="293">
        <f t="shared" si="1537"/>
        <v>1580.0523085963696</v>
      </c>
      <c r="AF429" s="293">
        <f t="shared" si="1537"/>
        <v>1428.470027045192</v>
      </c>
      <c r="AG429" s="293">
        <f t="shared" si="1537"/>
        <v>1222.9991610038776</v>
      </c>
      <c r="AH429" s="293">
        <f t="shared" si="1537"/>
        <v>1106.8822831737027</v>
      </c>
      <c r="AI429" s="293">
        <f t="shared" si="1537"/>
        <v>729.1152878356387</v>
      </c>
      <c r="AJ429" s="293">
        <f t="shared" si="1537"/>
        <v>662.11231851724142</v>
      </c>
      <c r="AK429" s="293">
        <f t="shared" si="1537"/>
        <v>875.40673434699011</v>
      </c>
      <c r="AL429" s="293">
        <f t="shared" si="1537"/>
        <v>1052.9125826137383</v>
      </c>
      <c r="AM429" s="293">
        <f t="shared" si="1537"/>
        <v>1496.2869637773788</v>
      </c>
      <c r="AN429" s="293">
        <f t="shared" si="1537"/>
        <v>1749.3370618312399</v>
      </c>
      <c r="AO429" s="293">
        <f t="shared" si="1537"/>
        <v>1744.024183179363</v>
      </c>
      <c r="AP429" s="293">
        <f t="shared" si="1537"/>
        <v>1673.2460099731563</v>
      </c>
      <c r="AQ429" s="293">
        <f t="shared" si="1537"/>
        <v>1497.2348560112912</v>
      </c>
      <c r="AR429" s="293">
        <f t="shared" si="1537"/>
        <v>1228.6018266887161</v>
      </c>
      <c r="AS429" s="293">
        <f t="shared" si="1537"/>
        <v>981.54329839533125</v>
      </c>
      <c r="AT429" s="293">
        <f t="shared" si="1537"/>
        <v>868.44728384112284</v>
      </c>
      <c r="AU429" s="293">
        <f t="shared" si="1537"/>
        <v>836.77288860015994</v>
      </c>
      <c r="AV429" s="293">
        <f t="shared" si="1537"/>
        <v>838.52116876047899</v>
      </c>
      <c r="AW429" s="293">
        <f>SUM(AT426:AW426)</f>
        <v>937.20145532762797</v>
      </c>
      <c r="AX429" s="293">
        <f t="shared" si="1537"/>
        <v>1031.5382744903259</v>
      </c>
      <c r="AY429" s="293">
        <f t="shared" si="1537"/>
        <v>1134.1600502692336</v>
      </c>
      <c r="AZ429" s="293">
        <f t="shared" si="1537"/>
        <v>1236.8594964349832</v>
      </c>
      <c r="BA429" s="293">
        <f t="shared" si="1537"/>
        <v>1319.013277967046</v>
      </c>
      <c r="BB429" s="293">
        <f t="shared" si="1537"/>
        <v>1419.4601246281306</v>
      </c>
      <c r="BC429" s="293">
        <f t="shared" si="1537"/>
        <v>1510.0688934024283</v>
      </c>
      <c r="BD429" s="293">
        <f t="shared" si="1537"/>
        <v>1569.2435363788238</v>
      </c>
      <c r="BE429" s="293">
        <f t="shared" si="1537"/>
        <v>1683.0073267068767</v>
      </c>
      <c r="BF429" s="293">
        <f t="shared" si="1537"/>
        <v>1737.5277675220937</v>
      </c>
      <c r="BG429" s="142"/>
      <c r="BH429" s="293"/>
      <c r="BI429" s="293"/>
      <c r="BJ429" s="293"/>
      <c r="BK429" s="293"/>
      <c r="BL429" s="293">
        <f>BL361/AVERAGE(BI$381:BL$381)</f>
        <v>851.29991198089692</v>
      </c>
      <c r="BM429" s="293"/>
      <c r="BN429" s="293"/>
      <c r="BO429" s="293"/>
      <c r="BP429" s="293"/>
      <c r="BQ429" s="293">
        <f>AE429</f>
        <v>1580.0523085963696</v>
      </c>
      <c r="BR429" s="293">
        <f>AI429</f>
        <v>729.1152878356387</v>
      </c>
      <c r="BS429" s="293">
        <f t="shared" si="1534"/>
        <v>1496.2869637773788</v>
      </c>
      <c r="BT429" s="293">
        <f t="shared" si="1534"/>
        <v>1749.3370618312399</v>
      </c>
      <c r="BU429" s="293">
        <f t="shared" si="1534"/>
        <v>1744.024183179363</v>
      </c>
      <c r="BV429" s="293">
        <f t="shared" si="1534"/>
        <v>1673.2460099731563</v>
      </c>
      <c r="BW429" s="293">
        <f t="shared" si="1534"/>
        <v>1497.2348560112912</v>
      </c>
      <c r="BX429" s="293"/>
      <c r="BY429" s="293"/>
      <c r="BZ429" s="293"/>
      <c r="CA429" s="293"/>
      <c r="CJ429" s="6"/>
      <c r="CK429" s="6"/>
      <c r="CL429" s="6"/>
    </row>
    <row r="430" spans="2:90" ht="13.5" customHeight="1">
      <c r="C430" s="293"/>
      <c r="D430" s="293"/>
      <c r="E430" s="293"/>
      <c r="F430" s="293"/>
      <c r="G430" s="293"/>
      <c r="H430" s="293"/>
      <c r="I430" s="293"/>
      <c r="J430" s="293"/>
      <c r="K430" s="293"/>
      <c r="L430" s="293"/>
      <c r="M430" s="293"/>
      <c r="N430" s="293"/>
      <c r="O430" s="293"/>
      <c r="P430" s="293"/>
      <c r="Q430" s="293"/>
      <c r="R430" s="293"/>
      <c r="S430" s="293"/>
      <c r="T430" s="293"/>
      <c r="U430" s="293"/>
      <c r="V430" s="293"/>
      <c r="W430" s="293"/>
      <c r="X430" s="293"/>
      <c r="Y430" s="293"/>
      <c r="Z430" s="293"/>
      <c r="AA430" s="293"/>
      <c r="AB430" s="293"/>
      <c r="AC430" s="293"/>
      <c r="AD430" s="293"/>
      <c r="AE430" s="293"/>
      <c r="AF430" s="293"/>
      <c r="AG430" s="293"/>
      <c r="AH430" s="293"/>
      <c r="AI430" s="293"/>
      <c r="AJ430" s="293"/>
      <c r="AK430" s="293"/>
      <c r="AL430" s="293"/>
      <c r="AM430" s="293"/>
      <c r="AN430" s="293"/>
      <c r="AO430" s="293"/>
      <c r="AP430" s="293"/>
      <c r="AQ430" s="293"/>
      <c r="AR430" s="293"/>
      <c r="AS430" s="293"/>
      <c r="AT430" s="293"/>
      <c r="AU430" s="293"/>
      <c r="AV430" s="293"/>
      <c r="AW430" s="293"/>
      <c r="AX430" s="293"/>
      <c r="AY430" s="293"/>
      <c r="AZ430" s="293"/>
      <c r="BA430" s="293"/>
      <c r="BB430" s="293"/>
      <c r="BC430" s="293"/>
      <c r="BD430" s="293"/>
      <c r="BE430" s="293"/>
      <c r="BF430" s="293"/>
      <c r="BG430" s="142"/>
      <c r="BH430" s="293"/>
      <c r="BI430" s="293"/>
      <c r="BJ430" s="293"/>
      <c r="BK430" s="293"/>
      <c r="BL430" s="293"/>
      <c r="BM430" s="293"/>
      <c r="BN430" s="293"/>
      <c r="BO430" s="293"/>
      <c r="BP430" s="293"/>
      <c r="BQ430" s="293"/>
      <c r="BR430" s="293"/>
      <c r="BS430" s="293"/>
      <c r="BT430" s="293"/>
      <c r="BU430" s="293"/>
      <c r="BV430" s="293"/>
      <c r="BW430" s="293"/>
      <c r="BX430" s="293"/>
      <c r="BY430" s="293"/>
      <c r="BZ430" s="293"/>
      <c r="CA430" s="293"/>
      <c r="CJ430" s="6"/>
      <c r="CK430" s="6"/>
      <c r="CL430" s="6"/>
    </row>
    <row r="431" spans="2:90" s="5" customFormat="1" ht="13.5" customHeight="1">
      <c r="B431" s="5" t="s">
        <v>455</v>
      </c>
      <c r="C431" s="347">
        <f t="shared" ref="C431:H432" si="1538">C363/C$382</f>
        <v>4681.49955848435</v>
      </c>
      <c r="D431" s="347">
        <f t="shared" si="1538"/>
        <v>4564.6656065527468</v>
      </c>
      <c r="E431" s="347">
        <f t="shared" si="1538"/>
        <v>5300.2703497023813</v>
      </c>
      <c r="F431" s="347">
        <f t="shared" si="1538"/>
        <v>5856.9140142170863</v>
      </c>
      <c r="G431" s="347">
        <f t="shared" si="1538"/>
        <v>5856.9140142170863</v>
      </c>
      <c r="H431" s="347">
        <f t="shared" si="1538"/>
        <v>4963.3285129682999</v>
      </c>
      <c r="I431" s="347">
        <f t="shared" ref="I431:O432" si="1539">I363/I$382</f>
        <v>4390.9335187319884</v>
      </c>
      <c r="J431" s="347">
        <f t="shared" si="1539"/>
        <v>5253.1330023004202</v>
      </c>
      <c r="K431" s="347">
        <f t="shared" si="1539"/>
        <v>4886.1820871617629</v>
      </c>
      <c r="L431" s="347">
        <f t="shared" si="1539"/>
        <v>4926.9584678651154</v>
      </c>
      <c r="M431" s="347">
        <f t="shared" si="1539"/>
        <v>5403.5427039941833</v>
      </c>
      <c r="N431" s="347">
        <f t="shared" si="1539"/>
        <v>5385.6236308555699</v>
      </c>
      <c r="O431" s="347">
        <f t="shared" si="1539"/>
        <v>4401.9292635502716</v>
      </c>
      <c r="P431" s="347">
        <f>P363/P$382</f>
        <v>3650.9073746738468</v>
      </c>
      <c r="Q431" s="347"/>
      <c r="R431" s="347">
        <f t="shared" ref="R431:AF431" si="1540">R363/R$382</f>
        <v>4663.424819583769</v>
      </c>
      <c r="S431" s="347">
        <f t="shared" si="1540"/>
        <v>4961.467972871138</v>
      </c>
      <c r="T431" s="347">
        <f t="shared" si="1540"/>
        <v>5154.8943061364153</v>
      </c>
      <c r="U431" s="347">
        <f t="shared" si="1540"/>
        <v>5300.2703497023813</v>
      </c>
      <c r="V431" s="347">
        <f t="shared" si="1540"/>
        <v>5337.3576958595113</v>
      </c>
      <c r="W431" s="347">
        <f t="shared" si="1540"/>
        <v>5482.9731887659063</v>
      </c>
      <c r="X431" s="347">
        <f t="shared" si="1540"/>
        <v>5717.6188440481792</v>
      </c>
      <c r="Y431" s="347">
        <f t="shared" si="1540"/>
        <v>5856.9140142170863</v>
      </c>
      <c r="Z431" s="347">
        <f t="shared" si="1540"/>
        <v>5926.037839133669</v>
      </c>
      <c r="AA431" s="347">
        <f t="shared" si="1540"/>
        <v>5834.496166539343</v>
      </c>
      <c r="AB431" s="347">
        <f t="shared" si="1540"/>
        <v>6089.0786459759629</v>
      </c>
      <c r="AC431" s="347">
        <f t="shared" si="1540"/>
        <v>4963.3285129682999</v>
      </c>
      <c r="AD431" s="347">
        <f t="shared" si="1540"/>
        <v>5848.3608518464025</v>
      </c>
      <c r="AE431" s="347">
        <f t="shared" si="1540"/>
        <v>5974.1236636610083</v>
      </c>
      <c r="AF431" s="347">
        <f t="shared" si="1540"/>
        <v>5732.5771054665947</v>
      </c>
      <c r="AG431" s="347">
        <f t="shared" ref="AG431:BA431" si="1541">AG363/AG$382</f>
        <v>5253.1330023004202</v>
      </c>
      <c r="AH431" s="347">
        <f t="shared" si="1541"/>
        <v>5210.014638739588</v>
      </c>
      <c r="AI431" s="347">
        <f t="shared" si="1541"/>
        <v>5198.6336970154525</v>
      </c>
      <c r="AJ431" s="347">
        <f t="shared" si="1541"/>
        <v>5272.123066821363</v>
      </c>
      <c r="AK431" s="347">
        <f t="shared" si="1541"/>
        <v>4886.1820871617629</v>
      </c>
      <c r="AL431" s="347">
        <f t="shared" si="1541"/>
        <v>5059.8179920449493</v>
      </c>
      <c r="AM431" s="347">
        <f t="shared" si="1541"/>
        <v>4815.8077793512903</v>
      </c>
      <c r="AN431" s="347">
        <f t="shared" si="1541"/>
        <v>4903.9783888998627</v>
      </c>
      <c r="AO431" s="347">
        <f t="shared" si="1541"/>
        <v>4926.9584678651154</v>
      </c>
      <c r="AP431" s="347">
        <f t="shared" si="1541"/>
        <v>5707.4183015066465</v>
      </c>
      <c r="AQ431" s="347">
        <f t="shared" si="1541"/>
        <v>6583.7668680701026</v>
      </c>
      <c r="AR431" s="347">
        <f t="shared" si="1541"/>
        <v>5787.5440731314602</v>
      </c>
      <c r="AS431" s="347">
        <f t="shared" si="1541"/>
        <v>6135.5512903986801</v>
      </c>
      <c r="AT431" s="347">
        <f t="shared" si="1541"/>
        <v>6421.1160574148134</v>
      </c>
      <c r="AU431" s="347">
        <f t="shared" si="1541"/>
        <v>6502.2849071935834</v>
      </c>
      <c r="AV431" s="347">
        <f t="shared" si="1541"/>
        <v>5784.1323453463565</v>
      </c>
      <c r="AW431" s="347">
        <f t="shared" si="1541"/>
        <v>5385.6236308555699</v>
      </c>
      <c r="AX431" s="347">
        <f t="shared" si="1541"/>
        <v>5283.2335689717056</v>
      </c>
      <c r="AY431" s="347">
        <f t="shared" si="1541"/>
        <v>5418.6893923121897</v>
      </c>
      <c r="AZ431" s="347">
        <f t="shared" si="1541"/>
        <v>4695.7254281758333</v>
      </c>
      <c r="BA431" s="347">
        <f t="shared" si="1541"/>
        <v>4401.9292635502716</v>
      </c>
      <c r="BB431" s="347">
        <f t="shared" ref="BB431:BE432" si="1542">BB363/BB$382</f>
        <v>4530.7505465779996</v>
      </c>
      <c r="BC431" s="347">
        <f t="shared" si="1542"/>
        <v>4177.0906826945866</v>
      </c>
      <c r="BD431" s="347">
        <f t="shared" si="1542"/>
        <v>4005.5648633476453</v>
      </c>
      <c r="BE431" s="347">
        <f t="shared" si="1542"/>
        <v>3650.9073746738468</v>
      </c>
      <c r="BF431" s="347">
        <f>BF363/BF$382</f>
        <v>3450.2577380245507</v>
      </c>
      <c r="BG431" s="142"/>
      <c r="BH431" s="347"/>
      <c r="BI431" s="347"/>
      <c r="BJ431" s="347"/>
      <c r="BK431" s="347"/>
      <c r="BL431" s="347">
        <f>BL363/BL$382</f>
        <v>5839.045071355009</v>
      </c>
      <c r="BM431" s="347"/>
      <c r="BN431" s="347"/>
      <c r="BO431" s="347"/>
      <c r="BP431" s="347"/>
      <c r="BQ431" s="347">
        <f>AE431</f>
        <v>5974.1236636610083</v>
      </c>
      <c r="BR431" s="347">
        <f>AI431</f>
        <v>5198.6336970154525</v>
      </c>
      <c r="BS431" s="347">
        <f t="shared" ref="BS431:BW432" si="1543">AM431</f>
        <v>4815.8077793512903</v>
      </c>
      <c r="BT431" s="347">
        <f t="shared" si="1543"/>
        <v>4903.9783888998627</v>
      </c>
      <c r="BU431" s="347">
        <f t="shared" si="1543"/>
        <v>4926.9584678651154</v>
      </c>
      <c r="BV431" s="347">
        <f t="shared" si="1543"/>
        <v>5707.4183015066465</v>
      </c>
      <c r="BW431" s="347">
        <f t="shared" si="1543"/>
        <v>6583.7668680701026</v>
      </c>
      <c r="BX431" s="347"/>
      <c r="BY431" s="347"/>
      <c r="BZ431" s="347"/>
      <c r="CA431" s="347"/>
      <c r="CJ431" s="8"/>
      <c r="CK431" s="8"/>
      <c r="CL431" s="8"/>
    </row>
    <row r="432" spans="2:90" ht="13.5" customHeight="1">
      <c r="B432" s="5" t="s">
        <v>456</v>
      </c>
      <c r="C432" s="293">
        <f t="shared" si="1538"/>
        <v>5029.4729818780888</v>
      </c>
      <c r="D432" s="293">
        <f t="shared" si="1538"/>
        <v>4857.4324841124135</v>
      </c>
      <c r="E432" s="293">
        <f t="shared" si="1538"/>
        <v>5599.8531383928575</v>
      </c>
      <c r="F432" s="293">
        <f t="shared" si="1538"/>
        <v>6233.4837120228513</v>
      </c>
      <c r="G432" s="293">
        <f t="shared" si="1538"/>
        <v>6233.4837120228513</v>
      </c>
      <c r="H432" s="293">
        <f t="shared" si="1538"/>
        <v>5470.6779438040348</v>
      </c>
      <c r="I432" s="293">
        <f t="shared" si="1539"/>
        <v>4848.4138962536026</v>
      </c>
      <c r="J432" s="293">
        <f t="shared" si="1539"/>
        <v>5653.0185331610055</v>
      </c>
      <c r="K432" s="293">
        <f t="shared" si="1539"/>
        <v>6594.8475736884993</v>
      </c>
      <c r="L432" s="293">
        <f t="shared" si="1539"/>
        <v>5553.5188461990356</v>
      </c>
      <c r="M432" s="293">
        <f t="shared" si="1539"/>
        <v>6051.8289565262567</v>
      </c>
      <c r="N432" s="293">
        <f t="shared" si="1539"/>
        <v>6608.6767907373705</v>
      </c>
      <c r="O432" s="293">
        <f t="shared" si="1539"/>
        <v>6052.5288917993139</v>
      </c>
      <c r="P432" s="293">
        <f>P364/P$382</f>
        <v>5410.4379825681453</v>
      </c>
      <c r="Q432" s="293"/>
      <c r="R432" s="293">
        <f t="shared" ref="R432:AF432" si="1544">R364/R$382</f>
        <v>4952.6989624195239</v>
      </c>
      <c r="S432" s="293">
        <f t="shared" si="1544"/>
        <v>5228.4385832705348</v>
      </c>
      <c r="T432" s="293">
        <f t="shared" si="1544"/>
        <v>5397.7536734849064</v>
      </c>
      <c r="U432" s="293">
        <f t="shared" si="1544"/>
        <v>5599.8531383928575</v>
      </c>
      <c r="V432" s="293">
        <f t="shared" si="1544"/>
        <v>5631.7965362198174</v>
      </c>
      <c r="W432" s="293">
        <f t="shared" si="1544"/>
        <v>5749.2652917701989</v>
      </c>
      <c r="X432" s="293">
        <f t="shared" si="1544"/>
        <v>6044.4413921476626</v>
      </c>
      <c r="Y432" s="293">
        <f t="shared" si="1544"/>
        <v>6233.4837120228513</v>
      </c>
      <c r="Z432" s="293">
        <f t="shared" si="1544"/>
        <v>6287.6454195255019</v>
      </c>
      <c r="AA432" s="293">
        <f t="shared" si="1544"/>
        <v>6160.490048892284</v>
      </c>
      <c r="AB432" s="293">
        <f t="shared" si="1544"/>
        <v>6403.2586459759623</v>
      </c>
      <c r="AC432" s="293">
        <f t="shared" si="1544"/>
        <v>5470.6779438040348</v>
      </c>
      <c r="AD432" s="293">
        <f t="shared" si="1544"/>
        <v>6280.365290569368</v>
      </c>
      <c r="AE432" s="293">
        <f t="shared" si="1544"/>
        <v>6258.4017356199902</v>
      </c>
      <c r="AF432" s="293">
        <f t="shared" si="1544"/>
        <v>6047.2276799355704</v>
      </c>
      <c r="AG432" s="293">
        <f t="shared" ref="AG432:BA432" si="1545">AG364/AG$382</f>
        <v>5653.0185331610055</v>
      </c>
      <c r="AH432" s="293">
        <f t="shared" si="1545"/>
        <v>6277.9308329757096</v>
      </c>
      <c r="AI432" s="293">
        <f t="shared" si="1545"/>
        <v>6941.1234039185119</v>
      </c>
      <c r="AJ432" s="293">
        <f t="shared" si="1545"/>
        <v>6819.4583134649956</v>
      </c>
      <c r="AK432" s="293">
        <f t="shared" si="1545"/>
        <v>6594.8475736884993</v>
      </c>
      <c r="AL432" s="293">
        <f t="shared" si="1545"/>
        <v>6478.0896848575876</v>
      </c>
      <c r="AM432" s="293">
        <f t="shared" si="1545"/>
        <v>5925.4172322231007</v>
      </c>
      <c r="AN432" s="293">
        <f t="shared" si="1545"/>
        <v>5554.9345439905619</v>
      </c>
      <c r="AO432" s="293">
        <f t="shared" si="1545"/>
        <v>5553.5188461990356</v>
      </c>
      <c r="AP432" s="293">
        <f t="shared" si="1545"/>
        <v>6154.3995488931423</v>
      </c>
      <c r="AQ432" s="293">
        <f t="shared" si="1545"/>
        <v>7282.5287772724942</v>
      </c>
      <c r="AR432" s="293">
        <f t="shared" si="1545"/>
        <v>6471.3019716407834</v>
      </c>
      <c r="AS432" s="293">
        <f t="shared" si="1545"/>
        <v>6871.6597605567358</v>
      </c>
      <c r="AT432" s="293">
        <f t="shared" si="1545"/>
        <v>7085.1542339628377</v>
      </c>
      <c r="AU432" s="293">
        <f t="shared" si="1545"/>
        <v>7005.4613945297924</v>
      </c>
      <c r="AV432" s="293">
        <f t="shared" si="1545"/>
        <v>6513.714901762658</v>
      </c>
      <c r="AW432" s="293">
        <f t="shared" si="1545"/>
        <v>6608.6767907373705</v>
      </c>
      <c r="AX432" s="293">
        <f t="shared" si="1545"/>
        <v>6251.6768483385558</v>
      </c>
      <c r="AY432" s="293">
        <f t="shared" si="1545"/>
        <v>6463.7952193099045</v>
      </c>
      <c r="AZ432" s="293">
        <f t="shared" si="1545"/>
        <v>6068.9550459558732</v>
      </c>
      <c r="BA432" s="293">
        <f t="shared" si="1545"/>
        <v>6052.5288917993139</v>
      </c>
      <c r="BB432" s="293">
        <f t="shared" si="1542"/>
        <v>5663.7259961039999</v>
      </c>
      <c r="BC432" s="293">
        <f t="shared" si="1542"/>
        <v>5758.1911437127037</v>
      </c>
      <c r="BD432" s="293">
        <f t="shared" si="1542"/>
        <v>5399.1489536660674</v>
      </c>
      <c r="BE432" s="293">
        <f t="shared" si="1542"/>
        <v>5410.4379825681453</v>
      </c>
      <c r="BF432" s="293">
        <f>BF364/BF$382</f>
        <v>5424.3725123344166</v>
      </c>
      <c r="BG432" s="142"/>
      <c r="BH432" s="293"/>
      <c r="BI432" s="293"/>
      <c r="BJ432" s="293"/>
      <c r="BK432" s="293"/>
      <c r="BL432" s="293">
        <f>BL364/BL$382</f>
        <v>6280.365290569368</v>
      </c>
      <c r="BM432" s="293"/>
      <c r="BN432" s="293"/>
      <c r="BO432" s="293"/>
      <c r="BP432" s="293"/>
      <c r="BQ432" s="293">
        <f>AE432</f>
        <v>6258.4017356199902</v>
      </c>
      <c r="BR432" s="293">
        <f>AI432</f>
        <v>6941.1234039185119</v>
      </c>
      <c r="BS432" s="293">
        <f t="shared" si="1543"/>
        <v>5925.4172322231007</v>
      </c>
      <c r="BT432" s="293">
        <f t="shared" si="1543"/>
        <v>5554.9345439905619</v>
      </c>
      <c r="BU432" s="293">
        <f t="shared" si="1543"/>
        <v>5553.5188461990356</v>
      </c>
      <c r="BV432" s="293">
        <f t="shared" si="1543"/>
        <v>6154.3995488931423</v>
      </c>
      <c r="BW432" s="293">
        <f t="shared" si="1543"/>
        <v>7282.5287772724942</v>
      </c>
      <c r="BX432" s="293"/>
      <c r="BY432" s="293"/>
      <c r="BZ432" s="293"/>
      <c r="CA432" s="293"/>
      <c r="CJ432" s="6"/>
      <c r="CK432" s="6"/>
      <c r="CL432" s="6"/>
    </row>
    <row r="433" spans="2:90" ht="13.5" customHeight="1">
      <c r="C433" s="293"/>
      <c r="D433" s="293"/>
      <c r="E433" s="293"/>
      <c r="F433" s="293"/>
      <c r="G433" s="293"/>
      <c r="H433" s="293"/>
      <c r="I433" s="293"/>
      <c r="J433" s="293"/>
      <c r="K433" s="293"/>
      <c r="L433" s="293"/>
      <c r="M433" s="293"/>
      <c r="N433" s="293"/>
      <c r="O433" s="293"/>
      <c r="P433" s="293"/>
      <c r="Q433" s="293"/>
      <c r="R433" s="293"/>
      <c r="S433" s="293"/>
      <c r="T433" s="293"/>
      <c r="U433" s="293"/>
      <c r="V433" s="293"/>
      <c r="W433" s="293"/>
      <c r="X433" s="293"/>
      <c r="Y433" s="293"/>
      <c r="Z433" s="293"/>
      <c r="AA433" s="293"/>
      <c r="AB433" s="293"/>
      <c r="AC433" s="293"/>
      <c r="AD433" s="293"/>
      <c r="AE433" s="293"/>
      <c r="AF433" s="293"/>
      <c r="AG433" s="293"/>
      <c r="AH433" s="293"/>
      <c r="AI433" s="293"/>
      <c r="AJ433" s="293"/>
      <c r="AK433" s="293"/>
      <c r="AL433" s="293"/>
      <c r="AM433" s="293"/>
      <c r="AN433" s="293"/>
      <c r="AO433" s="293"/>
      <c r="AP433" s="293"/>
      <c r="AQ433" s="293"/>
      <c r="AR433" s="293"/>
      <c r="AS433" s="293"/>
      <c r="AT433" s="293"/>
      <c r="AU433" s="293"/>
      <c r="AV433" s="293"/>
      <c r="AW433" s="293"/>
      <c r="AX433" s="293"/>
      <c r="AY433" s="293"/>
      <c r="AZ433" s="293"/>
      <c r="BA433" s="293"/>
      <c r="BB433" s="293"/>
      <c r="BC433" s="293"/>
      <c r="BD433" s="293"/>
      <c r="BE433" s="293"/>
      <c r="BF433" s="293"/>
      <c r="BG433" s="142"/>
      <c r="BH433" s="293"/>
      <c r="BI433" s="293"/>
      <c r="BJ433" s="293"/>
      <c r="BK433" s="293"/>
      <c r="BL433" s="293"/>
      <c r="BM433" s="293"/>
      <c r="BN433" s="293"/>
      <c r="BO433" s="293"/>
      <c r="BP433" s="293"/>
      <c r="BQ433" s="293"/>
      <c r="BR433" s="293"/>
      <c r="BS433" s="293"/>
      <c r="BT433" s="293"/>
      <c r="BU433" s="293"/>
      <c r="BV433" s="293"/>
      <c r="BW433" s="293"/>
      <c r="BX433" s="293"/>
      <c r="BY433" s="293"/>
      <c r="BZ433" s="293"/>
      <c r="CA433" s="293"/>
      <c r="CJ433" s="6"/>
      <c r="CK433" s="6"/>
      <c r="CL433" s="6"/>
    </row>
    <row r="434" spans="2:90" s="5" customFormat="1" ht="13.5" customHeight="1">
      <c r="B434" s="5" t="s">
        <v>458</v>
      </c>
      <c r="C434" s="347">
        <f t="shared" ref="C434:H435" si="1546">C366/C$382</f>
        <v>6317.7587611202644</v>
      </c>
      <c r="D434" s="347">
        <f t="shared" si="1546"/>
        <v>6230.2328993080073</v>
      </c>
      <c r="E434" s="347">
        <f t="shared" si="1546"/>
        <v>7176.8743616071433</v>
      </c>
      <c r="F434" s="347">
        <f t="shared" si="1546"/>
        <v>7967.4240116203591</v>
      </c>
      <c r="G434" s="347">
        <f t="shared" si="1546"/>
        <v>8167.316948519865</v>
      </c>
      <c r="H434" s="347">
        <f t="shared" si="1546"/>
        <v>7207.8728587896258</v>
      </c>
      <c r="I434" s="347">
        <f t="shared" ref="I434:O435" si="1547">I366/I$382</f>
        <v>6603.4935763688763</v>
      </c>
      <c r="J434" s="347">
        <f t="shared" si="1547"/>
        <v>6049.15581596638</v>
      </c>
      <c r="K434" s="347">
        <f t="shared" si="1547"/>
        <v>5577.8832195341256</v>
      </c>
      <c r="L434" s="347">
        <f t="shared" si="1547"/>
        <v>5773.8813018446717</v>
      </c>
      <c r="M434" s="347">
        <f t="shared" si="1547"/>
        <v>6370.3553648782008</v>
      </c>
      <c r="N434" s="347">
        <f t="shared" si="1547"/>
        <v>6301.097098233663</v>
      </c>
      <c r="O434" s="347">
        <f t="shared" si="1547"/>
        <v>5221.7595113842426</v>
      </c>
      <c r="P434" s="347">
        <f>P366/P$382</f>
        <v>4476.8846932770775</v>
      </c>
      <c r="Q434" s="347"/>
      <c r="R434" s="347">
        <f t="shared" ref="R434:AF434" si="1548">R366/R$382</f>
        <v>6477.2734556071264</v>
      </c>
      <c r="S434" s="347">
        <f t="shared" si="1548"/>
        <v>6835.3647626224556</v>
      </c>
      <c r="T434" s="347">
        <f t="shared" si="1548"/>
        <v>7052.9665561554257</v>
      </c>
      <c r="U434" s="347">
        <f t="shared" si="1548"/>
        <v>7176.8743616071433</v>
      </c>
      <c r="V434" s="347">
        <f t="shared" si="1548"/>
        <v>7292.2355764135955</v>
      </c>
      <c r="W434" s="347">
        <f t="shared" si="1548"/>
        <v>7438.9626835328672</v>
      </c>
      <c r="X434" s="347">
        <f t="shared" si="1548"/>
        <v>7737.2506913811994</v>
      </c>
      <c r="Y434" s="347">
        <f t="shared" si="1548"/>
        <v>7967.4240116203591</v>
      </c>
      <c r="Z434" s="347">
        <f t="shared" si="1548"/>
        <v>8157.1797090187647</v>
      </c>
      <c r="AA434" s="347">
        <f t="shared" si="1548"/>
        <v>8005.2825133689839</v>
      </c>
      <c r="AB434" s="347">
        <f t="shared" si="1548"/>
        <v>8342.4368568385817</v>
      </c>
      <c r="AC434" s="347">
        <f t="shared" si="1548"/>
        <v>7207.8728587896258</v>
      </c>
      <c r="AD434" s="347">
        <f t="shared" si="1548"/>
        <v>7774.7453391201989</v>
      </c>
      <c r="AE434" s="347">
        <f t="shared" si="1548"/>
        <v>7558.9685363625649</v>
      </c>
      <c r="AF434" s="347">
        <f t="shared" si="1548"/>
        <v>6930.72895288379</v>
      </c>
      <c r="AG434" s="347">
        <f t="shared" ref="AG434:BA434" si="1549">AG366/AG$382</f>
        <v>6049.15581596638</v>
      </c>
      <c r="AH434" s="347">
        <f t="shared" si="1549"/>
        <v>5897.3387797426976</v>
      </c>
      <c r="AI434" s="347">
        <f t="shared" si="1549"/>
        <v>5780.5898554607111</v>
      </c>
      <c r="AJ434" s="347">
        <f t="shared" si="1549"/>
        <v>5835.3616118215541</v>
      </c>
      <c r="AK434" s="347">
        <f t="shared" si="1549"/>
        <v>5577.8832195341256</v>
      </c>
      <c r="AL434" s="347">
        <f t="shared" si="1549"/>
        <v>5764.9898545282604</v>
      </c>
      <c r="AM434" s="347">
        <f t="shared" si="1549"/>
        <v>5605.1206691358702</v>
      </c>
      <c r="AN434" s="347">
        <f t="shared" si="1549"/>
        <v>5667.5969612983936</v>
      </c>
      <c r="AO434" s="347">
        <f t="shared" si="1549"/>
        <v>5773.8813018446717</v>
      </c>
      <c r="AP434" s="347">
        <f t="shared" si="1549"/>
        <v>6785.8869913960243</v>
      </c>
      <c r="AQ434" s="347">
        <f t="shared" si="1549"/>
        <v>7796.3285460630514</v>
      </c>
      <c r="AR434" s="347">
        <f t="shared" si="1549"/>
        <v>6851.7254142211614</v>
      </c>
      <c r="AS434" s="347">
        <f t="shared" si="1549"/>
        <v>7233.3363906581744</v>
      </c>
      <c r="AT434" s="347">
        <f t="shared" si="1549"/>
        <v>7516.5981798389957</v>
      </c>
      <c r="AU434" s="347">
        <f t="shared" si="1549"/>
        <v>7542.9645214726306</v>
      </c>
      <c r="AV434" s="347">
        <f t="shared" si="1549"/>
        <v>6652.9847086561122</v>
      </c>
      <c r="AW434" s="347">
        <f t="shared" si="1549"/>
        <v>6301.097098233663</v>
      </c>
      <c r="AX434" s="347">
        <f t="shared" si="1549"/>
        <v>6124.1243961186256</v>
      </c>
      <c r="AY434" s="347">
        <f t="shared" si="1549"/>
        <v>6319.0437673454189</v>
      </c>
      <c r="AZ434" s="347">
        <f t="shared" si="1549"/>
        <v>5561.7664203500544</v>
      </c>
      <c r="BA434" s="347">
        <f t="shared" si="1549"/>
        <v>5221.7595113842426</v>
      </c>
      <c r="BB434" s="347">
        <f t="shared" ref="BB434:BE435" si="1550">BB366/BB$382</f>
        <v>5359.0853015859993</v>
      </c>
      <c r="BC434" s="347">
        <f t="shared" si="1550"/>
        <v>4984.6158857364435</v>
      </c>
      <c r="BD434" s="347">
        <f t="shared" si="1550"/>
        <v>4778.6505556537377</v>
      </c>
      <c r="BE434" s="347">
        <f t="shared" si="1550"/>
        <v>4476.8846932770775</v>
      </c>
      <c r="BF434" s="347">
        <f>BF366/BF$382</f>
        <v>4254.5865838254504</v>
      </c>
      <c r="BG434" s="142"/>
      <c r="BH434" s="347"/>
      <c r="BI434" s="347"/>
      <c r="BJ434" s="347"/>
      <c r="BK434" s="347"/>
      <c r="BL434" s="347">
        <f>BL366/BL$382</f>
        <v>6512.6391510960702</v>
      </c>
      <c r="BM434" s="347"/>
      <c r="BN434" s="347"/>
      <c r="BO434" s="347"/>
      <c r="BP434" s="347"/>
      <c r="BQ434" s="347">
        <f>AE434</f>
        <v>7558.9685363625649</v>
      </c>
      <c r="BR434" s="347">
        <f>AI434</f>
        <v>5780.5898554607111</v>
      </c>
      <c r="BS434" s="347">
        <f t="shared" ref="BS434:BW435" si="1551">AM434</f>
        <v>5605.1206691358702</v>
      </c>
      <c r="BT434" s="347">
        <f t="shared" si="1551"/>
        <v>5667.5969612983936</v>
      </c>
      <c r="BU434" s="347">
        <f t="shared" si="1551"/>
        <v>5773.8813018446717</v>
      </c>
      <c r="BV434" s="347">
        <f t="shared" si="1551"/>
        <v>6785.8869913960243</v>
      </c>
      <c r="BW434" s="347">
        <f t="shared" si="1551"/>
        <v>7796.3285460630514</v>
      </c>
      <c r="BX434" s="347"/>
      <c r="BY434" s="347"/>
      <c r="BZ434" s="347"/>
      <c r="CA434" s="347"/>
      <c r="CJ434" s="8"/>
      <c r="CK434" s="8"/>
      <c r="CL434" s="8"/>
    </row>
    <row r="435" spans="2:90" ht="13.5" customHeight="1">
      <c r="B435" s="5" t="s">
        <v>459</v>
      </c>
      <c r="C435" s="293">
        <f t="shared" si="1546"/>
        <v>6665.7321845140041</v>
      </c>
      <c r="D435" s="293">
        <f t="shared" si="1546"/>
        <v>6522.999776867674</v>
      </c>
      <c r="E435" s="293">
        <f t="shared" si="1546"/>
        <v>7476.4571502976196</v>
      </c>
      <c r="F435" s="293">
        <f t="shared" si="1546"/>
        <v>8343.993709426124</v>
      </c>
      <c r="G435" s="293">
        <f t="shared" si="1546"/>
        <v>8543.8866463256309</v>
      </c>
      <c r="H435" s="293">
        <f t="shared" si="1546"/>
        <v>7715.2222896253606</v>
      </c>
      <c r="I435" s="293">
        <f t="shared" si="1547"/>
        <v>7060.9739538904896</v>
      </c>
      <c r="J435" s="293">
        <f t="shared" si="1547"/>
        <v>6449.0413468269644</v>
      </c>
      <c r="K435" s="293">
        <f t="shared" si="1547"/>
        <v>7286.5487060608612</v>
      </c>
      <c r="L435" s="293">
        <f t="shared" si="1547"/>
        <v>6400.4416801785919</v>
      </c>
      <c r="M435" s="293">
        <f t="shared" si="1547"/>
        <v>7018.6416174102742</v>
      </c>
      <c r="N435" s="293">
        <f t="shared" si="1547"/>
        <v>7524.1502581154637</v>
      </c>
      <c r="O435" s="293">
        <f t="shared" si="1547"/>
        <v>6872.3591396332849</v>
      </c>
      <c r="P435" s="293">
        <f>P367/P$382</f>
        <v>6236.4153011713761</v>
      </c>
      <c r="Q435" s="293"/>
      <c r="R435" s="293">
        <f t="shared" ref="R435:AF435" si="1552">R367/R$382</f>
        <v>6766.5475984428804</v>
      </c>
      <c r="S435" s="293">
        <f t="shared" si="1552"/>
        <v>7102.3353730218532</v>
      </c>
      <c r="T435" s="293">
        <f t="shared" si="1552"/>
        <v>7295.8259235039168</v>
      </c>
      <c r="U435" s="293">
        <f t="shared" si="1552"/>
        <v>7476.4571502976196</v>
      </c>
      <c r="V435" s="293">
        <f t="shared" si="1552"/>
        <v>7586.6744167739016</v>
      </c>
      <c r="W435" s="293">
        <f t="shared" si="1552"/>
        <v>7705.254786537158</v>
      </c>
      <c r="X435" s="293">
        <f t="shared" si="1552"/>
        <v>8064.0732394806828</v>
      </c>
      <c r="Y435" s="293">
        <f t="shared" si="1552"/>
        <v>8343.993709426124</v>
      </c>
      <c r="Z435" s="293">
        <f t="shared" si="1552"/>
        <v>8518.7872894105985</v>
      </c>
      <c r="AA435" s="293">
        <f t="shared" si="1552"/>
        <v>8331.2763957219249</v>
      </c>
      <c r="AB435" s="293">
        <f t="shared" si="1552"/>
        <v>8656.616856838582</v>
      </c>
      <c r="AC435" s="293">
        <f t="shared" si="1552"/>
        <v>7715.2222896253606</v>
      </c>
      <c r="AD435" s="293">
        <f t="shared" si="1552"/>
        <v>8206.7497778431662</v>
      </c>
      <c r="AE435" s="293">
        <f t="shared" si="1552"/>
        <v>7843.2466083215459</v>
      </c>
      <c r="AF435" s="293">
        <f t="shared" si="1552"/>
        <v>7245.3795273527667</v>
      </c>
      <c r="AG435" s="293">
        <f t="shared" ref="AG435:BA435" si="1553">AG367/AG$382</f>
        <v>6449.0413468269644</v>
      </c>
      <c r="AH435" s="293">
        <f t="shared" si="1553"/>
        <v>6965.2549739788201</v>
      </c>
      <c r="AI435" s="293">
        <f t="shared" si="1553"/>
        <v>7523.0795623637705</v>
      </c>
      <c r="AJ435" s="293">
        <f t="shared" si="1553"/>
        <v>7382.6968584651868</v>
      </c>
      <c r="AK435" s="293">
        <f t="shared" si="1553"/>
        <v>7286.5487060608612</v>
      </c>
      <c r="AL435" s="293">
        <f t="shared" si="1553"/>
        <v>7183.2615473408987</v>
      </c>
      <c r="AM435" s="293">
        <f t="shared" si="1553"/>
        <v>6714.7301220076806</v>
      </c>
      <c r="AN435" s="293">
        <f t="shared" si="1553"/>
        <v>6318.5531163890919</v>
      </c>
      <c r="AO435" s="293">
        <f t="shared" si="1553"/>
        <v>6400.4416801785919</v>
      </c>
      <c r="AP435" s="293">
        <f t="shared" si="1553"/>
        <v>7232.8682387825193</v>
      </c>
      <c r="AQ435" s="293">
        <f t="shared" si="1553"/>
        <v>8495.0904552654429</v>
      </c>
      <c r="AR435" s="293">
        <f t="shared" si="1553"/>
        <v>7535.4833127304837</v>
      </c>
      <c r="AS435" s="293">
        <f t="shared" si="1553"/>
        <v>7969.4448608162311</v>
      </c>
      <c r="AT435" s="293">
        <f t="shared" si="1553"/>
        <v>8180.63635638702</v>
      </c>
      <c r="AU435" s="293">
        <f t="shared" si="1553"/>
        <v>8046.1410088088378</v>
      </c>
      <c r="AV435" s="293">
        <f t="shared" si="1553"/>
        <v>7382.5672650724146</v>
      </c>
      <c r="AW435" s="293">
        <f t="shared" si="1553"/>
        <v>7524.1502581154637</v>
      </c>
      <c r="AX435" s="293">
        <f t="shared" si="1553"/>
        <v>7092.5676754854758</v>
      </c>
      <c r="AY435" s="293">
        <f t="shared" si="1553"/>
        <v>7364.1495943431328</v>
      </c>
      <c r="AZ435" s="293">
        <f t="shared" si="1553"/>
        <v>6934.9960381300943</v>
      </c>
      <c r="BA435" s="293">
        <f t="shared" si="1553"/>
        <v>6872.3591396332849</v>
      </c>
      <c r="BB435" s="293">
        <f t="shared" si="1550"/>
        <v>6492.0607511119997</v>
      </c>
      <c r="BC435" s="293">
        <f t="shared" si="1550"/>
        <v>6565.7163467545615</v>
      </c>
      <c r="BD435" s="293">
        <f t="shared" si="1550"/>
        <v>6172.2346459721612</v>
      </c>
      <c r="BE435" s="293">
        <f t="shared" si="1550"/>
        <v>6236.4153011713761</v>
      </c>
      <c r="BF435" s="293">
        <f>BF367/BF$382</f>
        <v>6228.7013581353167</v>
      </c>
      <c r="BG435" s="142"/>
      <c r="BH435" s="293"/>
      <c r="BI435" s="293"/>
      <c r="BJ435" s="293"/>
      <c r="BK435" s="293"/>
      <c r="BL435" s="293">
        <f>BL367/BL$382</f>
        <v>6953.9593703104301</v>
      </c>
      <c r="BM435" s="293"/>
      <c r="BN435" s="293"/>
      <c r="BO435" s="293"/>
      <c r="BP435" s="293"/>
      <c r="BQ435" s="293">
        <f>AE435</f>
        <v>7843.2466083215459</v>
      </c>
      <c r="BR435" s="293">
        <f>AI435</f>
        <v>7523.0795623637705</v>
      </c>
      <c r="BS435" s="293">
        <f t="shared" si="1551"/>
        <v>6714.7301220076806</v>
      </c>
      <c r="BT435" s="293">
        <f t="shared" si="1551"/>
        <v>6318.5531163890919</v>
      </c>
      <c r="BU435" s="293">
        <f t="shared" si="1551"/>
        <v>6400.4416801785919</v>
      </c>
      <c r="BV435" s="293">
        <f t="shared" si="1551"/>
        <v>7232.8682387825193</v>
      </c>
      <c r="BW435" s="293">
        <f t="shared" si="1551"/>
        <v>8495.0904552654429</v>
      </c>
      <c r="BX435" s="293"/>
      <c r="BY435" s="293"/>
      <c r="BZ435" s="293"/>
      <c r="CA435" s="293"/>
      <c r="CJ435" s="6"/>
      <c r="CK435" s="6"/>
      <c r="CL435" s="6"/>
    </row>
    <row r="436" spans="2:90" ht="13.5" customHeight="1">
      <c r="C436" s="293"/>
      <c r="D436" s="293"/>
      <c r="E436" s="293"/>
      <c r="F436" s="293"/>
      <c r="G436" s="293"/>
      <c r="H436" s="293"/>
      <c r="I436" s="293"/>
      <c r="J436" s="293"/>
      <c r="K436" s="293"/>
      <c r="L436" s="293"/>
      <c r="M436" s="293"/>
      <c r="N436" s="293"/>
      <c r="O436" s="293"/>
      <c r="P436" s="293"/>
      <c r="Q436" s="293"/>
      <c r="R436" s="293"/>
      <c r="S436" s="293"/>
      <c r="T436" s="293"/>
      <c r="U436" s="293"/>
      <c r="V436" s="293"/>
      <c r="W436" s="293"/>
      <c r="X436" s="293"/>
      <c r="Y436" s="293"/>
      <c r="Z436" s="293"/>
      <c r="AA436" s="293"/>
      <c r="AB436" s="293"/>
      <c r="AC436" s="293"/>
      <c r="AD436" s="293"/>
      <c r="AE436" s="293"/>
      <c r="AF436" s="293"/>
      <c r="AG436" s="293"/>
      <c r="AH436" s="293"/>
      <c r="AI436" s="293"/>
      <c r="AJ436" s="293"/>
      <c r="AK436" s="293"/>
      <c r="AL436" s="293"/>
      <c r="AM436" s="293"/>
      <c r="AN436" s="293"/>
      <c r="AO436" s="293"/>
      <c r="AP436" s="293"/>
      <c r="AQ436" s="293"/>
      <c r="AR436" s="293"/>
      <c r="AS436" s="293"/>
      <c r="AT436" s="293"/>
      <c r="AU436" s="293"/>
      <c r="AV436" s="293"/>
      <c r="AW436" s="293"/>
      <c r="AX436" s="293"/>
      <c r="AY436" s="293"/>
      <c r="AZ436" s="293"/>
      <c r="BA436" s="293"/>
      <c r="BB436" s="293"/>
      <c r="BC436" s="293"/>
      <c r="BD436" s="293"/>
      <c r="BE436" s="293"/>
      <c r="BF436" s="293"/>
      <c r="BG436" s="142"/>
      <c r="BH436" s="293"/>
      <c r="BI436" s="293"/>
      <c r="BJ436" s="293"/>
      <c r="BK436" s="293"/>
      <c r="BL436" s="293"/>
      <c r="BM436" s="293"/>
      <c r="BN436" s="293"/>
      <c r="BO436" s="293"/>
      <c r="BP436" s="293"/>
      <c r="BQ436" s="293"/>
      <c r="BR436" s="293"/>
      <c r="BS436" s="293"/>
      <c r="BT436" s="293"/>
      <c r="BU436" s="293"/>
      <c r="BV436" s="293"/>
      <c r="BW436" s="293"/>
      <c r="BX436" s="293"/>
      <c r="BY436" s="293"/>
      <c r="BZ436" s="293"/>
      <c r="CA436" s="293"/>
      <c r="CJ436" s="6"/>
      <c r="CK436" s="6"/>
      <c r="CL436" s="6"/>
    </row>
    <row r="437" spans="2:90" s="5" customFormat="1" ht="13.5" customHeight="1">
      <c r="B437" s="5" t="str">
        <f>+B301</f>
        <v>Total Net Leverage</v>
      </c>
      <c r="C437" s="50">
        <f t="shared" ref="C437:H437" si="1554">C422/C428</f>
        <v>2.8923747368014538</v>
      </c>
      <c r="D437" s="50">
        <f t="shared" si="1554"/>
        <v>3.0059888866124127</v>
      </c>
      <c r="E437" s="50">
        <f t="shared" si="1554"/>
        <v>3.3856900099421878</v>
      </c>
      <c r="F437" s="50">
        <f t="shared" si="1554"/>
        <v>3.4546432144810724</v>
      </c>
      <c r="G437" s="50">
        <f t="shared" si="1554"/>
        <v>3.447007624467711</v>
      </c>
      <c r="H437" s="50">
        <f t="shared" si="1554"/>
        <v>3.0351070027102396</v>
      </c>
      <c r="I437" s="50">
        <f t="shared" ref="I437:N437" si="1555">I422/I428</f>
        <v>3.320865573802064</v>
      </c>
      <c r="J437" s="50">
        <f t="shared" si="1555"/>
        <v>3.5309756195160831</v>
      </c>
      <c r="K437" s="50">
        <f t="shared" si="1555"/>
        <v>4.6150643519251338</v>
      </c>
      <c r="L437" s="50">
        <f t="shared" si="1555"/>
        <v>2.2366969688793943</v>
      </c>
      <c r="M437" s="50">
        <f>M422/M428</f>
        <v>4.1588298533694781</v>
      </c>
      <c r="N437" s="50">
        <f t="shared" si="1555"/>
        <v>4.9113118820310611</v>
      </c>
      <c r="O437" s="50">
        <f>O422/O428</f>
        <v>2.4633451618665454</v>
      </c>
      <c r="P437" s="50">
        <f>P422/P428</f>
        <v>1.2924306582981144</v>
      </c>
      <c r="Q437" s="50"/>
      <c r="R437" s="427"/>
      <c r="S437" s="427"/>
      <c r="T437" s="427"/>
      <c r="U437" s="50">
        <f t="shared" ref="U437:AD437" si="1556">U422/U428</f>
        <v>3.3975007375843163</v>
      </c>
      <c r="V437" s="50">
        <f t="shared" si="1556"/>
        <v>3.3022780134944347</v>
      </c>
      <c r="W437" s="50">
        <f t="shared" si="1556"/>
        <v>3.3032662282380048</v>
      </c>
      <c r="X437" s="50">
        <f t="shared" si="1556"/>
        <v>3.4394315595252549</v>
      </c>
      <c r="Y437" s="50">
        <f t="shared" si="1556"/>
        <v>3.4623936943858138</v>
      </c>
      <c r="Z437" s="50">
        <f t="shared" si="1556"/>
        <v>3.4808476478694068</v>
      </c>
      <c r="AA437" s="50">
        <f t="shared" si="1556"/>
        <v>3.4172159844197427</v>
      </c>
      <c r="AB437" s="50">
        <f t="shared" si="1556"/>
        <v>3.5594735016300323</v>
      </c>
      <c r="AC437" s="50">
        <f t="shared" si="1556"/>
        <v>3.0404190264809241</v>
      </c>
      <c r="AD437" s="50">
        <f t="shared" si="1556"/>
        <v>2.9239851287188428</v>
      </c>
      <c r="AE437" s="50">
        <f t="shared" ref="AE437:AN437" si="1557">AE422/AE428</f>
        <v>3.2847417058374235</v>
      </c>
      <c r="AF437" s="50">
        <f t="shared" si="1557"/>
        <v>3.4591658133904888</v>
      </c>
      <c r="AG437" s="50">
        <f t="shared" si="1557"/>
        <v>3.5261335290144014</v>
      </c>
      <c r="AH437" s="50">
        <f t="shared" si="1557"/>
        <v>4.0365025053971451</v>
      </c>
      <c r="AI437" s="50">
        <f t="shared" si="1557"/>
        <v>6.1248023464135324</v>
      </c>
      <c r="AJ437" s="50">
        <f t="shared" si="1557"/>
        <v>6.8506976551466288</v>
      </c>
      <c r="AK437" s="50">
        <f t="shared" si="1557"/>
        <v>4.483238927203006</v>
      </c>
      <c r="AL437" s="50">
        <f t="shared" si="1557"/>
        <v>3.8788327505667852</v>
      </c>
      <c r="AM437" s="50">
        <f t="shared" si="1557"/>
        <v>2.529545434038865</v>
      </c>
      <c r="AN437" s="50">
        <f t="shared" si="1557"/>
        <v>2.2498926040320395</v>
      </c>
      <c r="AO437" s="50">
        <f t="shared" ref="AO437:AU437" si="1558">AO422/AO428</f>
        <v>2.2520641789486411</v>
      </c>
      <c r="AP437" s="50">
        <f t="shared" si="1558"/>
        <v>2.8047183415250618</v>
      </c>
      <c r="AQ437" s="50">
        <f t="shared" si="1558"/>
        <v>3.7531133205596645</v>
      </c>
      <c r="AR437" s="50">
        <f t="shared" si="1558"/>
        <v>4.2063966144053992</v>
      </c>
      <c r="AS437" s="50">
        <f t="shared" si="1558"/>
        <v>5.5755814152303813</v>
      </c>
      <c r="AT437" s="50">
        <f t="shared" si="1558"/>
        <v>6.6577119499789035</v>
      </c>
      <c r="AU437" s="50">
        <f t="shared" si="1558"/>
        <v>7.0527406704827156</v>
      </c>
      <c r="AV437" s="50">
        <f t="shared" ref="AV437:BA437" si="1559">AV422/AV428</f>
        <v>6.1181532344616567</v>
      </c>
      <c r="AW437" s="50">
        <f t="shared" si="1559"/>
        <v>4.9255399034004483</v>
      </c>
      <c r="AX437" s="50">
        <f t="shared" si="1559"/>
        <v>4.387447568106289</v>
      </c>
      <c r="AY437" s="50">
        <f t="shared" si="1559"/>
        <v>3.9586402417522684</v>
      </c>
      <c r="AZ437" s="50">
        <f t="shared" si="1559"/>
        <v>3.026284800672228</v>
      </c>
      <c r="BA437" s="50">
        <f t="shared" si="1559"/>
        <v>2.4695563494042587</v>
      </c>
      <c r="BB437" s="50">
        <f>BB422/BB428</f>
        <v>2.3360027091177167</v>
      </c>
      <c r="BC437" s="50">
        <f>BC422/BC428</f>
        <v>1.8611222978359427</v>
      </c>
      <c r="BD437" s="50">
        <f>BD422/BD428</f>
        <v>1.7253491254732101</v>
      </c>
      <c r="BE437" s="50">
        <f>BE422/BE428</f>
        <v>1.2889640676346059</v>
      </c>
      <c r="BF437" s="50">
        <f>BF422/BF428</f>
        <v>1.1504055494081102</v>
      </c>
      <c r="BG437" s="142"/>
      <c r="BH437" s="50"/>
      <c r="BI437" s="50"/>
      <c r="BJ437" s="50"/>
      <c r="BK437" s="50"/>
      <c r="BL437" s="50">
        <f>BL422/BL428</f>
        <v>5.626761968218351</v>
      </c>
      <c r="BM437" s="50"/>
      <c r="BN437" s="50">
        <f t="shared" ref="BN437:BP438" si="1560">BN301</f>
        <v>3.1807049154234575</v>
      </c>
      <c r="BO437" s="50">
        <f t="shared" si="1560"/>
        <v>3.3137928448107981</v>
      </c>
      <c r="BP437" s="50">
        <f t="shared" si="1560"/>
        <v>3.40378046587159</v>
      </c>
      <c r="BQ437" s="50">
        <f t="shared" ref="BQ437:BV437" si="1561">BQ422/BQ428</f>
        <v>3.2847417058374235</v>
      </c>
      <c r="BR437" s="50">
        <f t="shared" si="1561"/>
        <v>6.1248023464135324</v>
      </c>
      <c r="BS437" s="50">
        <f t="shared" si="1561"/>
        <v>2.529545434038865</v>
      </c>
      <c r="BT437" s="50">
        <f t="shared" si="1561"/>
        <v>2.2498926040320395</v>
      </c>
      <c r="BU437" s="50">
        <f t="shared" si="1561"/>
        <v>2.2520641789486411</v>
      </c>
      <c r="BV437" s="50">
        <f t="shared" si="1561"/>
        <v>2.8047183415250618</v>
      </c>
      <c r="BW437" s="50">
        <f>BW422/BW428</f>
        <v>3.7531133205596645</v>
      </c>
      <c r="BX437" s="50"/>
      <c r="BY437" s="50"/>
      <c r="BZ437" s="50"/>
      <c r="CA437" s="50"/>
      <c r="CD437" s="262"/>
      <c r="CJ437" s="8"/>
      <c r="CK437" s="8"/>
      <c r="CL437" s="8"/>
    </row>
    <row r="438" spans="2:90" ht="12.75">
      <c r="B438" s="1" t="str">
        <f>+B302</f>
        <v>Total Gross Leverage</v>
      </c>
      <c r="C438" s="51">
        <f t="shared" ref="C438:H438" si="1562">C423/C428</f>
        <v>3.1152518337517794</v>
      </c>
      <c r="D438" s="51">
        <f t="shared" si="1562"/>
        <v>3.2042341826002261</v>
      </c>
      <c r="E438" s="51">
        <f t="shared" si="1562"/>
        <v>3.583001882909187</v>
      </c>
      <c r="F438" s="51">
        <f t="shared" si="1562"/>
        <v>3.6823513577738063</v>
      </c>
      <c r="G438" s="51">
        <f t="shared" si="1562"/>
        <v>3.674212478153692</v>
      </c>
      <c r="H438" s="51">
        <f t="shared" si="1562"/>
        <v>3.3508778106794237</v>
      </c>
      <c r="I438" s="51">
        <f t="shared" ref="I438:N438" si="1563">I423/I428</f>
        <v>3.6738372045671182</v>
      </c>
      <c r="J438" s="51">
        <f t="shared" si="1563"/>
        <v>3.889134206549604</v>
      </c>
      <c r="K438" s="51">
        <f t="shared" si="1563"/>
        <v>6.8210652159886145</v>
      </c>
      <c r="L438" s="51">
        <f t="shared" si="1563"/>
        <v>2.6191438765908153</v>
      </c>
      <c r="M438" s="51">
        <f>M423/M428</f>
        <v>4.8040956433995499</v>
      </c>
      <c r="N438" s="51">
        <f t="shared" si="1563"/>
        <v>6.4064329461424654</v>
      </c>
      <c r="O438" s="51">
        <f>O423/O428</f>
        <v>3.8221660929247916</v>
      </c>
      <c r="P438" s="51">
        <f>P423/P428</f>
        <v>2.4054874758862339</v>
      </c>
      <c r="Q438" s="51"/>
      <c r="R438" s="428"/>
      <c r="S438" s="428"/>
      <c r="T438" s="428"/>
      <c r="U438" s="51">
        <f t="shared" ref="U438:AD438" si="1564">U423/U428</f>
        <v>3.5955009183365316</v>
      </c>
      <c r="V438" s="51">
        <f t="shared" si="1564"/>
        <v>3.4878977890183926</v>
      </c>
      <c r="W438" s="51">
        <f t="shared" si="1564"/>
        <v>3.4683027312928107</v>
      </c>
      <c r="X438" s="51">
        <f t="shared" si="1564"/>
        <v>3.6411801824460031</v>
      </c>
      <c r="Y438" s="51">
        <f t="shared" si="1564"/>
        <v>3.690612700097375</v>
      </c>
      <c r="Z438" s="51">
        <f t="shared" si="1564"/>
        <v>3.6982037561410586</v>
      </c>
      <c r="AA438" s="51">
        <f t="shared" si="1564"/>
        <v>3.6117918496882138</v>
      </c>
      <c r="AB438" s="51">
        <f t="shared" si="1564"/>
        <v>3.7464446109315204</v>
      </c>
      <c r="AC438" s="51">
        <f t="shared" si="1564"/>
        <v>3.3567424943848394</v>
      </c>
      <c r="AD438" s="51">
        <f t="shared" si="1564"/>
        <v>3.2160600354514957</v>
      </c>
      <c r="AE438" s="51">
        <f t="shared" ref="AE438:AN438" si="1565">AE423/AE428</f>
        <v>3.4901641408715696</v>
      </c>
      <c r="AF438" s="51">
        <f t="shared" si="1565"/>
        <v>3.7060232614697384</v>
      </c>
      <c r="AG438" s="51">
        <f t="shared" si="1565"/>
        <v>3.8838009667228506</v>
      </c>
      <c r="AH438" s="51">
        <f t="shared" si="1565"/>
        <v>5.0962029440511047</v>
      </c>
      <c r="AI438" s="51">
        <f t="shared" si="1565"/>
        <v>8.8004284988470651</v>
      </c>
      <c r="AJ438" s="51">
        <f t="shared" si="1565"/>
        <v>9.4649786436973535</v>
      </c>
      <c r="AK438" s="51">
        <f t="shared" si="1565"/>
        <v>6.6262272352831149</v>
      </c>
      <c r="AL438" s="51">
        <f t="shared" si="1565"/>
        <v>5.3413592945026682</v>
      </c>
      <c r="AM438" s="51">
        <f t="shared" si="1565"/>
        <v>3.3224572835074779</v>
      </c>
      <c r="AN438" s="51">
        <f t="shared" si="1565"/>
        <v>2.6456252347313591</v>
      </c>
      <c r="AO438" s="51">
        <f t="shared" ref="AO438:AU438" si="1566">AO423/AO428</f>
        <v>2.6371386853258216</v>
      </c>
      <c r="AP438" s="51">
        <f t="shared" si="1566"/>
        <v>3.0951978811379348</v>
      </c>
      <c r="AQ438" s="51">
        <f t="shared" si="1566"/>
        <v>4.2692086469693962</v>
      </c>
      <c r="AR438" s="51">
        <f t="shared" si="1566"/>
        <v>4.8392419467349512</v>
      </c>
      <c r="AS438" s="51">
        <f t="shared" si="1566"/>
        <v>6.4406641605272927</v>
      </c>
      <c r="AT438" s="51">
        <f t="shared" si="1566"/>
        <v>7.5461391868419145</v>
      </c>
      <c r="AU438" s="51">
        <f t="shared" si="1566"/>
        <v>7.7547403322937614</v>
      </c>
      <c r="AV438" s="51">
        <f t="shared" ref="AV438:BA438" si="1567">AV423/AV428</f>
        <v>7.1249983383437456</v>
      </c>
      <c r="AW438" s="51">
        <f t="shared" si="1567"/>
        <v>6.4249923182712756</v>
      </c>
      <c r="AX438" s="51">
        <f t="shared" si="1567"/>
        <v>5.4496627414694592</v>
      </c>
      <c r="AY438" s="51">
        <f t="shared" si="1567"/>
        <v>4.9881545625984307</v>
      </c>
      <c r="AZ438" s="51">
        <f t="shared" si="1567"/>
        <v>4.2537264799144454</v>
      </c>
      <c r="BA438" s="51">
        <f t="shared" si="1567"/>
        <v>3.8318034717099292</v>
      </c>
      <c r="BB438" s="51">
        <f>BB423/BB428</f>
        <v>3.196710673041451</v>
      </c>
      <c r="BC438" s="51">
        <f>BC423/BC428</f>
        <v>2.9811013952323551</v>
      </c>
      <c r="BD438" s="51">
        <f>BD423/BD428</f>
        <v>2.6719153193411356</v>
      </c>
      <c r="BE438" s="51">
        <f>BE423/BE428</f>
        <v>2.3990354156758436</v>
      </c>
      <c r="BF438" s="51">
        <f>BF423/BF428</f>
        <v>2.3560660040353376</v>
      </c>
      <c r="BG438" s="142"/>
      <c r="BH438" s="51"/>
      <c r="BI438" s="51"/>
      <c r="BJ438" s="51"/>
      <c r="BK438" s="51"/>
      <c r="BL438" s="51">
        <f>BL423/BL428</f>
        <v>6.2021750557562649</v>
      </c>
      <c r="BM438" s="51"/>
      <c r="BN438" s="51">
        <f t="shared" si="1560"/>
        <v>3.3566012132380982</v>
      </c>
      <c r="BO438" s="51">
        <f t="shared" si="1560"/>
        <v>3.4793552745902869</v>
      </c>
      <c r="BP438" s="51">
        <f t="shared" si="1560"/>
        <v>3.5975913143372726</v>
      </c>
      <c r="BQ438" s="51">
        <f t="shared" ref="BQ438:BV438" si="1568">BQ423/BQ428</f>
        <v>3.4901641408715696</v>
      </c>
      <c r="BR438" s="51">
        <f t="shared" si="1568"/>
        <v>8.8004284988470651</v>
      </c>
      <c r="BS438" s="51">
        <f t="shared" si="1568"/>
        <v>3.3224572835074779</v>
      </c>
      <c r="BT438" s="51">
        <f t="shared" si="1568"/>
        <v>2.6456252347313591</v>
      </c>
      <c r="BU438" s="51">
        <f t="shared" si="1568"/>
        <v>2.6371386853258216</v>
      </c>
      <c r="BV438" s="51">
        <f t="shared" si="1568"/>
        <v>3.0951978811379348</v>
      </c>
      <c r="BW438" s="51">
        <f>BW423/BW428</f>
        <v>4.2692086469693962</v>
      </c>
      <c r="BX438" s="51"/>
      <c r="BY438" s="51"/>
      <c r="BZ438" s="51"/>
      <c r="CA438" s="51"/>
      <c r="CD438" s="346"/>
      <c r="CJ438" s="6"/>
      <c r="CK438" s="6"/>
      <c r="CL438" s="6"/>
    </row>
    <row r="439" spans="2:90" ht="12.75"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428"/>
      <c r="S439" s="428"/>
      <c r="T439" s="428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  <c r="AL439" s="51"/>
      <c r="AM439" s="51"/>
      <c r="AN439" s="51"/>
      <c r="AO439" s="51"/>
      <c r="AP439" s="51"/>
      <c r="AQ439" s="51"/>
      <c r="AR439" s="51"/>
      <c r="AS439" s="51"/>
      <c r="AT439" s="51"/>
      <c r="AU439" s="51"/>
      <c r="AV439" s="51"/>
      <c r="AW439" s="51"/>
      <c r="AX439" s="51"/>
      <c r="AY439" s="51"/>
      <c r="AZ439" s="51"/>
      <c r="BA439" s="51"/>
      <c r="BB439" s="51"/>
      <c r="BC439" s="51"/>
      <c r="BD439" s="51"/>
      <c r="BE439" s="51"/>
      <c r="BF439" s="51"/>
      <c r="BG439" s="142"/>
      <c r="BH439" s="51"/>
      <c r="BI439" s="51"/>
      <c r="BJ439" s="51"/>
      <c r="BK439" s="51"/>
      <c r="BL439" s="51"/>
      <c r="BM439" s="51"/>
      <c r="BN439" s="51"/>
      <c r="BO439" s="51"/>
      <c r="BP439" s="51"/>
      <c r="BQ439" s="51"/>
      <c r="BR439" s="51"/>
      <c r="BS439" s="51"/>
      <c r="BT439" s="51"/>
      <c r="BU439" s="51"/>
      <c r="BV439" s="51"/>
      <c r="BW439" s="51"/>
      <c r="BX439" s="51"/>
      <c r="BY439" s="51"/>
      <c r="BZ439" s="51"/>
      <c r="CA439" s="51"/>
      <c r="CD439" s="262"/>
      <c r="CJ439" s="6"/>
      <c r="CK439" s="6"/>
      <c r="CL439" s="6"/>
    </row>
    <row r="440" spans="2:90" s="5" customFormat="1" ht="12.75">
      <c r="B440" s="5" t="str">
        <f>B304</f>
        <v>Total Net Leverage- including finance leases</v>
      </c>
      <c r="C440" s="50">
        <f t="shared" ref="C440:H441" si="1569">C431/C$428</f>
        <v>2.99850207177631</v>
      </c>
      <c r="D440" s="50">
        <f t="shared" si="1569"/>
        <v>3.0909353264254271</v>
      </c>
      <c r="E440" s="50">
        <f t="shared" si="1569"/>
        <v>3.4908756758110506</v>
      </c>
      <c r="F440" s="50">
        <f t="shared" si="1569"/>
        <v>3.5416206438641051</v>
      </c>
      <c r="G440" s="50">
        <f t="shared" si="1569"/>
        <v>3.5337928128724565</v>
      </c>
      <c r="H440" s="50">
        <f t="shared" si="1569"/>
        <v>3.089141643807082</v>
      </c>
      <c r="I440" s="50">
        <f t="shared" ref="I440:K441" si="1570">I431/I$428</f>
        <v>3.3878501479870469</v>
      </c>
      <c r="J440" s="50">
        <f t="shared" si="1570"/>
        <v>4.7049831724444733</v>
      </c>
      <c r="K440" s="50">
        <f t="shared" si="1570"/>
        <v>6.3083862764507765</v>
      </c>
      <c r="L440" s="50">
        <f t="shared" ref="L440:N441" si="1571">L431/L$428</f>
        <v>3.007371828183798</v>
      </c>
      <c r="M440" s="50">
        <f>M431/M$428</f>
        <v>5.3783667912679309</v>
      </c>
      <c r="N440" s="50">
        <f t="shared" si="1571"/>
        <v>6.5836544133915602</v>
      </c>
      <c r="O440" s="50">
        <f>O431/O$428</f>
        <v>3.6237943581115584</v>
      </c>
      <c r="P440" s="50">
        <f>P431/P$428</f>
        <v>2.3095178484144832</v>
      </c>
      <c r="Q440" s="50"/>
      <c r="R440" s="427"/>
      <c r="S440" s="427"/>
      <c r="T440" s="427"/>
      <c r="U440" s="50">
        <f t="shared" ref="U440:AD440" si="1572">U431/U$428</f>
        <v>3.5030533358208165</v>
      </c>
      <c r="V440" s="50">
        <f t="shared" si="1572"/>
        <v>3.3647705451636938</v>
      </c>
      <c r="W440" s="50">
        <f t="shared" si="1572"/>
        <v>3.3981132418433</v>
      </c>
      <c r="X440" s="50">
        <f t="shared" si="1572"/>
        <v>3.529504726281353</v>
      </c>
      <c r="Y440" s="50">
        <f t="shared" si="1572"/>
        <v>3.5495662573258442</v>
      </c>
      <c r="Z440" s="50">
        <f t="shared" si="1572"/>
        <v>3.562039603232098</v>
      </c>
      <c r="AA440" s="50">
        <f t="shared" si="1572"/>
        <v>3.4824338782556543</v>
      </c>
      <c r="AB440" s="50">
        <f t="shared" si="1572"/>
        <v>3.6236609238720767</v>
      </c>
      <c r="AC440" s="50">
        <f t="shared" si="1572"/>
        <v>3.094548238641551</v>
      </c>
      <c r="AD440" s="50">
        <f t="shared" si="1572"/>
        <v>3.9540321747419371</v>
      </c>
      <c r="AE440" s="50">
        <f t="shared" ref="AE440:AN441" si="1573">AE431/AE$428</f>
        <v>4.3169669110512148</v>
      </c>
      <c r="AF440" s="50">
        <f t="shared" si="1573"/>
        <v>4.497463122580589</v>
      </c>
      <c r="AG440" s="50">
        <f t="shared" si="1573"/>
        <v>4.6985311442276974</v>
      </c>
      <c r="AH440" s="50">
        <f t="shared" si="1573"/>
        <v>5.169932648146693</v>
      </c>
      <c r="AI440" s="50">
        <f t="shared" si="1573"/>
        <v>7.9826011146880207</v>
      </c>
      <c r="AJ440" s="50">
        <f t="shared" si="1573"/>
        <v>8.9074498450077364</v>
      </c>
      <c r="AK440" s="50">
        <f t="shared" si="1573"/>
        <v>6.1281925376879647</v>
      </c>
      <c r="AL440" s="50">
        <f t="shared" si="1573"/>
        <v>5.2177013461888873</v>
      </c>
      <c r="AM440" s="50">
        <f t="shared" si="1573"/>
        <v>3.4413108532267613</v>
      </c>
      <c r="AN440" s="50">
        <f t="shared" si="1573"/>
        <v>2.9812518916294142</v>
      </c>
      <c r="AO440" s="50">
        <f t="shared" ref="AO440:AU441" si="1574">AO431/AO$428</f>
        <v>3.0280339542040204</v>
      </c>
      <c r="AP440" s="50">
        <f t="shared" si="1574"/>
        <v>3.7090778422885284</v>
      </c>
      <c r="AQ440" s="50">
        <f t="shared" si="1574"/>
        <v>4.8626739180169718</v>
      </c>
      <c r="AR440" s="50">
        <f t="shared" si="1574"/>
        <v>5.3566039387885169</v>
      </c>
      <c r="AS440" s="50">
        <f t="shared" si="1574"/>
        <v>7.21056715061086</v>
      </c>
      <c r="AT440" s="50">
        <f t="shared" si="1574"/>
        <v>8.5909132907408985</v>
      </c>
      <c r="AU440" s="50">
        <f t="shared" si="1574"/>
        <v>9.0715721436304317</v>
      </c>
      <c r="AV440" s="50">
        <f t="shared" ref="AV440:AZ441" si="1575">AV431/AV$428</f>
        <v>7.982270520178071</v>
      </c>
      <c r="AW440" s="50">
        <f t="shared" si="1575"/>
        <v>6.6027271943373425</v>
      </c>
      <c r="AX440" s="50">
        <f t="shared" si="1575"/>
        <v>5.7947956074953435</v>
      </c>
      <c r="AY440" s="50">
        <f t="shared" si="1575"/>
        <v>5.3378501827210592</v>
      </c>
      <c r="AZ440" s="50">
        <f t="shared" si="1575"/>
        <v>4.19720710228939</v>
      </c>
      <c r="BA440" s="50">
        <f t="shared" ref="BA440:BD441" si="1576">BA431/BA$428</f>
        <v>3.6329315536230813</v>
      </c>
      <c r="BB440" s="50">
        <f t="shared" si="1576"/>
        <v>3.4419572636132436</v>
      </c>
      <c r="BC440" s="50">
        <f t="shared" si="1576"/>
        <v>2.9588595841245788</v>
      </c>
      <c r="BD440" s="50">
        <f t="shared" si="1576"/>
        <v>2.7207057782381421</v>
      </c>
      <c r="BE440" s="50">
        <f>BE431/BE$428</f>
        <v>2.303323200400591</v>
      </c>
      <c r="BF440" s="50">
        <f>BF431/BF$428</f>
        <v>2.1071922297233363</v>
      </c>
      <c r="BG440" s="142"/>
      <c r="BH440" s="50"/>
      <c r="BI440" s="50"/>
      <c r="BJ440" s="50"/>
      <c r="BK440" s="50"/>
      <c r="BL440" s="50">
        <f>BL431/BL$428</f>
        <v>7.6132087461632123</v>
      </c>
      <c r="BM440" s="50"/>
      <c r="BN440" s="50">
        <f t="shared" ref="BN440:BP441" si="1577">BN304</f>
        <v>3.2689135588683307</v>
      </c>
      <c r="BO440" s="50">
        <f t="shared" si="1577"/>
        <v>3.4089421102106239</v>
      </c>
      <c r="BP440" s="50">
        <f t="shared" si="1577"/>
        <v>3.4687419415512308</v>
      </c>
      <c r="BQ440" s="50">
        <f t="shared" ref="BQ440:BS441" si="1578">BQ431/BQ$428</f>
        <v>4.3169669110512148</v>
      </c>
      <c r="BR440" s="50">
        <f t="shared" si="1578"/>
        <v>7.9826011146880207</v>
      </c>
      <c r="BS440" s="50">
        <f t="shared" si="1578"/>
        <v>3.4413108532267613</v>
      </c>
      <c r="BT440" s="50">
        <f t="shared" ref="BT440:BV441" si="1579">BT431/BT$428</f>
        <v>2.9812518916294142</v>
      </c>
      <c r="BU440" s="50">
        <f t="shared" si="1579"/>
        <v>3.0280339542040204</v>
      </c>
      <c r="BV440" s="50">
        <f t="shared" si="1579"/>
        <v>3.7090778422885284</v>
      </c>
      <c r="BW440" s="50">
        <f>BW431/BW$428</f>
        <v>4.8626739180169718</v>
      </c>
      <c r="BX440" s="50"/>
      <c r="BY440" s="50"/>
      <c r="BZ440" s="50"/>
      <c r="CA440" s="50"/>
      <c r="CD440" s="262"/>
      <c r="CJ440" s="8"/>
      <c r="CK440" s="8"/>
      <c r="CL440" s="8"/>
    </row>
    <row r="441" spans="2:90" ht="12.75">
      <c r="B441" s="1" t="str">
        <f>B305</f>
        <v>Total Gross Leverage - including finance leases</v>
      </c>
      <c r="C441" s="51">
        <f t="shared" si="1569"/>
        <v>3.2213791687266355</v>
      </c>
      <c r="D441" s="51">
        <f t="shared" si="1569"/>
        <v>3.2891806224132405</v>
      </c>
      <c r="E441" s="51">
        <f t="shared" si="1569"/>
        <v>3.6881875487780493</v>
      </c>
      <c r="F441" s="51">
        <f t="shared" si="1569"/>
        <v>3.7693287871568391</v>
      </c>
      <c r="G441" s="51">
        <f t="shared" si="1569"/>
        <v>3.7609976665584375</v>
      </c>
      <c r="H441" s="51">
        <f t="shared" si="1569"/>
        <v>3.4049124517762661</v>
      </c>
      <c r="I441" s="51">
        <f t="shared" si="1570"/>
        <v>3.7408217787521019</v>
      </c>
      <c r="J441" s="51">
        <f t="shared" si="1570"/>
        <v>5.0631417594779951</v>
      </c>
      <c r="K441" s="51">
        <f t="shared" si="1570"/>
        <v>8.5143871405142573</v>
      </c>
      <c r="L441" s="51">
        <f t="shared" si="1571"/>
        <v>3.389818735895219</v>
      </c>
      <c r="M441" s="51">
        <f>M432/M$428</f>
        <v>6.0236325812980027</v>
      </c>
      <c r="N441" s="51">
        <f t="shared" si="1571"/>
        <v>8.0787754775029654</v>
      </c>
      <c r="O441" s="51">
        <f>O432/O$428</f>
        <v>4.9826152891698037</v>
      </c>
      <c r="P441" s="51">
        <f>P432/P$428</f>
        <v>3.4225746660026024</v>
      </c>
      <c r="Q441" s="51"/>
      <c r="R441" s="428"/>
      <c r="S441" s="428"/>
      <c r="T441" s="428"/>
      <c r="U441" s="51">
        <f t="shared" ref="U441:AD441" si="1580">U432/U$428</f>
        <v>3.7010535165730309</v>
      </c>
      <c r="V441" s="51">
        <f t="shared" si="1580"/>
        <v>3.5503903206876517</v>
      </c>
      <c r="W441" s="51">
        <f t="shared" si="1580"/>
        <v>3.5631497448981064</v>
      </c>
      <c r="X441" s="51">
        <f t="shared" si="1580"/>
        <v>3.7312533492021012</v>
      </c>
      <c r="Y441" s="51">
        <f t="shared" si="1580"/>
        <v>3.7777852630374054</v>
      </c>
      <c r="Z441" s="51">
        <f t="shared" si="1580"/>
        <v>3.7793957115037498</v>
      </c>
      <c r="AA441" s="51">
        <f t="shared" si="1580"/>
        <v>3.6770097435241254</v>
      </c>
      <c r="AB441" s="51">
        <f t="shared" si="1580"/>
        <v>3.8106320331735644</v>
      </c>
      <c r="AC441" s="51">
        <f t="shared" si="1580"/>
        <v>3.4108717065454668</v>
      </c>
      <c r="AD441" s="51">
        <f t="shared" si="1580"/>
        <v>4.24610708147459</v>
      </c>
      <c r="AE441" s="51">
        <f t="shared" si="1573"/>
        <v>4.5223893460853608</v>
      </c>
      <c r="AF441" s="51">
        <f t="shared" si="1573"/>
        <v>4.7443205706598395</v>
      </c>
      <c r="AG441" s="51">
        <f t="shared" si="1573"/>
        <v>5.0561985819361475</v>
      </c>
      <c r="AH441" s="51">
        <f t="shared" si="1573"/>
        <v>6.2296330868006518</v>
      </c>
      <c r="AI441" s="51">
        <f t="shared" si="1573"/>
        <v>10.658227267121552</v>
      </c>
      <c r="AJ441" s="51">
        <f t="shared" si="1573"/>
        <v>11.521730833558461</v>
      </c>
      <c r="AK441" s="51">
        <f t="shared" si="1573"/>
        <v>8.2711808457680736</v>
      </c>
      <c r="AL441" s="51">
        <f t="shared" si="1573"/>
        <v>6.6802278901247689</v>
      </c>
      <c r="AM441" s="51">
        <f t="shared" si="1573"/>
        <v>4.2342227026953756</v>
      </c>
      <c r="AN441" s="51">
        <f t="shared" si="1573"/>
        <v>3.3769845223287343</v>
      </c>
      <c r="AO441" s="51">
        <f t="shared" si="1574"/>
        <v>3.413108460581201</v>
      </c>
      <c r="AP441" s="51">
        <f t="shared" si="1574"/>
        <v>3.9995573819014023</v>
      </c>
      <c r="AQ441" s="51">
        <f t="shared" si="1574"/>
        <v>5.378769244426703</v>
      </c>
      <c r="AR441" s="51">
        <f t="shared" si="1574"/>
        <v>5.9894492711180671</v>
      </c>
      <c r="AS441" s="51">
        <f t="shared" si="1574"/>
        <v>8.0756498959077696</v>
      </c>
      <c r="AT441" s="51">
        <f t="shared" si="1574"/>
        <v>9.4793405276039113</v>
      </c>
      <c r="AU441" s="51">
        <f t="shared" si="1574"/>
        <v>9.7735718054414775</v>
      </c>
      <c r="AV441" s="51">
        <f t="shared" si="1575"/>
        <v>8.9891156240601582</v>
      </c>
      <c r="AW441" s="51">
        <f t="shared" si="1575"/>
        <v>8.1021796092081697</v>
      </c>
      <c r="AX441" s="51">
        <f t="shared" si="1575"/>
        <v>6.8570107808585155</v>
      </c>
      <c r="AY441" s="51">
        <f t="shared" si="1575"/>
        <v>6.3673645035672228</v>
      </c>
      <c r="AZ441" s="51">
        <f t="shared" si="1575"/>
        <v>5.4246487815316078</v>
      </c>
      <c r="BA441" s="51">
        <f t="shared" si="1576"/>
        <v>4.9951786759287513</v>
      </c>
      <c r="BB441" s="51">
        <f t="shared" si="1576"/>
        <v>4.3026652275369779</v>
      </c>
      <c r="BC441" s="51">
        <f t="shared" si="1576"/>
        <v>4.0788386815209909</v>
      </c>
      <c r="BD441" s="51">
        <f t="shared" si="1576"/>
        <v>3.6672719721060671</v>
      </c>
      <c r="BE441" s="51">
        <f>BE432/BE$428</f>
        <v>3.4133945484418287</v>
      </c>
      <c r="BF441" s="51">
        <f>BF432/BF$428</f>
        <v>3.3128526843505632</v>
      </c>
      <c r="BG441" s="142"/>
      <c r="BH441" s="51"/>
      <c r="BI441" s="51"/>
      <c r="BJ441" s="51"/>
      <c r="BK441" s="51"/>
      <c r="BL441" s="51">
        <f>BL432/BL$428</f>
        <v>8.1886218337011272</v>
      </c>
      <c r="BM441" s="51"/>
      <c r="BN441" s="51">
        <f t="shared" si="1577"/>
        <v>3.4448098566829715</v>
      </c>
      <c r="BO441" s="51">
        <f t="shared" si="1577"/>
        <v>3.5745045399901132</v>
      </c>
      <c r="BP441" s="51">
        <f t="shared" si="1577"/>
        <v>3.6625527900169139</v>
      </c>
      <c r="BQ441" s="51">
        <f t="shared" si="1578"/>
        <v>4.5223893460853608</v>
      </c>
      <c r="BR441" s="51">
        <f t="shared" si="1578"/>
        <v>10.658227267121552</v>
      </c>
      <c r="BS441" s="51">
        <f t="shared" si="1578"/>
        <v>4.2342227026953756</v>
      </c>
      <c r="BT441" s="51">
        <f t="shared" si="1579"/>
        <v>3.3769845223287343</v>
      </c>
      <c r="BU441" s="51">
        <f t="shared" si="1579"/>
        <v>3.413108460581201</v>
      </c>
      <c r="BV441" s="51">
        <f t="shared" si="1579"/>
        <v>3.9995573819014023</v>
      </c>
      <c r="BW441" s="51">
        <f>BW432/BW$428</f>
        <v>5.378769244426703</v>
      </c>
      <c r="BX441" s="51"/>
      <c r="BY441" s="51"/>
      <c r="BZ441" s="51"/>
      <c r="CA441" s="51"/>
      <c r="CD441" s="346"/>
      <c r="CJ441" s="6"/>
      <c r="CK441" s="6"/>
      <c r="CL441" s="6"/>
    </row>
    <row r="442" spans="2:90" ht="12.75"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429"/>
      <c r="S442" s="429"/>
      <c r="T442" s="429"/>
      <c r="U442" s="93"/>
      <c r="V442" s="93"/>
      <c r="W442" s="93"/>
      <c r="X442" s="93"/>
      <c r="Y442" s="93"/>
      <c r="Z442" s="93"/>
      <c r="AA442" s="93"/>
      <c r="AB442" s="93"/>
      <c r="AC442" s="93"/>
      <c r="AD442" s="93"/>
      <c r="AE442" s="93"/>
      <c r="AF442" s="93"/>
      <c r="AG442" s="93"/>
      <c r="AH442" s="93"/>
      <c r="AI442" s="93"/>
      <c r="AJ442" s="93"/>
      <c r="AK442" s="93"/>
      <c r="AL442" s="93"/>
      <c r="AM442" s="93"/>
      <c r="AN442" s="93"/>
      <c r="AO442" s="93"/>
      <c r="AP442" s="93"/>
      <c r="AQ442" s="93"/>
      <c r="AR442" s="93"/>
      <c r="AS442" s="93"/>
      <c r="AT442" s="93"/>
      <c r="AU442" s="93"/>
      <c r="AV442" s="93"/>
      <c r="AW442" s="93"/>
      <c r="AX442" s="93"/>
      <c r="AY442" s="93"/>
      <c r="AZ442" s="93"/>
      <c r="BA442" s="93"/>
      <c r="BB442" s="93"/>
      <c r="BC442" s="93"/>
      <c r="BD442" s="93"/>
      <c r="BE442" s="93"/>
      <c r="BF442" s="93"/>
      <c r="BG442" s="142"/>
      <c r="BH442" s="93"/>
      <c r="BI442" s="93"/>
      <c r="BJ442" s="93"/>
      <c r="BK442" s="93"/>
      <c r="BL442" s="93"/>
      <c r="BM442" s="93"/>
      <c r="BN442" s="93"/>
      <c r="BO442" s="93"/>
      <c r="BP442" s="93"/>
      <c r="BQ442" s="93"/>
      <c r="BR442" s="93"/>
      <c r="BS442" s="93"/>
      <c r="BT442" s="93"/>
      <c r="BU442" s="93"/>
      <c r="BV442" s="93"/>
      <c r="BW442" s="93"/>
      <c r="BX442" s="93"/>
      <c r="BY442" s="93"/>
      <c r="BZ442" s="93"/>
      <c r="CA442" s="93"/>
      <c r="CD442" s="262"/>
      <c r="CJ442" s="6"/>
      <c r="CK442" s="6"/>
      <c r="CL442" s="6"/>
    </row>
    <row r="443" spans="2:90" s="5" customFormat="1" ht="12.75">
      <c r="B443" s="5" t="str">
        <f>B307</f>
        <v>Lease adjusted net leverage</v>
      </c>
      <c r="C443" s="50">
        <f t="shared" ref="C443:H444" si="1581">C434/C$429</f>
        <v>3.5539272738715733</v>
      </c>
      <c r="D443" s="50">
        <f t="shared" si="1581"/>
        <v>3.6645635868758144</v>
      </c>
      <c r="E443" s="50">
        <f t="shared" si="1581"/>
        <v>4.0948805786860074</v>
      </c>
      <c r="F443" s="50">
        <f t="shared" si="1581"/>
        <v>4.1897574127519155</v>
      </c>
      <c r="G443" s="50">
        <f t="shared" si="1581"/>
        <v>4.2344331508650344</v>
      </c>
      <c r="H443" s="50">
        <f t="shared" si="1581"/>
        <v>3.797639343677266</v>
      </c>
      <c r="I443" s="50">
        <f t="shared" ref="I443:K444" si="1582">I434/I$429</f>
        <v>4.1709312757542714</v>
      </c>
      <c r="J443" s="50">
        <f t="shared" si="1582"/>
        <v>4.9509061271154149</v>
      </c>
      <c r="K443" s="50">
        <f t="shared" si="1582"/>
        <v>6.5535660831144549</v>
      </c>
      <c r="L443" s="50">
        <f t="shared" ref="L443:N444" si="1583">L434/L$429</f>
        <v>3.284388729026011</v>
      </c>
      <c r="M443" s="50">
        <f>M434/M$429</f>
        <v>5.4954093636219241</v>
      </c>
      <c r="N443" s="50">
        <f t="shared" si="1583"/>
        <v>6.7056847355844473</v>
      </c>
      <c r="O443" s="50">
        <f>O434/O$429</f>
        <v>3.9495568590571906</v>
      </c>
      <c r="P443" s="50">
        <f>P434/P$429</f>
        <v>2.6670070477722878</v>
      </c>
      <c r="Q443" s="50"/>
      <c r="R443" s="427"/>
      <c r="S443" s="427"/>
      <c r="T443" s="427"/>
      <c r="U443" s="50">
        <f t="shared" ref="U443:AD443" si="1584">U434/U$429</f>
        <v>4.109372937106003</v>
      </c>
      <c r="V443" s="50">
        <f t="shared" si="1584"/>
        <v>3.9869744126274322</v>
      </c>
      <c r="W443" s="50">
        <f t="shared" si="1584"/>
        <v>4.0018309052502161</v>
      </c>
      <c r="X443" s="50">
        <f t="shared" si="1584"/>
        <v>4.1464032907139394</v>
      </c>
      <c r="Y443" s="50">
        <f t="shared" si="1584"/>
        <v>4.1981505887721466</v>
      </c>
      <c r="Z443" s="50">
        <f t="shared" si="1584"/>
        <v>4.2465955131796926</v>
      </c>
      <c r="AA443" s="50">
        <f t="shared" si="1584"/>
        <v>4.11360913200458</v>
      </c>
      <c r="AB443" s="50">
        <f t="shared" si="1584"/>
        <v>4.2555098979456805</v>
      </c>
      <c r="AC443" s="50">
        <f t="shared" si="1584"/>
        <v>3.8038672183345215</v>
      </c>
      <c r="AD443" s="50">
        <f t="shared" si="1584"/>
        <v>4.5178063446705456</v>
      </c>
      <c r="AE443" s="50">
        <f t="shared" ref="AE443:AN444" si="1585">AE434/AE$429</f>
        <v>4.7839989190468835</v>
      </c>
      <c r="AF443" s="50">
        <f t="shared" si="1585"/>
        <v>4.8518546568457506</v>
      </c>
      <c r="AG443" s="50">
        <f t="shared" si="1585"/>
        <v>4.9461651396400272</v>
      </c>
      <c r="AH443" s="50">
        <f t="shared" si="1585"/>
        <v>5.3278825304110775</v>
      </c>
      <c r="AI443" s="50">
        <f t="shared" si="1585"/>
        <v>7.9282247292060681</v>
      </c>
      <c r="AJ443" s="50">
        <f t="shared" si="1585"/>
        <v>8.8132503332508243</v>
      </c>
      <c r="AK443" s="50">
        <f t="shared" si="1585"/>
        <v>6.3717618344516724</v>
      </c>
      <c r="AL443" s="50">
        <f t="shared" si="1585"/>
        <v>5.4752787170776465</v>
      </c>
      <c r="AM443" s="50">
        <f t="shared" si="1585"/>
        <v>3.7460198510222491</v>
      </c>
      <c r="AN443" s="50">
        <f t="shared" si="1585"/>
        <v>3.2398541624479411</v>
      </c>
      <c r="AO443" s="50">
        <f t="shared" ref="AO443:AU444" si="1586">AO434/AO$429</f>
        <v>3.3106658482905114</v>
      </c>
      <c r="AP443" s="50">
        <f t="shared" si="1586"/>
        <v>4.0555225895951121</v>
      </c>
      <c r="AQ443" s="50">
        <f t="shared" si="1586"/>
        <v>5.2071513795990976</v>
      </c>
      <c r="AR443" s="50">
        <f t="shared" si="1586"/>
        <v>5.5768478162593063</v>
      </c>
      <c r="AS443" s="50">
        <f t="shared" si="1586"/>
        <v>7.369350289980626</v>
      </c>
      <c r="AT443" s="50">
        <f t="shared" si="1586"/>
        <v>8.6552152556609432</v>
      </c>
      <c r="AU443" s="50">
        <f t="shared" si="1586"/>
        <v>9.0143509956342882</v>
      </c>
      <c r="AV443" s="50">
        <f t="shared" ref="AV443:AZ444" si="1587">AV434/AV$429</f>
        <v>7.9341881356325272</v>
      </c>
      <c r="AW443" s="50">
        <f t="shared" si="1587"/>
        <v>6.7233112607906893</v>
      </c>
      <c r="AX443" s="50">
        <f t="shared" si="1587"/>
        <v>5.9368852785850361</v>
      </c>
      <c r="AY443" s="50">
        <f t="shared" si="1587"/>
        <v>5.5715626430726131</v>
      </c>
      <c r="AZ443" s="50">
        <f t="shared" si="1587"/>
        <v>4.496684090942269</v>
      </c>
      <c r="BA443" s="50">
        <f t="shared" ref="BA443:BD444" si="1588">BA434/BA$429</f>
        <v>3.9588377149867497</v>
      </c>
      <c r="BB443" s="50">
        <f t="shared" si="1588"/>
        <v>3.7754391325293266</v>
      </c>
      <c r="BC443" s="50">
        <f t="shared" si="1588"/>
        <v>3.3009195193110039</v>
      </c>
      <c r="BD443" s="50">
        <f t="shared" si="1588"/>
        <v>3.0451937158721205</v>
      </c>
      <c r="BE443" s="50">
        <f>BE434/BE$429</f>
        <v>2.6600506261829246</v>
      </c>
      <c r="BF443" s="50">
        <f>BF434/BF$429</f>
        <v>2.4486437934128444</v>
      </c>
      <c r="BG443" s="142"/>
      <c r="BH443" s="50"/>
      <c r="BI443" s="50"/>
      <c r="BJ443" s="50"/>
      <c r="BK443" s="50"/>
      <c r="BL443" s="50">
        <f>BL434/BL$429</f>
        <v>7.6502288552359365</v>
      </c>
      <c r="BM443" s="50"/>
      <c r="BN443" s="50">
        <f t="shared" ref="BN443:BP444" si="1589">BN307</f>
        <v>3.901441939161796</v>
      </c>
      <c r="BO443" s="50">
        <f t="shared" si="1589"/>
        <v>4.0147508237353815</v>
      </c>
      <c r="BP443" s="50">
        <f t="shared" si="1589"/>
        <v>4.0981924290201208</v>
      </c>
      <c r="BQ443" s="50">
        <f t="shared" ref="BQ443:BS444" si="1590">BQ434/BQ$429</f>
        <v>4.7839989190468835</v>
      </c>
      <c r="BR443" s="50">
        <f t="shared" si="1590"/>
        <v>7.9282247292060681</v>
      </c>
      <c r="BS443" s="50">
        <f t="shared" si="1590"/>
        <v>3.7460198510222491</v>
      </c>
      <c r="BT443" s="50">
        <f t="shared" ref="BT443:BV444" si="1591">BT434/BT$429</f>
        <v>3.2398541624479411</v>
      </c>
      <c r="BU443" s="50">
        <f t="shared" si="1591"/>
        <v>3.3106658482905114</v>
      </c>
      <c r="BV443" s="50">
        <f t="shared" si="1591"/>
        <v>4.0555225895951121</v>
      </c>
      <c r="BW443" s="50">
        <f>BW434/BW$429</f>
        <v>5.2071513795990976</v>
      </c>
      <c r="BX443" s="50"/>
      <c r="BY443" s="50"/>
      <c r="BZ443" s="50"/>
      <c r="CA443" s="50"/>
      <c r="CD443" s="262"/>
      <c r="CJ443" s="8"/>
      <c r="CK443" s="8"/>
      <c r="CL443" s="8"/>
    </row>
    <row r="444" spans="2:90" ht="12.75">
      <c r="B444" s="1" t="str">
        <f>B308</f>
        <v>Lease adjusted gross leverage</v>
      </c>
      <c r="C444" s="51">
        <f t="shared" si="1581"/>
        <v>3.7496726776992726</v>
      </c>
      <c r="D444" s="51">
        <f t="shared" si="1581"/>
        <v>3.8367662727605825</v>
      </c>
      <c r="E444" s="51">
        <f t="shared" si="1581"/>
        <v>4.2658123355075821</v>
      </c>
      <c r="F444" s="51">
        <f t="shared" si="1581"/>
        <v>4.3877807237365385</v>
      </c>
      <c r="G444" s="51">
        <f t="shared" si="1581"/>
        <v>4.4296697532952773</v>
      </c>
      <c r="H444" s="51">
        <f t="shared" si="1581"/>
        <v>4.0649484648675083</v>
      </c>
      <c r="I444" s="51">
        <f t="shared" si="1582"/>
        <v>4.4598872946526802</v>
      </c>
      <c r="J444" s="51">
        <f t="shared" si="1582"/>
        <v>5.2781907574198472</v>
      </c>
      <c r="K444" s="51">
        <f t="shared" si="1582"/>
        <v>8.5611111928209898</v>
      </c>
      <c r="L444" s="51">
        <f t="shared" si="1583"/>
        <v>3.6407985229018811</v>
      </c>
      <c r="M444" s="51">
        <f>M435/M$429</f>
        <v>6.0546557695781535</v>
      </c>
      <c r="N444" s="51">
        <f t="shared" si="1583"/>
        <v>8.0072690116507133</v>
      </c>
      <c r="O444" s="51">
        <f>O435/O$429</f>
        <v>5.1980128764389804</v>
      </c>
      <c r="P444" s="51">
        <f>P435/P$429</f>
        <v>3.7152092806937955</v>
      </c>
      <c r="Q444" s="51"/>
      <c r="R444" s="428"/>
      <c r="S444" s="428"/>
      <c r="T444" s="428"/>
      <c r="U444" s="51">
        <f t="shared" ref="U444:AD444" si="1592">U435/U$429</f>
        <v>4.2809096454609907</v>
      </c>
      <c r="V444" s="51">
        <f t="shared" si="1592"/>
        <v>4.1479566121599358</v>
      </c>
      <c r="W444" s="51">
        <f t="shared" si="1592"/>
        <v>4.1450842072173861</v>
      </c>
      <c r="X444" s="51">
        <f t="shared" si="1592"/>
        <v>4.3215479438953022</v>
      </c>
      <c r="Y444" s="51">
        <f t="shared" si="1592"/>
        <v>4.3965705920569365</v>
      </c>
      <c r="Z444" s="51">
        <f t="shared" si="1592"/>
        <v>4.4348469901853953</v>
      </c>
      <c r="AA444" s="51">
        <f t="shared" si="1592"/>
        <v>4.2811249453672149</v>
      </c>
      <c r="AB444" s="51">
        <f t="shared" si="1592"/>
        <v>4.4157743533656326</v>
      </c>
      <c r="AC444" s="51">
        <f t="shared" si="1592"/>
        <v>4.0716147086143106</v>
      </c>
      <c r="AD444" s="51">
        <f t="shared" si="1592"/>
        <v>4.768838669082256</v>
      </c>
      <c r="AE444" s="51">
        <f t="shared" si="1585"/>
        <v>4.9639157929455191</v>
      </c>
      <c r="AF444" s="51">
        <f t="shared" si="1585"/>
        <v>5.0721256940475845</v>
      </c>
      <c r="AG444" s="51">
        <f t="shared" si="1585"/>
        <v>5.2731363621978131</v>
      </c>
      <c r="AH444" s="51">
        <f t="shared" si="1585"/>
        <v>6.2926790679201474</v>
      </c>
      <c r="AI444" s="51">
        <f t="shared" si="1585"/>
        <v>10.318093294540363</v>
      </c>
      <c r="AJ444" s="51">
        <f t="shared" si="1585"/>
        <v>11.1502182514868</v>
      </c>
      <c r="AK444" s="51">
        <f t="shared" si="1585"/>
        <v>8.3236150924704315</v>
      </c>
      <c r="AL444" s="51">
        <f t="shared" si="1585"/>
        <v>6.8222772393024798</v>
      </c>
      <c r="AM444" s="51">
        <f t="shared" si="1585"/>
        <v>4.4875951502353093</v>
      </c>
      <c r="AN444" s="51">
        <f t="shared" si="1585"/>
        <v>3.6119700738374045</v>
      </c>
      <c r="AO444" s="51">
        <f t="shared" si="1586"/>
        <v>3.6699271385735956</v>
      </c>
      <c r="AP444" s="51">
        <f t="shared" si="1586"/>
        <v>4.3226567974296586</v>
      </c>
      <c r="AQ444" s="51">
        <f t="shared" si="1586"/>
        <v>5.6738529838243217</v>
      </c>
      <c r="AR444" s="51">
        <f t="shared" si="1586"/>
        <v>6.1333811728408794</v>
      </c>
      <c r="AS444" s="51">
        <f t="shared" si="1586"/>
        <v>8.1193003648896784</v>
      </c>
      <c r="AT444" s="51">
        <f t="shared" si="1586"/>
        <v>9.4198421810984883</v>
      </c>
      <c r="AU444" s="51">
        <f t="shared" si="1586"/>
        <v>9.6156808118738795</v>
      </c>
      <c r="AV444" s="51">
        <f t="shared" si="1587"/>
        <v>8.8042705898355464</v>
      </c>
      <c r="AW444" s="51">
        <f t="shared" si="1587"/>
        <v>8.0283168739693878</v>
      </c>
      <c r="AX444" s="51">
        <f t="shared" si="1587"/>
        <v>6.8757193512667785</v>
      </c>
      <c r="AY444" s="51">
        <f t="shared" si="1587"/>
        <v>6.4930426641239816</v>
      </c>
      <c r="AZ444" s="51">
        <f t="shared" si="1587"/>
        <v>5.6069392345039413</v>
      </c>
      <c r="BA444" s="51">
        <f t="shared" si="1588"/>
        <v>5.2102274134991555</v>
      </c>
      <c r="BB444" s="51">
        <f t="shared" si="1588"/>
        <v>4.5736126281199949</v>
      </c>
      <c r="BC444" s="51">
        <f t="shared" si="1588"/>
        <v>4.3479581464398924</v>
      </c>
      <c r="BD444" s="51">
        <f t="shared" si="1588"/>
        <v>3.9332547835214728</v>
      </c>
      <c r="BE444" s="51">
        <f>BE435/BE$429</f>
        <v>3.7055188068456637</v>
      </c>
      <c r="BF444" s="51">
        <f>BF435/BF$429</f>
        <v>3.5848068011126708</v>
      </c>
      <c r="BG444" s="142"/>
      <c r="BH444" s="51"/>
      <c r="BI444" s="51"/>
      <c r="BJ444" s="51"/>
      <c r="BK444" s="51"/>
      <c r="BL444" s="51">
        <f>BL435/BL$429</f>
        <v>8.1686363083595346</v>
      </c>
      <c r="BM444" s="51"/>
      <c r="BN444" s="51">
        <f t="shared" si="1589"/>
        <v>4.0538215666004671</v>
      </c>
      <c r="BO444" s="51">
        <f t="shared" si="1589"/>
        <v>4.1584666192531214</v>
      </c>
      <c r="BP444" s="51">
        <f t="shared" si="1589"/>
        <v>4.2650804380734639</v>
      </c>
      <c r="BQ444" s="51">
        <f t="shared" si="1590"/>
        <v>4.9639157929455191</v>
      </c>
      <c r="BR444" s="51">
        <f t="shared" si="1590"/>
        <v>10.318093294540363</v>
      </c>
      <c r="BS444" s="51">
        <f t="shared" si="1590"/>
        <v>4.4875951502353093</v>
      </c>
      <c r="BT444" s="51">
        <f t="shared" si="1591"/>
        <v>3.6119700738374045</v>
      </c>
      <c r="BU444" s="51">
        <f t="shared" si="1591"/>
        <v>3.6699271385735956</v>
      </c>
      <c r="BV444" s="51">
        <f t="shared" si="1591"/>
        <v>4.3226567974296586</v>
      </c>
      <c r="BW444" s="51">
        <f>BW435/BW$429</f>
        <v>5.6738529838243217</v>
      </c>
      <c r="BX444" s="51"/>
      <c r="BY444" s="51"/>
      <c r="BZ444" s="51"/>
      <c r="CA444" s="51"/>
      <c r="CD444" s="346"/>
      <c r="CJ444" s="6"/>
      <c r="CK444" s="6"/>
      <c r="CL444" s="6"/>
    </row>
    <row r="445" spans="2:90" ht="12.75"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429"/>
      <c r="S445" s="429"/>
      <c r="T445" s="429"/>
      <c r="U445" s="93"/>
      <c r="V445" s="93"/>
      <c r="W445" s="93"/>
      <c r="X445" s="93"/>
      <c r="Y445" s="93"/>
      <c r="Z445" s="93"/>
      <c r="AA445" s="93"/>
      <c r="AB445" s="93"/>
      <c r="AC445" s="93"/>
      <c r="AD445" s="93"/>
      <c r="AE445" s="93"/>
      <c r="AF445" s="93"/>
      <c r="AG445" s="93"/>
      <c r="AH445" s="93"/>
      <c r="AI445" s="93"/>
      <c r="AJ445" s="93"/>
      <c r="AK445" s="93"/>
      <c r="AL445" s="93"/>
      <c r="AM445" s="93"/>
      <c r="AN445" s="93"/>
      <c r="AO445" s="93"/>
      <c r="AP445" s="93"/>
      <c r="AQ445" s="93"/>
      <c r="AR445" s="93"/>
      <c r="AS445" s="93"/>
      <c r="AT445" s="93"/>
      <c r="AU445" s="93"/>
      <c r="AV445" s="93"/>
      <c r="AW445" s="93"/>
      <c r="AX445" s="93"/>
      <c r="AY445" s="93"/>
      <c r="AZ445" s="93"/>
      <c r="BA445" s="93"/>
      <c r="BB445" s="93"/>
      <c r="BC445" s="93"/>
      <c r="BD445" s="93"/>
      <c r="BE445" s="93"/>
      <c r="BF445" s="93"/>
      <c r="BG445" s="142"/>
      <c r="BH445" s="93"/>
      <c r="BI445" s="93"/>
      <c r="BJ445" s="93"/>
      <c r="BK445" s="93"/>
      <c r="BL445" s="93"/>
      <c r="BM445" s="93"/>
      <c r="BN445" s="93"/>
      <c r="BO445" s="93"/>
      <c r="BP445" s="93"/>
      <c r="BQ445" s="93"/>
      <c r="BR445" s="93"/>
      <c r="BS445" s="93"/>
      <c r="BT445" s="93"/>
      <c r="BU445" s="93"/>
      <c r="BV445" s="93"/>
      <c r="BW445" s="93"/>
      <c r="BX445" s="93"/>
      <c r="BY445" s="93"/>
      <c r="BZ445" s="93"/>
      <c r="CA445" s="93"/>
      <c r="CD445" s="262"/>
      <c r="CJ445" s="6"/>
      <c r="CK445" s="6"/>
      <c r="CL445" s="6"/>
    </row>
    <row r="446" spans="2:90" s="5" customFormat="1" ht="12.75">
      <c r="B446" s="5" t="str">
        <f>B310</f>
        <v>EBITDA - Capex / Interest</v>
      </c>
      <c r="C446" s="50">
        <f t="shared" ref="C446:N446" si="1593">(C427+C404)/-C402</f>
        <v>4.0855817403639723</v>
      </c>
      <c r="D446" s="50">
        <f t="shared" si="1593"/>
        <v>3.4701225839141703</v>
      </c>
      <c r="E446" s="50">
        <f t="shared" si="1593"/>
        <v>4.3149985461872964</v>
      </c>
      <c r="F446" s="50">
        <f t="shared" si="1593"/>
        <v>3.3411514027983853</v>
      </c>
      <c r="G446" s="50">
        <f t="shared" si="1593"/>
        <v>3.34115140279838</v>
      </c>
      <c r="H446" s="50">
        <f t="shared" si="1593"/>
        <v>3.7761953898979517</v>
      </c>
      <c r="I446" s="50">
        <f t="shared" si="1593"/>
        <v>2.5852973604326621</v>
      </c>
      <c r="J446" s="50">
        <f t="shared" si="1593"/>
        <v>1.7562014743507013</v>
      </c>
      <c r="K446" s="50">
        <f t="shared" si="1593"/>
        <v>0.93655601171104952</v>
      </c>
      <c r="L446" s="50">
        <f t="shared" si="1593"/>
        <v>5.5002842328502419</v>
      </c>
      <c r="M446" s="50">
        <f t="shared" si="1593"/>
        <v>1.8053368100449028</v>
      </c>
      <c r="N446" s="50">
        <f t="shared" si="1593"/>
        <v>2.3729313549218451</v>
      </c>
      <c r="O446" s="50">
        <f>(O427+O404)/-O402</f>
        <v>4.7042600565429007</v>
      </c>
      <c r="P446" s="50">
        <f>(P427+P404)/-P402</f>
        <v>13.147870879251743</v>
      </c>
      <c r="Q446" s="87"/>
      <c r="R446" s="427"/>
      <c r="S446" s="427"/>
      <c r="T446" s="427"/>
      <c r="U446" s="50">
        <f t="shared" ref="U446:BE446" si="1594">(U427+SUM(R404:U404))/-SUM(R402:U402)</f>
        <v>4.3339193838743517</v>
      </c>
      <c r="V446" s="50">
        <f t="shared" si="1594"/>
        <v>4.3186796045317228</v>
      </c>
      <c r="W446" s="50">
        <f t="shared" si="1594"/>
        <v>4.7361671564789241</v>
      </c>
      <c r="X446" s="50">
        <f t="shared" si="1594"/>
        <v>3.509653514979711</v>
      </c>
      <c r="Y446" s="50">
        <f t="shared" si="1594"/>
        <v>3.3152392305164518</v>
      </c>
      <c r="Z446" s="50">
        <f t="shared" si="1594"/>
        <v>3.4576280080235806</v>
      </c>
      <c r="AA446" s="50">
        <f t="shared" si="1594"/>
        <v>2.806643554037453</v>
      </c>
      <c r="AB446" s="50">
        <f t="shared" si="1594"/>
        <v>3.5809198357483836</v>
      </c>
      <c r="AC446" s="50">
        <f t="shared" si="1594"/>
        <v>3.7565812309562614</v>
      </c>
      <c r="AD446" s="50">
        <f t="shared" si="1594"/>
        <v>3.4068022379523466</v>
      </c>
      <c r="AE446" s="50">
        <f t="shared" si="1594"/>
        <v>3.81092726632756</v>
      </c>
      <c r="AF446" s="50">
        <f t="shared" si="1594"/>
        <v>3.0298766805910171</v>
      </c>
      <c r="AG446" s="50">
        <f t="shared" si="1594"/>
        <v>1.7748550075590706</v>
      </c>
      <c r="AH446" s="50">
        <f t="shared" si="1594"/>
        <v>1.287928053448244</v>
      </c>
      <c r="AI446" s="50">
        <f t="shared" si="1594"/>
        <v>-0.13078378933673604</v>
      </c>
      <c r="AJ446" s="50">
        <f t="shared" si="1594"/>
        <v>5.8566717396963376E-2</v>
      </c>
      <c r="AK446" s="50">
        <f t="shared" si="1594"/>
        <v>1.0304365795088137</v>
      </c>
      <c r="AL446" s="50">
        <f t="shared" si="1594"/>
        <v>2.0086340473018134</v>
      </c>
      <c r="AM446" s="50">
        <f t="shared" si="1594"/>
        <v>4.0198680949882357</v>
      </c>
      <c r="AN446" s="50">
        <f t="shared" si="1594"/>
        <v>4.2695453215442116</v>
      </c>
      <c r="AO446" s="50">
        <f t="shared" si="1594"/>
        <v>5.3642183131623673</v>
      </c>
      <c r="AP446" s="50">
        <f t="shared" si="1594"/>
        <v>5.3031481398682603</v>
      </c>
      <c r="AQ446" s="50">
        <f t="shared" si="1594"/>
        <v>5.1740705357951748</v>
      </c>
      <c r="AR446" s="50">
        <f t="shared" si="1594"/>
        <v>4.6226340604903191</v>
      </c>
      <c r="AS446" s="50">
        <f t="shared" si="1594"/>
        <v>1.8592685116630419</v>
      </c>
      <c r="AT446" s="50">
        <f t="shared" si="1594"/>
        <v>1.1552113993680539</v>
      </c>
      <c r="AU446" s="50">
        <f t="shared" si="1594"/>
        <v>1.3557859171113464</v>
      </c>
      <c r="AV446" s="50">
        <f t="shared" si="1594"/>
        <v>1.3925272200025478</v>
      </c>
      <c r="AW446" s="50">
        <f t="shared" si="1594"/>
        <v>2.3722368934557396</v>
      </c>
      <c r="AX446" s="50">
        <f t="shared" si="1594"/>
        <v>2.8823967256656013</v>
      </c>
      <c r="AY446" s="50">
        <f t="shared" si="1594"/>
        <v>3.1866070945874401</v>
      </c>
      <c r="AZ446" s="50">
        <f t="shared" si="1594"/>
        <v>3.6314207412374708</v>
      </c>
      <c r="BA446" s="50">
        <f t="shared" si="1594"/>
        <v>4.6909758014666192</v>
      </c>
      <c r="BB446" s="50">
        <f>(BB427+SUM(AY404:BB404))/-SUM(AY402:BB402)</f>
        <v>5.3942017429279261</v>
      </c>
      <c r="BC446" s="50">
        <f t="shared" si="1594"/>
        <v>7.3978310233026487</v>
      </c>
      <c r="BD446" s="50">
        <f t="shared" si="1594"/>
        <v>8.2328692187985766</v>
      </c>
      <c r="BE446" s="50">
        <f t="shared" si="1594"/>
        <v>13.256234965016096</v>
      </c>
      <c r="BF446" s="50">
        <f>(BF427+SUM(BC404:BF404))/-SUM(BC402:BF402)</f>
        <v>12.763643968624686</v>
      </c>
      <c r="BG446" s="142"/>
      <c r="BH446" s="50"/>
      <c r="BI446" s="50"/>
      <c r="BJ446" s="50"/>
      <c r="BK446" s="50"/>
      <c r="BL446" s="50">
        <f>BL310</f>
        <v>4.2410565647781118</v>
      </c>
      <c r="BM446" s="50"/>
      <c r="BN446" s="50">
        <f t="shared" ref="BN446:BV446" si="1595">BN310</f>
        <v>2.9556387125283901</v>
      </c>
      <c r="BO446" s="50">
        <f t="shared" si="1595"/>
        <v>4.741454359584373</v>
      </c>
      <c r="BP446" s="50">
        <f t="shared" si="1595"/>
        <v>2.8193259173887695</v>
      </c>
      <c r="BQ446" s="50">
        <f t="shared" si="1595"/>
        <v>4.2308119369406603</v>
      </c>
      <c r="BR446" s="50">
        <f t="shared" si="1595"/>
        <v>-0.20015640571320012</v>
      </c>
      <c r="BS446" s="50">
        <f t="shared" si="1595"/>
        <v>3.9936455585907962</v>
      </c>
      <c r="BT446" s="50">
        <f t="shared" si="1595"/>
        <v>5.1705234443789507</v>
      </c>
      <c r="BU446" s="50">
        <f t="shared" si="1595"/>
        <v>1.3014996881774801</v>
      </c>
      <c r="BV446" s="50">
        <f t="shared" si="1595"/>
        <v>3.2203858095842359</v>
      </c>
      <c r="BW446" s="50">
        <f>BW310</f>
        <v>7.387785103764803</v>
      </c>
      <c r="BX446" s="50"/>
      <c r="BY446" s="50"/>
      <c r="BZ446" s="50"/>
      <c r="CA446" s="50"/>
      <c r="CD446" s="262"/>
      <c r="CJ446" s="8"/>
      <c r="CK446" s="8"/>
      <c r="CL446" s="8"/>
    </row>
    <row r="447" spans="2:90" ht="12.75">
      <c r="B447" s="1" t="str">
        <f>B311</f>
        <v>EBITDA/Interest</v>
      </c>
      <c r="C447" s="51">
        <f t="shared" ref="C447:N447" si="1596">C427/-C402</f>
        <v>10.246400867294062</v>
      </c>
      <c r="D447" s="51">
        <f t="shared" si="1596"/>
        <v>6.6053550290477103</v>
      </c>
      <c r="E447" s="51">
        <f t="shared" si="1596"/>
        <v>7.0169748066581077</v>
      </c>
      <c r="F447" s="51">
        <f t="shared" si="1596"/>
        <v>6.5389988493547362</v>
      </c>
      <c r="G447" s="51">
        <f t="shared" si="1596"/>
        <v>6.5389988493547309</v>
      </c>
      <c r="H447" s="51">
        <f t="shared" si="1596"/>
        <v>6.531370748318686</v>
      </c>
      <c r="I447" s="51">
        <f t="shared" si="1596"/>
        <v>5.3845114478486247</v>
      </c>
      <c r="J447" s="51">
        <f t="shared" si="1596"/>
        <v>5.4580924469487799</v>
      </c>
      <c r="K447" s="51">
        <f t="shared" si="1596"/>
        <v>3.09559718207568</v>
      </c>
      <c r="L447" s="51">
        <f t="shared" si="1596"/>
        <v>7.9144499570083875</v>
      </c>
      <c r="M447" s="51">
        <f t="shared" si="1596"/>
        <v>3.9416764489888072</v>
      </c>
      <c r="N447" s="51">
        <f t="shared" si="1596"/>
        <v>3.9703435209149394</v>
      </c>
      <c r="O447" s="51">
        <f>O427/-O402</f>
        <v>5.7220913719957567</v>
      </c>
      <c r="P447" s="51">
        <f>P427/-P402</f>
        <v>14.666574308731654</v>
      </c>
      <c r="Q447" s="51"/>
      <c r="R447" s="428"/>
      <c r="S447" s="428"/>
      <c r="T447" s="428"/>
      <c r="U447" s="51">
        <f t="shared" ref="U447:BF447" si="1597">U427/-SUM(R402:U402)</f>
        <v>7.046249811654441</v>
      </c>
      <c r="V447" s="51">
        <f t="shared" si="1597"/>
        <v>7.1896268601106152</v>
      </c>
      <c r="W447" s="51">
        <f t="shared" si="1597"/>
        <v>8.0989637872488007</v>
      </c>
      <c r="X447" s="51">
        <f t="shared" si="1597"/>
        <v>6.739781829483479</v>
      </c>
      <c r="Y447" s="51">
        <f t="shared" si="1597"/>
        <v>6.5036600931032433</v>
      </c>
      <c r="Z447" s="51">
        <f t="shared" si="1597"/>
        <v>6.6392299358514073</v>
      </c>
      <c r="AA447" s="51">
        <f t="shared" si="1597"/>
        <v>5.2858854758850908</v>
      </c>
      <c r="AB447" s="51">
        <f t="shared" si="1597"/>
        <v>6.4295978708290038</v>
      </c>
      <c r="AC447" s="51">
        <f t="shared" si="1597"/>
        <v>6.5073615762101271</v>
      </c>
      <c r="AD447" s="51">
        <f t="shared" si="1597"/>
        <v>6.206022702209653</v>
      </c>
      <c r="AE447" s="51">
        <f t="shared" si="1597"/>
        <v>7.682716936361305</v>
      </c>
      <c r="AF447" s="51">
        <f t="shared" si="1597"/>
        <v>6.7420525840795422</v>
      </c>
      <c r="AG447" s="51">
        <f t="shared" si="1597"/>
        <v>5.470243918376485</v>
      </c>
      <c r="AH447" s="51">
        <f t="shared" si="1597"/>
        <v>5.1979546531759855</v>
      </c>
      <c r="AI447" s="51">
        <f t="shared" si="1597"/>
        <v>3.077075219694819</v>
      </c>
      <c r="AJ447" s="51">
        <f t="shared" si="1597"/>
        <v>2.6830698594035916</v>
      </c>
      <c r="AK447" s="51">
        <f t="shared" si="1597"/>
        <v>3.1642915561600886</v>
      </c>
      <c r="AL447" s="51">
        <f t="shared" si="1597"/>
        <v>3.9333410563208124</v>
      </c>
      <c r="AM447" s="51">
        <f t="shared" si="1597"/>
        <v>5.7558104018491765</v>
      </c>
      <c r="AN447" s="51">
        <f t="shared" si="1597"/>
        <v>5.9670315088137205</v>
      </c>
      <c r="AO447" s="51">
        <f t="shared" si="1597"/>
        <v>7.6962022566109978</v>
      </c>
      <c r="AP447" s="51">
        <f t="shared" si="1597"/>
        <v>7.6272907711154376</v>
      </c>
      <c r="AQ447" s="51">
        <f t="shared" si="1597"/>
        <v>7.7921528681226002</v>
      </c>
      <c r="AR447" s="51">
        <f t="shared" si="1597"/>
        <v>7.5774771948183748</v>
      </c>
      <c r="AS447" s="51">
        <f t="shared" si="1597"/>
        <v>4.0076829254798572</v>
      </c>
      <c r="AT447" s="51">
        <f t="shared" si="1597"/>
        <v>3.0231658086938968</v>
      </c>
      <c r="AU447" s="51">
        <f t="shared" si="1597"/>
        <v>3.107570910872238</v>
      </c>
      <c r="AV447" s="51">
        <f t="shared" si="1597"/>
        <v>3.1355897698975053</v>
      </c>
      <c r="AW447" s="51">
        <f t="shared" si="1597"/>
        <v>3.9654973271789853</v>
      </c>
      <c r="AX447" s="51">
        <f t="shared" si="1597"/>
        <v>4.4184416944672043</v>
      </c>
      <c r="AY447" s="51">
        <f t="shared" si="1597"/>
        <v>4.6098306490668346</v>
      </c>
      <c r="AZ447" s="51">
        <f t="shared" si="1597"/>
        <v>4.8112120862809453</v>
      </c>
      <c r="BA447" s="51">
        <f t="shared" si="1597"/>
        <v>5.7071990878517385</v>
      </c>
      <c r="BB447" s="51">
        <f t="shared" si="1597"/>
        <v>6.3065039141595145</v>
      </c>
      <c r="BC447" s="51">
        <f t="shared" si="1597"/>
        <v>8.29337391284575</v>
      </c>
      <c r="BD447" s="51">
        <f t="shared" si="1597"/>
        <v>9.2917601209673037</v>
      </c>
      <c r="BE447" s="51">
        <f t="shared" si="1597"/>
        <v>14.784030223395199</v>
      </c>
      <c r="BF447" s="51">
        <f t="shared" si="1597"/>
        <v>14.448318284561743</v>
      </c>
      <c r="BG447" s="142"/>
      <c r="BH447" s="51"/>
      <c r="BI447" s="51"/>
      <c r="BJ447" s="51"/>
      <c r="BK447" s="51"/>
      <c r="BL447" s="51">
        <f>BL311</f>
        <v>7.8097671052947124</v>
      </c>
      <c r="BM447" s="51"/>
      <c r="BN447" s="51">
        <f t="shared" ref="BN447:BV447" si="1598">BN311</f>
        <v>5.9250293582051343</v>
      </c>
      <c r="BO447" s="51">
        <f t="shared" si="1598"/>
        <v>8.1069292238477502</v>
      </c>
      <c r="BP447" s="51">
        <f t="shared" si="1598"/>
        <v>5.2972456481936439</v>
      </c>
      <c r="BQ447" s="51">
        <f t="shared" si="1598"/>
        <v>7.7359175809656753</v>
      </c>
      <c r="BR447" s="51">
        <f t="shared" si="1598"/>
        <v>2.9739581914252438</v>
      </c>
      <c r="BS447" s="51">
        <f t="shared" si="1598"/>
        <v>5.7315823477996464</v>
      </c>
      <c r="BT447" s="51">
        <f t="shared" si="1598"/>
        <v>7.8029923784947686</v>
      </c>
      <c r="BU447" s="51">
        <f t="shared" si="1598"/>
        <v>3.0751495843557448</v>
      </c>
      <c r="BV447" s="51">
        <f t="shared" si="1598"/>
        <v>4.6239484903048398</v>
      </c>
      <c r="BW447" s="51">
        <f>BW311</f>
        <v>8.2840112770303023</v>
      </c>
      <c r="BX447" s="51"/>
      <c r="BY447" s="51"/>
      <c r="BZ447" s="51"/>
      <c r="CA447" s="51"/>
      <c r="CD447" s="346"/>
      <c r="CJ447" s="6"/>
      <c r="CK447" s="6"/>
      <c r="CL447" s="6"/>
    </row>
    <row r="448" spans="2:90" ht="13.5" customHeight="1"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430"/>
      <c r="S448" s="430"/>
      <c r="T448" s="430"/>
      <c r="U448" s="68"/>
      <c r="V448" s="68"/>
      <c r="W448" s="68"/>
      <c r="X448" s="68"/>
      <c r="Y448" s="68"/>
      <c r="Z448" s="68"/>
      <c r="AA448" s="68"/>
      <c r="AB448" s="68"/>
      <c r="AC448" s="68"/>
      <c r="AD448" s="68"/>
      <c r="AE448" s="68"/>
      <c r="AF448" s="68"/>
      <c r="AG448" s="68"/>
      <c r="AH448" s="68"/>
      <c r="AI448" s="68"/>
      <c r="AJ448" s="68"/>
      <c r="AK448" s="68"/>
      <c r="AL448" s="68"/>
      <c r="AM448" s="68"/>
      <c r="AN448" s="68"/>
      <c r="AO448" s="68"/>
      <c r="AP448" s="68"/>
      <c r="AQ448" s="68"/>
      <c r="AR448" s="68"/>
      <c r="AS448" s="68"/>
      <c r="AT448" s="68"/>
      <c r="AU448" s="68"/>
      <c r="AV448" s="68"/>
      <c r="AW448" s="68"/>
      <c r="AX448" s="68"/>
      <c r="AY448" s="68"/>
      <c r="AZ448" s="68"/>
      <c r="BA448" s="68"/>
      <c r="BB448" s="68"/>
      <c r="BC448" s="68"/>
      <c r="BD448" s="68"/>
      <c r="BE448" s="68"/>
      <c r="BF448" s="68"/>
      <c r="BG448" s="142"/>
      <c r="BH448" s="68"/>
      <c r="BI448" s="68"/>
      <c r="BJ448" s="68"/>
      <c r="BK448" s="68"/>
      <c r="BL448" s="68"/>
      <c r="BM448" s="68"/>
      <c r="BN448" s="68"/>
      <c r="BO448" s="68"/>
      <c r="BP448" s="68"/>
      <c r="BQ448" s="68"/>
      <c r="BR448" s="68"/>
      <c r="BS448" s="68"/>
      <c r="BT448" s="68"/>
      <c r="BU448" s="68"/>
      <c r="BV448" s="68"/>
      <c r="BW448" s="68"/>
      <c r="BX448" s="68"/>
      <c r="BY448" s="68"/>
      <c r="BZ448" s="68"/>
      <c r="CA448" s="68"/>
      <c r="CD448" s="262"/>
      <c r="CJ448" s="6"/>
      <c r="CK448" s="6"/>
      <c r="CL448" s="6"/>
    </row>
    <row r="449" spans="1:90" s="5" customFormat="1" ht="13.5" customHeight="1">
      <c r="B449" s="5" t="s">
        <v>502</v>
      </c>
      <c r="C449" s="50">
        <f t="shared" ref="C449:N449" si="1599">(C428+C404)/-C402</f>
        <v>3.9891822017287066</v>
      </c>
      <c r="D449" s="50">
        <f t="shared" si="1599"/>
        <v>3.249086494185693</v>
      </c>
      <c r="E449" s="50">
        <f t="shared" si="1599"/>
        <v>3.3609486378394657</v>
      </c>
      <c r="F449" s="50">
        <f t="shared" si="1599"/>
        <v>3.307018152687049</v>
      </c>
      <c r="G449" s="50">
        <f t="shared" si="1599"/>
        <v>3.321427313390751</v>
      </c>
      <c r="H449" s="50">
        <f t="shared" si="1599"/>
        <v>3.6329669307028416</v>
      </c>
      <c r="I449" s="50">
        <f t="shared" si="1599"/>
        <v>2.4362950370901362</v>
      </c>
      <c r="J449" s="50">
        <f t="shared" si="1599"/>
        <v>1.6164202745476668</v>
      </c>
      <c r="K449" s="50">
        <f t="shared" si="1599"/>
        <v>1.1781172825825448</v>
      </c>
      <c r="L449" s="50">
        <f t="shared" si="1599"/>
        <v>5.6912327626352006</v>
      </c>
      <c r="M449" s="50">
        <f t="shared" si="1599"/>
        <v>1.757054563094365</v>
      </c>
      <c r="N449" s="50">
        <f t="shared" si="1599"/>
        <v>1.2515980842640035</v>
      </c>
      <c r="O449" s="50">
        <f>(O428+O404)/-O402</f>
        <v>3.7315716447747507</v>
      </c>
      <c r="P449" s="50">
        <f>(P428+P404)/-P402</f>
        <v>6.0570201438120312</v>
      </c>
      <c r="Q449" s="50"/>
      <c r="R449" s="427"/>
      <c r="S449" s="427"/>
      <c r="T449" s="427"/>
      <c r="U449" s="50">
        <f t="shared" ref="U449:BF449" si="1600">(U428+SUM(R404:U404))/-SUM(R402:U402)</f>
        <v>3.3602089974288307</v>
      </c>
      <c r="V449" s="50">
        <f t="shared" si="1600"/>
        <v>3.401312851993866</v>
      </c>
      <c r="W449" s="50">
        <f t="shared" si="1600"/>
        <v>3.6657713939198415</v>
      </c>
      <c r="X449" s="50">
        <f t="shared" si="1600"/>
        <v>3.3608696743548951</v>
      </c>
      <c r="Y449" s="50">
        <f t="shared" si="1600"/>
        <v>3.2824838733019632</v>
      </c>
      <c r="Z449" s="50">
        <f t="shared" si="1600"/>
        <v>3.392750484963813</v>
      </c>
      <c r="AA449" s="50">
        <f t="shared" si="1600"/>
        <v>2.8006115593500867</v>
      </c>
      <c r="AB449" s="50">
        <f t="shared" si="1600"/>
        <v>3.5582873367405692</v>
      </c>
      <c r="AC449" s="50">
        <f t="shared" si="1600"/>
        <v>3.6190383267902648</v>
      </c>
      <c r="AD449" s="50">
        <f t="shared" si="1600"/>
        <v>3.2644962279840786</v>
      </c>
      <c r="AE449" s="50">
        <f t="shared" si="1600"/>
        <v>3.5440546845187488</v>
      </c>
      <c r="AF449" s="50">
        <f t="shared" si="1600"/>
        <v>2.7611735381691709</v>
      </c>
      <c r="AG449" s="50">
        <f t="shared" si="1600"/>
        <v>1.6361738449686805</v>
      </c>
      <c r="AH449" s="50">
        <f t="shared" si="1600"/>
        <v>1.1362449744003513</v>
      </c>
      <c r="AI449" s="50">
        <f t="shared" si="1600"/>
        <v>-0.21651654554333663</v>
      </c>
      <c r="AJ449" s="50">
        <f t="shared" si="1600"/>
        <v>-1.326881357080811E-2</v>
      </c>
      <c r="AK449" s="50">
        <f t="shared" si="1600"/>
        <v>1.2855106775657188</v>
      </c>
      <c r="AL449" s="50">
        <f t="shared" si="1600"/>
        <v>2.2947967342095241</v>
      </c>
      <c r="AM449" s="50">
        <f t="shared" si="1600"/>
        <v>4.3210685224723511</v>
      </c>
      <c r="AN449" s="50">
        <f t="shared" si="1600"/>
        <v>4.521214001018369</v>
      </c>
      <c r="AO449" s="50">
        <f t="shared" si="1600"/>
        <v>5.536436583997947</v>
      </c>
      <c r="AP449" s="50">
        <f t="shared" si="1600"/>
        <v>5.4405481296641085</v>
      </c>
      <c r="AQ449" s="50">
        <f t="shared" si="1600"/>
        <v>4.8135937814007344</v>
      </c>
      <c r="AR449" s="50">
        <f t="shared" si="1600"/>
        <v>4.0615926861915819</v>
      </c>
      <c r="AS449" s="50">
        <f t="shared" si="1600"/>
        <v>1.8145589071605552</v>
      </c>
      <c r="AT449" s="50">
        <f t="shared" si="1600"/>
        <v>1.1006974471019169</v>
      </c>
      <c r="AU449" s="50">
        <f t="shared" si="1600"/>
        <v>0.87043506968163209</v>
      </c>
      <c r="AV449" s="50">
        <f t="shared" si="1600"/>
        <v>0.93228693750881741</v>
      </c>
      <c r="AW449" s="50">
        <f t="shared" si="1600"/>
        <v>1.2436914515847721</v>
      </c>
      <c r="AX449" s="50">
        <f t="shared" si="1600"/>
        <v>1.6873228416560642</v>
      </c>
      <c r="AY449" s="50">
        <f t="shared" si="1600"/>
        <v>2.3066189296568114</v>
      </c>
      <c r="AZ449" s="50">
        <f t="shared" si="1600"/>
        <v>2.7879336684236145</v>
      </c>
      <c r="BA449" s="50">
        <f t="shared" si="1600"/>
        <v>3.7210649640184301</v>
      </c>
      <c r="BB449" s="50">
        <f t="shared" si="1600"/>
        <v>4.4041066438949015</v>
      </c>
      <c r="BC449" s="50">
        <f t="shared" si="1600"/>
        <v>4.9678683815691089</v>
      </c>
      <c r="BD449" s="50">
        <f t="shared" si="1600"/>
        <v>5.5639739079577017</v>
      </c>
      <c r="BE449" s="50">
        <f t="shared" si="1600"/>
        <v>6.0613508708155717</v>
      </c>
      <c r="BF449" s="50">
        <f t="shared" si="1600"/>
        <v>6.5031491428588613</v>
      </c>
      <c r="BG449" s="142"/>
      <c r="BH449" s="50"/>
      <c r="BI449" s="50"/>
      <c r="BJ449" s="50"/>
      <c r="BK449" s="50"/>
      <c r="BL449" s="50">
        <f>+BL310</f>
        <v>4.2410565647781118</v>
      </c>
      <c r="BM449" s="50"/>
      <c r="BN449" s="50">
        <f t="shared" ref="BN449:BV449" si="1601">+BN310</f>
        <v>2.9556387125283901</v>
      </c>
      <c r="BO449" s="50">
        <f t="shared" si="1601"/>
        <v>4.741454359584373</v>
      </c>
      <c r="BP449" s="50">
        <f t="shared" si="1601"/>
        <v>2.8193259173887695</v>
      </c>
      <c r="BQ449" s="50">
        <f t="shared" si="1601"/>
        <v>4.2308119369406603</v>
      </c>
      <c r="BR449" s="50">
        <f t="shared" si="1601"/>
        <v>-0.20015640571320012</v>
      </c>
      <c r="BS449" s="50">
        <f t="shared" si="1601"/>
        <v>3.9936455585907962</v>
      </c>
      <c r="BT449" s="50">
        <f t="shared" si="1601"/>
        <v>5.1705234443789507</v>
      </c>
      <c r="BU449" s="50">
        <f t="shared" si="1601"/>
        <v>1.3014996881774801</v>
      </c>
      <c r="BV449" s="50">
        <f t="shared" si="1601"/>
        <v>3.2203858095842359</v>
      </c>
      <c r="BW449" s="50">
        <f>+BW310</f>
        <v>7.387785103764803</v>
      </c>
      <c r="BX449" s="50"/>
      <c r="BY449" s="50"/>
      <c r="BZ449" s="50"/>
      <c r="CA449" s="50"/>
      <c r="CD449" s="262"/>
      <c r="CJ449" s="8"/>
      <c r="CK449" s="8"/>
      <c r="CL449" s="8"/>
    </row>
    <row r="450" spans="1:90" ht="12.75" customHeight="1">
      <c r="B450" s="1" t="s">
        <v>503</v>
      </c>
      <c r="C450" s="51">
        <f t="shared" ref="C450:N450" si="1602">C428/-C402</f>
        <v>10.150001328658798</v>
      </c>
      <c r="D450" s="51">
        <f t="shared" si="1602"/>
        <v>6.3843189393192326</v>
      </c>
      <c r="E450" s="51">
        <f t="shared" si="1602"/>
        <v>6.0629248983102775</v>
      </c>
      <c r="F450" s="51">
        <f t="shared" si="1602"/>
        <v>6.5048655992434004</v>
      </c>
      <c r="G450" s="51">
        <f t="shared" si="1602"/>
        <v>6.5192747599471019</v>
      </c>
      <c r="H450" s="51">
        <f t="shared" si="1602"/>
        <v>6.388142289123576</v>
      </c>
      <c r="I450" s="51">
        <f t="shared" si="1602"/>
        <v>5.2355091245060983</v>
      </c>
      <c r="J450" s="51">
        <f t="shared" si="1602"/>
        <v>5.3183112471457452</v>
      </c>
      <c r="K450" s="51">
        <f t="shared" si="1602"/>
        <v>3.3371584529471754</v>
      </c>
      <c r="L450" s="51">
        <f t="shared" si="1602"/>
        <v>8.1053984867933444</v>
      </c>
      <c r="M450" s="51">
        <f t="shared" si="1602"/>
        <v>3.893394202038269</v>
      </c>
      <c r="N450" s="51">
        <f t="shared" si="1602"/>
        <v>2.849010250257098</v>
      </c>
      <c r="O450" s="51">
        <f>O428/-O402</f>
        <v>4.7494029602276067</v>
      </c>
      <c r="P450" s="51">
        <f>P428/-P402</f>
        <v>7.5757235732919437</v>
      </c>
      <c r="Q450" s="51"/>
      <c r="R450" s="428"/>
      <c r="S450" s="428"/>
      <c r="T450" s="428"/>
      <c r="U450" s="51">
        <f t="shared" ref="U450:BF450" si="1603">U428/-SUM(R402:U402)</f>
        <v>6.0725394252089204</v>
      </c>
      <c r="V450" s="51">
        <f t="shared" si="1603"/>
        <v>6.272260107572758</v>
      </c>
      <c r="W450" s="51">
        <f t="shared" si="1603"/>
        <v>7.0285680246897178</v>
      </c>
      <c r="X450" s="51">
        <f t="shared" si="1603"/>
        <v>6.5909979888586632</v>
      </c>
      <c r="Y450" s="51">
        <f t="shared" si="1603"/>
        <v>6.4709047358887544</v>
      </c>
      <c r="Z450" s="51">
        <f t="shared" si="1603"/>
        <v>6.5743524127916393</v>
      </c>
      <c r="AA450" s="51">
        <f t="shared" si="1603"/>
        <v>5.2798534811977245</v>
      </c>
      <c r="AB450" s="51">
        <f t="shared" si="1603"/>
        <v>6.4069653718211894</v>
      </c>
      <c r="AC450" s="51">
        <f t="shared" si="1603"/>
        <v>6.3698186720441301</v>
      </c>
      <c r="AD450" s="51">
        <f t="shared" si="1603"/>
        <v>6.0637166922413845</v>
      </c>
      <c r="AE450" s="51">
        <f t="shared" si="1603"/>
        <v>7.4158443545524939</v>
      </c>
      <c r="AF450" s="51">
        <f t="shared" si="1603"/>
        <v>6.473349441657696</v>
      </c>
      <c r="AG450" s="51">
        <f t="shared" si="1603"/>
        <v>5.331562755786095</v>
      </c>
      <c r="AH450" s="51">
        <f t="shared" si="1603"/>
        <v>5.0462715741280926</v>
      </c>
      <c r="AI450" s="51">
        <f t="shared" si="1603"/>
        <v>2.9913424634882184</v>
      </c>
      <c r="AJ450" s="51">
        <f t="shared" si="1603"/>
        <v>2.6112343284358199</v>
      </c>
      <c r="AK450" s="51">
        <f t="shared" si="1603"/>
        <v>3.4193656542169939</v>
      </c>
      <c r="AL450" s="51">
        <f t="shared" si="1603"/>
        <v>4.2195037432285227</v>
      </c>
      <c r="AM450" s="51">
        <f t="shared" si="1603"/>
        <v>6.0570108293332918</v>
      </c>
      <c r="AN450" s="51">
        <f t="shared" si="1603"/>
        <v>6.218700188287877</v>
      </c>
      <c r="AO450" s="51">
        <f t="shared" si="1603"/>
        <v>7.8684205274465775</v>
      </c>
      <c r="AP450" s="51">
        <f t="shared" si="1603"/>
        <v>7.7646907609112876</v>
      </c>
      <c r="AQ450" s="51">
        <f t="shared" si="1603"/>
        <v>7.4316761137281597</v>
      </c>
      <c r="AR450" s="51">
        <f t="shared" si="1603"/>
        <v>7.0164358205196375</v>
      </c>
      <c r="AS450" s="51">
        <f t="shared" si="1603"/>
        <v>3.9629733209773703</v>
      </c>
      <c r="AT450" s="51">
        <f t="shared" si="1603"/>
        <v>2.9686518564277597</v>
      </c>
      <c r="AU450" s="51">
        <f t="shared" si="1603"/>
        <v>2.6222200634425237</v>
      </c>
      <c r="AV450" s="51">
        <f t="shared" si="1603"/>
        <v>2.6753494874037749</v>
      </c>
      <c r="AW450" s="51">
        <f t="shared" si="1603"/>
        <v>2.8369518853080176</v>
      </c>
      <c r="AX450" s="51">
        <f t="shared" si="1603"/>
        <v>3.2233678104576677</v>
      </c>
      <c r="AY450" s="51">
        <f t="shared" si="1603"/>
        <v>3.7298424841362063</v>
      </c>
      <c r="AZ450" s="51">
        <f t="shared" si="1603"/>
        <v>3.9677250134670894</v>
      </c>
      <c r="BA450" s="51">
        <f t="shared" si="1603"/>
        <v>4.7372882504035498</v>
      </c>
      <c r="BB450" s="51">
        <f t="shared" si="1603"/>
        <v>5.3164088151264899</v>
      </c>
      <c r="BC450" s="51">
        <f t="shared" si="1603"/>
        <v>5.8634112711122093</v>
      </c>
      <c r="BD450" s="51">
        <f t="shared" si="1603"/>
        <v>6.6228648101264298</v>
      </c>
      <c r="BE450" s="51">
        <f t="shared" si="1603"/>
        <v>7.589146129194674</v>
      </c>
      <c r="BF450" s="51">
        <f t="shared" si="1603"/>
        <v>8.1878234587959184</v>
      </c>
      <c r="BG450" s="142"/>
      <c r="BH450" s="51"/>
      <c r="BI450" s="51"/>
      <c r="BJ450" s="51"/>
      <c r="BK450" s="51"/>
      <c r="BL450" s="51">
        <f>+BL311</f>
        <v>7.8097671052947124</v>
      </c>
      <c r="BM450" s="51"/>
      <c r="BN450" s="51">
        <f t="shared" ref="BN450:BV450" si="1604">+BN311</f>
        <v>5.9250293582051343</v>
      </c>
      <c r="BO450" s="51">
        <f t="shared" si="1604"/>
        <v>8.1069292238477502</v>
      </c>
      <c r="BP450" s="51">
        <f t="shared" si="1604"/>
        <v>5.2972456481936439</v>
      </c>
      <c r="BQ450" s="51">
        <f t="shared" si="1604"/>
        <v>7.7359175809656753</v>
      </c>
      <c r="BR450" s="51">
        <f t="shared" si="1604"/>
        <v>2.9739581914252438</v>
      </c>
      <c r="BS450" s="51">
        <f t="shared" si="1604"/>
        <v>5.7315823477996464</v>
      </c>
      <c r="BT450" s="51">
        <f t="shared" si="1604"/>
        <v>7.8029923784947686</v>
      </c>
      <c r="BU450" s="51">
        <f t="shared" si="1604"/>
        <v>3.0751495843557448</v>
      </c>
      <c r="BV450" s="51">
        <f t="shared" si="1604"/>
        <v>4.6239484903048398</v>
      </c>
      <c r="BW450" s="51">
        <f>+BW311</f>
        <v>8.2840112770303023</v>
      </c>
      <c r="BX450" s="51"/>
      <c r="BY450" s="51"/>
      <c r="BZ450" s="51"/>
      <c r="CA450" s="51"/>
      <c r="CD450" s="346"/>
      <c r="CJ450" s="6"/>
      <c r="CK450" s="6"/>
      <c r="CL450" s="6"/>
    </row>
    <row r="451" spans="1:90" s="5" customFormat="1" ht="13.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42"/>
      <c r="BH451" s="19"/>
      <c r="BI451" s="19"/>
      <c r="BJ451" s="19"/>
      <c r="BK451" s="19"/>
      <c r="BL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  <c r="CC451" s="19"/>
      <c r="CD451" s="19"/>
      <c r="CE451" s="19"/>
      <c r="CJ451" s="6"/>
      <c r="CK451" s="6"/>
      <c r="CL451" s="6"/>
    </row>
    <row r="452" spans="1:90" s="5" customFormat="1" ht="13.5" customHeight="1">
      <c r="BG452" s="142"/>
      <c r="CJ452" s="6"/>
      <c r="CK452" s="6"/>
      <c r="CL452" s="6"/>
    </row>
    <row r="453" spans="1:90" ht="13.5" customHeight="1">
      <c r="B453" s="5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V453" s="6"/>
      <c r="W453" s="6"/>
      <c r="AA453" s="6"/>
      <c r="AE453" s="6"/>
      <c r="AI453" s="6"/>
      <c r="AM453" s="6"/>
      <c r="AQ453" s="6"/>
      <c r="AU453" s="6"/>
      <c r="AY453" s="6"/>
      <c r="BC453" s="6"/>
      <c r="BG453" s="142"/>
      <c r="CJ453" s="6"/>
      <c r="CK453" s="6"/>
      <c r="CL453" s="6"/>
    </row>
    <row r="454" spans="1:90" ht="13.5" customHeight="1"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V454" s="6"/>
      <c r="W454" s="6"/>
      <c r="AA454" s="6"/>
      <c r="AE454" s="6"/>
      <c r="AI454" s="6"/>
      <c r="AM454" s="6"/>
      <c r="AQ454" s="6"/>
      <c r="AU454" s="6"/>
      <c r="AY454" s="6"/>
      <c r="BC454" s="6"/>
      <c r="BG454" s="142"/>
      <c r="CJ454" s="6"/>
      <c r="CK454" s="6"/>
      <c r="CL454" s="6"/>
    </row>
    <row r="455" spans="1:90" ht="13.5" customHeight="1">
      <c r="B455" s="17" t="s">
        <v>504</v>
      </c>
      <c r="C455" s="46">
        <v>41975</v>
      </c>
      <c r="D455" s="46">
        <v>42341</v>
      </c>
      <c r="E455" s="46">
        <v>42708</v>
      </c>
      <c r="F455" s="253">
        <f t="shared" ref="F455:K455" si="1605">F3</f>
        <v>43073</v>
      </c>
      <c r="G455" s="253">
        <f t="shared" si="1605"/>
        <v>43073</v>
      </c>
      <c r="H455" s="253">
        <f t="shared" si="1605"/>
        <v>43438</v>
      </c>
      <c r="I455" s="253">
        <f t="shared" si="1605"/>
        <v>43438</v>
      </c>
      <c r="J455" s="253">
        <f t="shared" si="1605"/>
        <v>43803</v>
      </c>
      <c r="K455" s="253">
        <f t="shared" si="1605"/>
        <v>44169</v>
      </c>
      <c r="L455" s="253">
        <f>L3</f>
        <v>44534</v>
      </c>
      <c r="M455" s="253">
        <f>M3</f>
        <v>44899</v>
      </c>
      <c r="N455" s="253">
        <f>N3</f>
        <v>45264</v>
      </c>
      <c r="O455" s="253">
        <f>O3</f>
        <v>45630</v>
      </c>
      <c r="P455" s="253">
        <f>P3</f>
        <v>45995</v>
      </c>
      <c r="Q455" s="329"/>
      <c r="R455" s="46">
        <v>42437</v>
      </c>
      <c r="S455" s="46">
        <v>42527</v>
      </c>
      <c r="T455" s="46">
        <v>42622</v>
      </c>
      <c r="U455" s="46">
        <v>42714</v>
      </c>
      <c r="V455" s="46">
        <v>42801</v>
      </c>
      <c r="W455" s="46">
        <v>42892</v>
      </c>
      <c r="X455" s="46">
        <v>42987</v>
      </c>
      <c r="Y455" s="46">
        <v>43079</v>
      </c>
      <c r="Z455" s="46">
        <f t="shared" ref="Z455:AF455" si="1606">Z3</f>
        <v>43166</v>
      </c>
      <c r="AA455" s="46">
        <f t="shared" si="1606"/>
        <v>43257</v>
      </c>
      <c r="AB455" s="46">
        <f t="shared" si="1606"/>
        <v>43352</v>
      </c>
      <c r="AC455" s="46">
        <f t="shared" si="1606"/>
        <v>43444</v>
      </c>
      <c r="AD455" s="253">
        <f t="shared" si="1606"/>
        <v>43531</v>
      </c>
      <c r="AE455" s="253">
        <f t="shared" si="1606"/>
        <v>43622</v>
      </c>
      <c r="AF455" s="253">
        <f t="shared" si="1606"/>
        <v>43738</v>
      </c>
      <c r="AG455" s="120">
        <f t="shared" ref="AG455:AM455" si="1607">AG3</f>
        <v>43809</v>
      </c>
      <c r="AH455" s="253">
        <f t="shared" si="1607"/>
        <v>43897</v>
      </c>
      <c r="AI455" s="253">
        <f t="shared" si="1607"/>
        <v>43988</v>
      </c>
      <c r="AJ455" s="253">
        <f t="shared" si="1607"/>
        <v>44104</v>
      </c>
      <c r="AK455" s="120">
        <f t="shared" si="1607"/>
        <v>44175</v>
      </c>
      <c r="AL455" s="253">
        <f t="shared" si="1607"/>
        <v>44262</v>
      </c>
      <c r="AM455" s="253">
        <f t="shared" si="1607"/>
        <v>44348</v>
      </c>
      <c r="AN455" s="253">
        <f t="shared" ref="AN455:AS455" si="1608">AN3</f>
        <v>44469</v>
      </c>
      <c r="AO455" s="120">
        <f t="shared" si="1608"/>
        <v>44540</v>
      </c>
      <c r="AP455" s="253">
        <f t="shared" si="1608"/>
        <v>44651</v>
      </c>
      <c r="AQ455" s="253">
        <f t="shared" si="1608"/>
        <v>44713</v>
      </c>
      <c r="AR455" s="253">
        <f t="shared" si="1608"/>
        <v>44834</v>
      </c>
      <c r="AS455" s="120">
        <f t="shared" si="1608"/>
        <v>44905</v>
      </c>
      <c r="AT455" s="253">
        <f t="shared" ref="AT455:AY455" si="1609">AT3</f>
        <v>45016</v>
      </c>
      <c r="AU455" s="253">
        <f t="shared" si="1609"/>
        <v>45078</v>
      </c>
      <c r="AV455" s="253">
        <f t="shared" si="1609"/>
        <v>45199</v>
      </c>
      <c r="AW455" s="120">
        <f t="shared" si="1609"/>
        <v>45270</v>
      </c>
      <c r="AX455" s="253">
        <f t="shared" si="1609"/>
        <v>45382</v>
      </c>
      <c r="AY455" s="253">
        <f t="shared" si="1609"/>
        <v>45444</v>
      </c>
      <c r="AZ455" s="253">
        <f t="shared" ref="AZ455:BE455" si="1610">AZ3</f>
        <v>45565</v>
      </c>
      <c r="BA455" s="120">
        <f t="shared" si="1610"/>
        <v>45636</v>
      </c>
      <c r="BB455" s="253">
        <f t="shared" si="1610"/>
        <v>45747</v>
      </c>
      <c r="BC455" s="253">
        <f t="shared" si="1610"/>
        <v>45809</v>
      </c>
      <c r="BD455" s="253">
        <f t="shared" si="1610"/>
        <v>45930</v>
      </c>
      <c r="BE455" s="120">
        <f t="shared" si="1610"/>
        <v>46001</v>
      </c>
      <c r="BF455" s="253">
        <f>BF3</f>
        <v>46112</v>
      </c>
      <c r="BG455" s="142"/>
      <c r="BH455" s="46"/>
      <c r="BI455" s="46"/>
      <c r="BJ455" s="46"/>
      <c r="BK455" s="46"/>
      <c r="BL455" s="253">
        <f>BL3</f>
        <v>43531</v>
      </c>
      <c r="BM455" s="329"/>
      <c r="BN455" s="46">
        <v>42530</v>
      </c>
      <c r="BO455" s="46">
        <v>42896</v>
      </c>
      <c r="BP455" s="46">
        <f t="shared" ref="BP455:BU455" si="1611">BP3</f>
        <v>43261</v>
      </c>
      <c r="BQ455" s="253">
        <f t="shared" si="1611"/>
        <v>43646</v>
      </c>
      <c r="BR455" s="253">
        <f t="shared" si="1611"/>
        <v>44012</v>
      </c>
      <c r="BS455" s="253">
        <f t="shared" si="1611"/>
        <v>44377</v>
      </c>
      <c r="BT455" s="253">
        <f t="shared" si="1611"/>
        <v>44742</v>
      </c>
      <c r="BU455" s="253">
        <f t="shared" si="1611"/>
        <v>45107</v>
      </c>
      <c r="BV455" s="253">
        <f>BV3</f>
        <v>45473</v>
      </c>
      <c r="BW455" s="253">
        <f>BW3</f>
        <v>45838</v>
      </c>
      <c r="BX455" s="62"/>
      <c r="BY455" s="329"/>
      <c r="BZ455" s="329"/>
      <c r="CA455" s="62"/>
      <c r="CJ455" s="6"/>
      <c r="CK455" s="6"/>
      <c r="CL455" s="6"/>
    </row>
    <row r="456" spans="1:90" ht="13.5" customHeight="1">
      <c r="B456" s="1" t="str">
        <f t="shared" ref="B456:H456" si="1612">B201</f>
        <v>Revenues</v>
      </c>
      <c r="C456" s="25">
        <f t="shared" si="1612"/>
        <v>7038379.7879999997</v>
      </c>
      <c r="D456" s="25">
        <f t="shared" si="1612"/>
        <v>7753209.5719999997</v>
      </c>
      <c r="E456" s="25">
        <f t="shared" si="1612"/>
        <v>7898301.784</v>
      </c>
      <c r="F456" s="25">
        <f t="shared" si="1612"/>
        <v>8242645.2630000003</v>
      </c>
      <c r="G456" s="25">
        <f t="shared" si="1612"/>
        <v>8209851.5099999998</v>
      </c>
      <c r="H456" s="25">
        <f t="shared" si="1612"/>
        <v>8483577.3330000006</v>
      </c>
      <c r="I456" s="25">
        <f t="shared" ref="I456:N456" si="1613">I201</f>
        <v>7976898.4050000003</v>
      </c>
      <c r="J456" s="25">
        <f t="shared" si="1613"/>
        <v>8053582.835</v>
      </c>
      <c r="K456" s="25">
        <f t="shared" si="1613"/>
        <v>8281049.949</v>
      </c>
      <c r="L456" s="25">
        <f t="shared" si="1613"/>
        <v>10335383.74</v>
      </c>
      <c r="M456" s="25">
        <f>M201</f>
        <v>10460666.398</v>
      </c>
      <c r="N456" s="25">
        <f t="shared" si="1613"/>
        <v>9355114.6569999997</v>
      </c>
      <c r="O456" s="25">
        <f>O201</f>
        <v>10322104.478</v>
      </c>
      <c r="P456" s="25">
        <f>P201</f>
        <v>11342385.896</v>
      </c>
      <c r="Q456" s="25"/>
      <c r="R456" s="25">
        <f t="shared" ref="R456:AF456" si="1614">R201</f>
        <v>7825221.1670000004</v>
      </c>
      <c r="S456" s="25">
        <f t="shared" si="1614"/>
        <v>7918324.5990000004</v>
      </c>
      <c r="T456" s="25">
        <f t="shared" si="1614"/>
        <v>7946080.4749999996</v>
      </c>
      <c r="U456" s="25">
        <f t="shared" si="1614"/>
        <v>7898301.784</v>
      </c>
      <c r="V456" s="25">
        <f t="shared" si="1614"/>
        <v>7960738.6720000003</v>
      </c>
      <c r="W456" s="25">
        <f t="shared" si="1614"/>
        <v>8027114.3150000004</v>
      </c>
      <c r="X456" s="25">
        <f t="shared" si="1614"/>
        <v>8099550.1880000001</v>
      </c>
      <c r="Y456" s="25">
        <f t="shared" si="1614"/>
        <v>8242645.2630000003</v>
      </c>
      <c r="Z456" s="25">
        <f t="shared" si="1614"/>
        <v>8300869.8350000009</v>
      </c>
      <c r="AA456" s="25">
        <f t="shared" si="1614"/>
        <v>8392243.7170000002</v>
      </c>
      <c r="AB456" s="25">
        <f t="shared" si="1614"/>
        <v>8454860.8890000023</v>
      </c>
      <c r="AC456" s="25">
        <f t="shared" si="1614"/>
        <v>8483577.3330000006</v>
      </c>
      <c r="AD456" s="25">
        <f t="shared" si="1614"/>
        <v>8523335.2030000016</v>
      </c>
      <c r="AE456" s="25">
        <f t="shared" si="1614"/>
        <v>8536800.743999999</v>
      </c>
      <c r="AF456" s="25">
        <f t="shared" si="1614"/>
        <v>8540231.5390000008</v>
      </c>
      <c r="AG456" s="25">
        <f t="shared" ref="AG456:AL456" si="1615">AG201</f>
        <v>8053582.835</v>
      </c>
      <c r="AH456" s="25">
        <f t="shared" si="1615"/>
        <v>8014380.9349999996</v>
      </c>
      <c r="AI456" s="25">
        <f t="shared" si="1615"/>
        <v>7478664.0259999996</v>
      </c>
      <c r="AJ456" s="25">
        <f t="shared" si="1615"/>
        <v>7814613.4290000005</v>
      </c>
      <c r="AK456" s="25">
        <f t="shared" si="1615"/>
        <v>8281049.949000001</v>
      </c>
      <c r="AL456" s="25">
        <f t="shared" si="1615"/>
        <v>8611429.7919999994</v>
      </c>
      <c r="AM456" s="25">
        <f t="shared" ref="AM456:AR456" si="1616">AM201</f>
        <v>9543654.4409999996</v>
      </c>
      <c r="AN456" s="25">
        <f t="shared" si="1616"/>
        <v>9947141.2300000004</v>
      </c>
      <c r="AO456" s="25">
        <f t="shared" si="1616"/>
        <v>10335383.74</v>
      </c>
      <c r="AP456" s="25">
        <f t="shared" si="1616"/>
        <v>10663451.872</v>
      </c>
      <c r="AQ456" s="25">
        <f t="shared" si="1616"/>
        <v>10892051.030000001</v>
      </c>
      <c r="AR456" s="25">
        <f t="shared" si="1616"/>
        <v>10763317.330000002</v>
      </c>
      <c r="AS456" s="25">
        <f t="shared" ref="AS456:AX456" si="1617">AS201</f>
        <v>10460666.398</v>
      </c>
      <c r="AT456" s="25">
        <f t="shared" si="1617"/>
        <v>10189246.075999999</v>
      </c>
      <c r="AU456" s="25">
        <f t="shared" si="1617"/>
        <v>9789975.555999998</v>
      </c>
      <c r="AV456" s="25">
        <f t="shared" si="1617"/>
        <v>9504253.4299999997</v>
      </c>
      <c r="AW456" s="25">
        <f t="shared" si="1617"/>
        <v>9355114.6569999997</v>
      </c>
      <c r="AX456" s="25">
        <f t="shared" si="1617"/>
        <v>9472914.0410000011</v>
      </c>
      <c r="AY456" s="25">
        <f t="shared" ref="AY456:BD456" si="1618">AY201</f>
        <v>9698284.8200000003</v>
      </c>
      <c r="AZ456" s="25">
        <f t="shared" si="1618"/>
        <v>9894802.0749999993</v>
      </c>
      <c r="BA456" s="25">
        <f t="shared" si="1618"/>
        <v>10322104.478</v>
      </c>
      <c r="BB456" s="25">
        <f t="shared" si="1618"/>
        <v>10582758.075999999</v>
      </c>
      <c r="BC456" s="25">
        <f t="shared" si="1618"/>
        <v>10830938.528000001</v>
      </c>
      <c r="BD456" s="25">
        <f t="shared" si="1618"/>
        <v>11058284.715</v>
      </c>
      <c r="BE456" s="25">
        <f>BE201</f>
        <v>11342385.896</v>
      </c>
      <c r="BF456" s="25">
        <f>BF201</f>
        <v>11455232.595000001</v>
      </c>
      <c r="BG456" s="142"/>
      <c r="BH456" s="25"/>
      <c r="BI456" s="25"/>
      <c r="BJ456" s="25"/>
      <c r="BK456" s="25"/>
      <c r="BL456" s="25">
        <f>BL201</f>
        <v>4117261.0850000004</v>
      </c>
      <c r="BM456" s="25"/>
      <c r="BN456" s="25">
        <f t="shared" ref="BN456:BS456" si="1619">BN201</f>
        <v>7918324.5990000004</v>
      </c>
      <c r="BO456" s="25">
        <f t="shared" si="1619"/>
        <v>8027114.3150000013</v>
      </c>
      <c r="BP456" s="25">
        <f t="shared" si="1619"/>
        <v>8392243.7170000002</v>
      </c>
      <c r="BQ456" s="25">
        <f t="shared" si="1619"/>
        <v>8536800.743999999</v>
      </c>
      <c r="BR456" s="25">
        <f t="shared" si="1619"/>
        <v>7478664.0259999996</v>
      </c>
      <c r="BS456" s="25">
        <f t="shared" si="1619"/>
        <v>9543654.4409999996</v>
      </c>
      <c r="BT456" s="25">
        <f>BT201</f>
        <v>10892051.030000001</v>
      </c>
      <c r="BU456" s="25">
        <f>BU201</f>
        <v>9789975.5559999999</v>
      </c>
      <c r="BV456" s="25">
        <f>BV201</f>
        <v>9698284.8200000003</v>
      </c>
      <c r="BW456" s="25">
        <f>BW201</f>
        <v>10830938.528000001</v>
      </c>
      <c r="BX456" s="25"/>
      <c r="BY456" s="25"/>
      <c r="BZ456" s="25"/>
      <c r="CA456" s="25"/>
      <c r="CJ456" s="6"/>
      <c r="CK456" s="6"/>
      <c r="CL456" s="6"/>
    </row>
    <row r="457" spans="1:90" ht="13.5" customHeight="1">
      <c r="B457" s="1" t="str">
        <f t="shared" ref="B457:H457" si="1620">B204</f>
        <v>Adjusted EBITDA</v>
      </c>
      <c r="C457" s="25">
        <f t="shared" si="1620"/>
        <v>895706</v>
      </c>
      <c r="D457" s="25">
        <f t="shared" si="1620"/>
        <v>974815</v>
      </c>
      <c r="E457" s="25">
        <f t="shared" si="1620"/>
        <v>1021405</v>
      </c>
      <c r="F457" s="25">
        <f t="shared" si="1620"/>
        <v>1084357.895</v>
      </c>
      <c r="G457" s="25">
        <f t="shared" si="1620"/>
        <v>1086759.895</v>
      </c>
      <c r="H457" s="25">
        <f t="shared" si="1620"/>
        <v>1074021.3770000001</v>
      </c>
      <c r="I457" s="25">
        <f t="shared" ref="I457:O458" si="1621">I204</f>
        <v>866383.94500000007</v>
      </c>
      <c r="J457" s="25">
        <f t="shared" si="1621"/>
        <v>791232.74500000011</v>
      </c>
      <c r="K457" s="25">
        <f t="shared" si="1621"/>
        <v>622552.37899999996</v>
      </c>
      <c r="L457" s="25">
        <f t="shared" si="1621"/>
        <v>1233363.9020000002</v>
      </c>
      <c r="M457" s="25">
        <f t="shared" si="1621"/>
        <v>756358.39300000027</v>
      </c>
      <c r="N457" s="25">
        <f t="shared" si="1621"/>
        <v>678211.42</v>
      </c>
      <c r="O457" s="25">
        <f t="shared" si="1621"/>
        <v>1150669.0729999999</v>
      </c>
      <c r="P457" s="25">
        <f>P204</f>
        <v>1502929.4209999999</v>
      </c>
      <c r="Q457" s="25"/>
      <c r="R457" s="25">
        <f t="shared" ref="R457:AF457" si="1622">R204</f>
        <v>989922.36899999995</v>
      </c>
      <c r="S457" s="25">
        <f t="shared" si="1622"/>
        <v>1007042.23</v>
      </c>
      <c r="T457" s="25">
        <f t="shared" si="1622"/>
        <v>1021261.6799999999</v>
      </c>
      <c r="U457" s="25">
        <f t="shared" si="1622"/>
        <v>1021405.0259999998</v>
      </c>
      <c r="V457" s="25">
        <f t="shared" si="1622"/>
        <v>1054871.7509999999</v>
      </c>
      <c r="W457" s="25">
        <f t="shared" si="1622"/>
        <v>1068063.2729999998</v>
      </c>
      <c r="X457" s="25">
        <f t="shared" si="1622"/>
        <v>1064331.3839999998</v>
      </c>
      <c r="Y457" s="25">
        <f t="shared" si="1622"/>
        <v>1084357.895</v>
      </c>
      <c r="Z457" s="25">
        <f t="shared" si="1622"/>
        <v>1093140.9040000001</v>
      </c>
      <c r="AA457" s="25">
        <f t="shared" si="1622"/>
        <v>1100883.3220000002</v>
      </c>
      <c r="AB457" s="25">
        <f t="shared" si="1622"/>
        <v>1111669.1440000001</v>
      </c>
      <c r="AC457" s="25">
        <f t="shared" si="1622"/>
        <v>1074021.3769999999</v>
      </c>
      <c r="AD457" s="25">
        <f t="shared" si="1622"/>
        <v>1055429.3629999999</v>
      </c>
      <c r="AE457" s="25">
        <f t="shared" si="1622"/>
        <v>1047361.4740000003</v>
      </c>
      <c r="AF457" s="25">
        <f t="shared" si="1622"/>
        <v>1040741.9489999999</v>
      </c>
      <c r="AG457" s="25">
        <f t="shared" ref="AG457:AS457" si="1623">AG204</f>
        <v>791232.74499999988</v>
      </c>
      <c r="AH457" s="25">
        <f t="shared" si="1623"/>
        <v>745040.07599999988</v>
      </c>
      <c r="AI457" s="25">
        <f t="shared" si="1623"/>
        <v>496789.46600000007</v>
      </c>
      <c r="AJ457" s="25">
        <f t="shared" si="1623"/>
        <v>462598.05699999997</v>
      </c>
      <c r="AK457" s="25">
        <f t="shared" si="1623"/>
        <v>622552.37899999996</v>
      </c>
      <c r="AL457" s="25">
        <f t="shared" si="1623"/>
        <v>726367.31700000004</v>
      </c>
      <c r="AM457" s="25">
        <f t="shared" si="1623"/>
        <v>1038365.642</v>
      </c>
      <c r="AN457" s="25">
        <f t="shared" si="1623"/>
        <v>1215300.1140000001</v>
      </c>
      <c r="AO457" s="25">
        <f t="shared" si="1623"/>
        <v>1233363.9019999998</v>
      </c>
      <c r="AP457" s="25">
        <f t="shared" si="1623"/>
        <v>1193250.2919999999</v>
      </c>
      <c r="AQ457" s="25">
        <f t="shared" si="1623"/>
        <v>1101861.2599999998</v>
      </c>
      <c r="AR457" s="25">
        <f t="shared" si="1623"/>
        <v>923847.95200000005</v>
      </c>
      <c r="AS457" s="25">
        <f t="shared" si="1623"/>
        <v>756358.39299999992</v>
      </c>
      <c r="AT457" s="25">
        <f t="shared" ref="AT457:BA458" si="1624">AT204</f>
        <v>670077.89299999992</v>
      </c>
      <c r="AU457" s="25">
        <f t="shared" si="1624"/>
        <v>623951.23900000006</v>
      </c>
      <c r="AV457" s="25">
        <f t="shared" si="1624"/>
        <v>620234.51699999988</v>
      </c>
      <c r="AW457" s="25">
        <f t="shared" si="1624"/>
        <v>678211.42000000016</v>
      </c>
      <c r="AX457" s="25">
        <f t="shared" si="1624"/>
        <v>789191.87600000016</v>
      </c>
      <c r="AY457" s="25">
        <f t="shared" si="1624"/>
        <v>908098.20499999996</v>
      </c>
      <c r="AZ457" s="25">
        <f t="shared" si="1624"/>
        <v>1018253.811</v>
      </c>
      <c r="BA457" s="25">
        <f t="shared" si="1624"/>
        <v>1150669.0729999999</v>
      </c>
      <c r="BB457" s="25">
        <f t="shared" ref="BB457:BE458" si="1625">BB204</f>
        <v>1257891.196</v>
      </c>
      <c r="BC457" s="25">
        <f t="shared" si="1625"/>
        <v>1347077.341</v>
      </c>
      <c r="BD457" s="25">
        <f t="shared" si="1625"/>
        <v>1410716.0219999999</v>
      </c>
      <c r="BE457" s="25">
        <f t="shared" si="1625"/>
        <v>1502929.4209999999</v>
      </c>
      <c r="BF457" s="25">
        <f>BF204</f>
        <v>1520152.9489999998</v>
      </c>
      <c r="BG457" s="142"/>
      <c r="BH457" s="25"/>
      <c r="BI457" s="25"/>
      <c r="BJ457" s="25"/>
      <c r="BK457" s="25"/>
      <c r="BL457" s="25">
        <f>BL204</f>
        <v>520449.9819999999</v>
      </c>
      <c r="BM457" s="25"/>
      <c r="BN457" s="25">
        <f t="shared" ref="BN457:BV457" si="1626">BN204</f>
        <v>1007042.23</v>
      </c>
      <c r="BO457" s="25">
        <f t="shared" si="1626"/>
        <v>1068064</v>
      </c>
      <c r="BP457" s="25">
        <f t="shared" si="1626"/>
        <v>1100882.6270000001</v>
      </c>
      <c r="BQ457" s="25">
        <f t="shared" si="1626"/>
        <v>1047361.4740000003</v>
      </c>
      <c r="BR457" s="25">
        <f t="shared" si="1626"/>
        <v>496789.46600000013</v>
      </c>
      <c r="BS457" s="25">
        <f t="shared" si="1626"/>
        <v>1038365.642</v>
      </c>
      <c r="BT457" s="25">
        <f t="shared" si="1626"/>
        <v>1101861.2600000002</v>
      </c>
      <c r="BU457" s="25">
        <f t="shared" si="1626"/>
        <v>623951.23900000029</v>
      </c>
      <c r="BV457" s="25">
        <f t="shared" si="1626"/>
        <v>908098.20499999996</v>
      </c>
      <c r="BW457" s="25">
        <f>BW204</f>
        <v>1347077.3409999998</v>
      </c>
      <c r="BX457" s="25"/>
      <c r="BY457" s="25"/>
      <c r="BZ457" s="25"/>
      <c r="CA457" s="25"/>
      <c r="CJ457" s="6"/>
      <c r="CK457" s="6"/>
      <c r="CL457" s="6"/>
    </row>
    <row r="458" spans="1:90" ht="13.5" customHeight="1">
      <c r="B458" s="1" t="str">
        <f t="shared" ref="B458:H458" si="1627">B205</f>
        <v>Adjusted EBITDAR</v>
      </c>
      <c r="C458" s="25">
        <f t="shared" si="1627"/>
        <v>1019857.167</v>
      </c>
      <c r="D458" s="25">
        <f t="shared" si="1627"/>
        <v>1122238.5249999999</v>
      </c>
      <c r="E458" s="25">
        <f t="shared" si="1627"/>
        <v>1179039.737</v>
      </c>
      <c r="F458" s="25">
        <f t="shared" si="1627"/>
        <v>1246909.375</v>
      </c>
      <c r="G458" s="25">
        <f t="shared" si="1627"/>
        <v>1264707.129</v>
      </c>
      <c r="H458" s="25">
        <f t="shared" si="1627"/>
        <v>1268735.5990000002</v>
      </c>
      <c r="I458" s="25">
        <f t="shared" si="1621"/>
        <v>1058323.53</v>
      </c>
      <c r="J458" s="25">
        <f t="shared" si="1621"/>
        <v>865872.62500000012</v>
      </c>
      <c r="K458" s="25">
        <f t="shared" si="1621"/>
        <v>684094.75799999991</v>
      </c>
      <c r="L458" s="25">
        <f t="shared" si="1621"/>
        <v>1323465.9050000003</v>
      </c>
      <c r="M458" s="25">
        <f t="shared" si="1621"/>
        <v>872696.16900000023</v>
      </c>
      <c r="N458" s="25">
        <f t="shared" si="1621"/>
        <v>779056.87600000005</v>
      </c>
      <c r="O458" s="25">
        <f t="shared" si="1621"/>
        <v>1252389.5109999999</v>
      </c>
      <c r="P458" s="25">
        <f>P205</f>
        <v>1595918.9799999997</v>
      </c>
      <c r="Q458" s="25"/>
      <c r="R458" s="25">
        <f t="shared" ref="R458:AF458" si="1628">R205</f>
        <v>1141356.0569999998</v>
      </c>
      <c r="S458" s="25">
        <f t="shared" si="1628"/>
        <v>1162458.5449999999</v>
      </c>
      <c r="T458" s="25">
        <f t="shared" si="1628"/>
        <v>1177271.3559999999</v>
      </c>
      <c r="U458" s="25">
        <f t="shared" si="1628"/>
        <v>1179039.7629999998</v>
      </c>
      <c r="V458" s="25">
        <f t="shared" si="1628"/>
        <v>1216283.5739999998</v>
      </c>
      <c r="W458" s="25">
        <f t="shared" si="1628"/>
        <v>1230422.6259999999</v>
      </c>
      <c r="X458" s="25">
        <f t="shared" si="1628"/>
        <v>1225725.2139999999</v>
      </c>
      <c r="Y458" s="25">
        <f t="shared" si="1628"/>
        <v>1246909.375</v>
      </c>
      <c r="Z458" s="25">
        <f t="shared" si="1628"/>
        <v>1261829.1740000001</v>
      </c>
      <c r="AA458" s="25">
        <f t="shared" si="1628"/>
        <v>1278480.78</v>
      </c>
      <c r="AB458" s="25">
        <f t="shared" si="1628"/>
        <v>1296810.6880000001</v>
      </c>
      <c r="AC458" s="25">
        <f t="shared" si="1628"/>
        <v>1268735.5989999999</v>
      </c>
      <c r="AD458" s="25">
        <f t="shared" si="1628"/>
        <v>1219099.8049999999</v>
      </c>
      <c r="AE458" s="25">
        <f t="shared" si="1628"/>
        <v>1181819.7130000002</v>
      </c>
      <c r="AF458" s="25">
        <f t="shared" si="1628"/>
        <v>1149807.8979999998</v>
      </c>
      <c r="AG458" s="25">
        <f t="shared" ref="AG458:AS458" si="1629">AG205</f>
        <v>865872.625</v>
      </c>
      <c r="AH458" s="25">
        <f t="shared" si="1629"/>
        <v>818237.96299999987</v>
      </c>
      <c r="AI458" s="25">
        <f t="shared" si="1629"/>
        <v>556529.44800000009</v>
      </c>
      <c r="AJ458" s="25">
        <f t="shared" si="1629"/>
        <v>517818.66799999995</v>
      </c>
      <c r="AK458" s="25">
        <f t="shared" si="1629"/>
        <v>684094.75800000003</v>
      </c>
      <c r="AL458" s="25">
        <f t="shared" si="1629"/>
        <v>789748.16399999999</v>
      </c>
      <c r="AM458" s="25">
        <f t="shared" si="1629"/>
        <v>1110822.5919999999</v>
      </c>
      <c r="AN458" s="25">
        <f t="shared" si="1629"/>
        <v>1292663.352</v>
      </c>
      <c r="AO458" s="25">
        <f t="shared" si="1629"/>
        <v>1323465.905</v>
      </c>
      <c r="AP458" s="25">
        <f t="shared" si="1629"/>
        <v>1299637.1839999999</v>
      </c>
      <c r="AQ458" s="25">
        <f t="shared" si="1629"/>
        <v>1220516.483</v>
      </c>
      <c r="AR458" s="25">
        <f t="shared" si="1629"/>
        <v>1051902.2230000002</v>
      </c>
      <c r="AS458" s="25">
        <f t="shared" si="1629"/>
        <v>872696.16899999988</v>
      </c>
      <c r="AT458" s="25">
        <f t="shared" si="1624"/>
        <v>778262.22999999986</v>
      </c>
      <c r="AU458" s="25">
        <f t="shared" si="1624"/>
        <v>728214.54900000012</v>
      </c>
      <c r="AV458" s="25">
        <f t="shared" si="1624"/>
        <v>716970.36699999997</v>
      </c>
      <c r="AW458" s="25">
        <f t="shared" si="1624"/>
        <v>779056.87600000005</v>
      </c>
      <c r="AX458" s="25">
        <f t="shared" si="1624"/>
        <v>892185.12000000011</v>
      </c>
      <c r="AY458" s="25">
        <f t="shared" si="1624"/>
        <v>1013940.4890000001</v>
      </c>
      <c r="AZ458" s="25">
        <f t="shared" si="1624"/>
        <v>1125446.844</v>
      </c>
      <c r="BA458" s="25">
        <f t="shared" si="1624"/>
        <v>1252389.5109999999</v>
      </c>
      <c r="BB458" s="25">
        <f t="shared" si="1625"/>
        <v>1356128.24</v>
      </c>
      <c r="BC458" s="25">
        <f t="shared" si="1625"/>
        <v>1440788.6220000002</v>
      </c>
      <c r="BD458" s="25">
        <f t="shared" si="1625"/>
        <v>1503672.8119999997</v>
      </c>
      <c r="BE458" s="25">
        <f t="shared" si="1625"/>
        <v>1595918.98</v>
      </c>
      <c r="BF458" s="25">
        <f>BF205</f>
        <v>1613281.159</v>
      </c>
      <c r="BG458" s="142"/>
      <c r="BH458" s="25"/>
      <c r="BI458" s="25"/>
      <c r="BJ458" s="25"/>
      <c r="BK458" s="25"/>
      <c r="BL458" s="25">
        <f>BL205</f>
        <v>577680.21899999981</v>
      </c>
      <c r="BM458" s="25"/>
      <c r="BN458" s="25">
        <f t="shared" ref="BN458:BV458" si="1630">BN205</f>
        <v>1162458.5449999999</v>
      </c>
      <c r="BO458" s="25">
        <f t="shared" si="1630"/>
        <v>1230423.3529999999</v>
      </c>
      <c r="BP458" s="25">
        <f t="shared" si="1630"/>
        <v>1278480.085</v>
      </c>
      <c r="BQ458" s="25">
        <f t="shared" si="1630"/>
        <v>1181819.7130000002</v>
      </c>
      <c r="BR458" s="25">
        <f t="shared" si="1630"/>
        <v>556529.44800000009</v>
      </c>
      <c r="BS458" s="25">
        <f t="shared" si="1630"/>
        <v>1110822.5919999997</v>
      </c>
      <c r="BT458" s="25">
        <f t="shared" si="1630"/>
        <v>1220516.4830000002</v>
      </c>
      <c r="BU458" s="25">
        <f t="shared" si="1630"/>
        <v>728214.54900000035</v>
      </c>
      <c r="BV458" s="25">
        <f t="shared" si="1630"/>
        <v>1013940.4890000001</v>
      </c>
      <c r="BW458" s="25">
        <f>BW205</f>
        <v>1440788.622</v>
      </c>
      <c r="BX458" s="25"/>
      <c r="BY458" s="25"/>
      <c r="BZ458" s="25"/>
      <c r="CA458" s="25"/>
      <c r="CJ458" s="6"/>
      <c r="CK458" s="6"/>
      <c r="CL458" s="6"/>
    </row>
    <row r="459" spans="1:90" ht="13.5" customHeight="1">
      <c r="B459" s="1" t="s">
        <v>505</v>
      </c>
      <c r="C459" s="58">
        <f t="shared" ref="C459:H459" si="1631">C457/C456</f>
        <v>0.12726025406118652</v>
      </c>
      <c r="D459" s="58">
        <f t="shared" si="1631"/>
        <v>0.12573051082231212</v>
      </c>
      <c r="E459" s="58">
        <f t="shared" si="1631"/>
        <v>0.1293195712107523</v>
      </c>
      <c r="F459" s="58">
        <f t="shared" si="1631"/>
        <v>0.13155459933081437</v>
      </c>
      <c r="G459" s="58">
        <f t="shared" si="1631"/>
        <v>0.13237266151236396</v>
      </c>
      <c r="H459" s="58">
        <f t="shared" si="1631"/>
        <v>0.12660005736285307</v>
      </c>
      <c r="I459" s="58">
        <f t="shared" ref="I459:N459" si="1632">I457/I456</f>
        <v>0.10861163086356244</v>
      </c>
      <c r="J459" s="58">
        <f t="shared" si="1632"/>
        <v>9.8246055353325257E-2</v>
      </c>
      <c r="K459" s="58">
        <f t="shared" si="1632"/>
        <v>7.5177952413531562E-2</v>
      </c>
      <c r="L459" s="58">
        <f t="shared" si="1632"/>
        <v>0.11933411792216631</v>
      </c>
      <c r="M459" s="58">
        <f>M457/M456</f>
        <v>7.2304991309598624E-2</v>
      </c>
      <c r="N459" s="58">
        <f t="shared" si="1632"/>
        <v>7.2496323654625203E-2</v>
      </c>
      <c r="O459" s="58">
        <f>O457/O456</f>
        <v>0.11147620869876645</v>
      </c>
      <c r="P459" s="58">
        <f>P457/P456</f>
        <v>0.13250557993534873</v>
      </c>
      <c r="Q459" s="77"/>
      <c r="R459" s="58">
        <f t="shared" ref="R459:W459" si="1633">R457/R456</f>
        <v>0.12650407545982653</v>
      </c>
      <c r="S459" s="58">
        <f t="shared" si="1633"/>
        <v>0.12717870016684826</v>
      </c>
      <c r="T459" s="58">
        <f t="shared" si="1633"/>
        <v>0.128523953817621</v>
      </c>
      <c r="U459" s="58">
        <f t="shared" si="1633"/>
        <v>0.12931957450259915</v>
      </c>
      <c r="V459" s="216">
        <f t="shared" si="1633"/>
        <v>0.13250928016394506</v>
      </c>
      <c r="W459" s="216">
        <f t="shared" si="1633"/>
        <v>0.13305694064978565</v>
      </c>
      <c r="X459" s="216">
        <f t="shared" ref="X459:AC459" si="1634">X457/X456</f>
        <v>0.13140623359268452</v>
      </c>
      <c r="Y459" s="58">
        <f t="shared" si="1634"/>
        <v>0.13155459933081437</v>
      </c>
      <c r="Z459" s="216">
        <f t="shared" si="1634"/>
        <v>0.13168992234896307</v>
      </c>
      <c r="AA459" s="216">
        <f t="shared" si="1634"/>
        <v>0.131178664386255</v>
      </c>
      <c r="AB459" s="216">
        <f t="shared" si="1634"/>
        <v>0.13148284266229751</v>
      </c>
      <c r="AC459" s="216">
        <f t="shared" si="1634"/>
        <v>0.12660005736285304</v>
      </c>
      <c r="AD459" s="216">
        <f t="shared" ref="AD459:AI459" si="1635">AD457/AD456</f>
        <v>0.12382821253216875</v>
      </c>
      <c r="AE459" s="216">
        <f t="shared" si="1635"/>
        <v>0.1226878201106108</v>
      </c>
      <c r="AF459" s="216">
        <f t="shared" si="1635"/>
        <v>0.12186343476137923</v>
      </c>
      <c r="AG459" s="216">
        <f t="shared" si="1635"/>
        <v>9.8246055353325229E-2</v>
      </c>
      <c r="AH459" s="216">
        <f t="shared" si="1635"/>
        <v>9.2962897826118857E-2</v>
      </c>
      <c r="AI459" s="216">
        <f t="shared" si="1635"/>
        <v>6.6427568382920174E-2</v>
      </c>
      <c r="AJ459" s="216">
        <f t="shared" ref="AJ459:AO459" si="1636">AJ457/AJ456</f>
        <v>5.9196537513077789E-2</v>
      </c>
      <c r="AK459" s="216">
        <f t="shared" si="1636"/>
        <v>7.5177952413531549E-2</v>
      </c>
      <c r="AL459" s="216">
        <f t="shared" si="1636"/>
        <v>8.4349211982752706E-2</v>
      </c>
      <c r="AM459" s="216">
        <f t="shared" si="1636"/>
        <v>0.10880168057417619</v>
      </c>
      <c r="AN459" s="216">
        <f t="shared" si="1636"/>
        <v>0.12217581774497435</v>
      </c>
      <c r="AO459" s="216">
        <f t="shared" si="1636"/>
        <v>0.11933411792216626</v>
      </c>
      <c r="AP459" s="216">
        <f t="shared" ref="AP459:AU459" si="1637">AP457/AP456</f>
        <v>0.1119009403637134</v>
      </c>
      <c r="AQ459" s="216">
        <f t="shared" si="1637"/>
        <v>0.1011619626978556</v>
      </c>
      <c r="AR459" s="216">
        <f t="shared" si="1637"/>
        <v>8.583301259965731E-2</v>
      </c>
      <c r="AS459" s="216">
        <f t="shared" si="1637"/>
        <v>7.2304991309598582E-2</v>
      </c>
      <c r="AT459" s="216">
        <f t="shared" si="1637"/>
        <v>6.5763245680984961E-2</v>
      </c>
      <c r="AU459" s="216">
        <f t="shared" si="1637"/>
        <v>6.3733687120147917E-2</v>
      </c>
      <c r="AV459" s="216">
        <f t="shared" ref="AV459:BA459" si="1638">AV457/AV456</f>
        <v>6.5258625684605706E-2</v>
      </c>
      <c r="AW459" s="216">
        <f t="shared" si="1638"/>
        <v>7.2496323654625217E-2</v>
      </c>
      <c r="AX459" s="216">
        <f t="shared" si="1638"/>
        <v>8.3310359682804605E-2</v>
      </c>
      <c r="AY459" s="216">
        <f t="shared" si="1638"/>
        <v>9.3634928428509484E-2</v>
      </c>
      <c r="AZ459" s="216">
        <f t="shared" si="1638"/>
        <v>0.10290795139527842</v>
      </c>
      <c r="BA459" s="216">
        <f t="shared" si="1638"/>
        <v>0.11147620869876645</v>
      </c>
      <c r="BB459" s="216">
        <f>BB457/BB456</f>
        <v>0.11886232180367949</v>
      </c>
      <c r="BC459" s="216">
        <f>BC457/BC456</f>
        <v>0.12437309449384772</v>
      </c>
      <c r="BD459" s="216">
        <f>BD457/BD456</f>
        <v>0.12757096225659983</v>
      </c>
      <c r="BE459" s="216">
        <f>BE457/BE456</f>
        <v>0.13250557993534873</v>
      </c>
      <c r="BF459" s="216">
        <f>BF457/BF456</f>
        <v>0.13270380469302026</v>
      </c>
      <c r="BG459" s="142"/>
      <c r="BH459" s="216"/>
      <c r="BI459" s="216"/>
      <c r="BJ459" s="216"/>
      <c r="BK459" s="216"/>
      <c r="BL459" s="216">
        <f>BL457/BL456</f>
        <v>0.12640684456375684</v>
      </c>
      <c r="BM459" s="77"/>
      <c r="BN459" s="216">
        <f t="shared" ref="BN459:BS459" si="1639">BN457/BN456</f>
        <v>0.12717870016684826</v>
      </c>
      <c r="BO459" s="58">
        <f t="shared" si="1639"/>
        <v>0.13305703121782436</v>
      </c>
      <c r="BP459" s="58">
        <f t="shared" si="1639"/>
        <v>0.13117858157169152</v>
      </c>
      <c r="BQ459" s="58">
        <f t="shared" si="1639"/>
        <v>0.1226878201106108</v>
      </c>
      <c r="BR459" s="58">
        <f t="shared" si="1639"/>
        <v>6.6427568382920188E-2</v>
      </c>
      <c r="BS459" s="58">
        <f t="shared" si="1639"/>
        <v>0.10880168057417619</v>
      </c>
      <c r="BT459" s="58">
        <f>BT457/BT456</f>
        <v>0.10116196269785564</v>
      </c>
      <c r="BU459" s="58">
        <f>BU457/BU456</f>
        <v>6.373368712014793E-2</v>
      </c>
      <c r="BV459" s="58">
        <f>BV457/BV456</f>
        <v>9.3634928428509484E-2</v>
      </c>
      <c r="BW459" s="58">
        <f>BW457/BW456</f>
        <v>0.1243730944938477</v>
      </c>
      <c r="BX459" s="77"/>
      <c r="BY459" s="77"/>
      <c r="BZ459" s="77"/>
      <c r="CA459" s="77"/>
      <c r="CJ459" s="6"/>
      <c r="CK459" s="6"/>
      <c r="CL459" s="6"/>
    </row>
    <row r="460" spans="1:90" ht="13.5" customHeight="1">
      <c r="B460" s="1" t="str">
        <f t="shared" ref="B460:H460" si="1640">B206</f>
        <v xml:space="preserve">LTM RENT </v>
      </c>
      <c r="C460" s="25">
        <f t="shared" si="1640"/>
        <v>124151.167</v>
      </c>
      <c r="D460" s="25">
        <f t="shared" si="1640"/>
        <v>147423.52499999999</v>
      </c>
      <c r="E460" s="25">
        <f t="shared" si="1640"/>
        <v>157634.73699999999</v>
      </c>
      <c r="F460" s="25">
        <f t="shared" si="1640"/>
        <v>162551.48000000001</v>
      </c>
      <c r="G460" s="25">
        <f t="shared" si="1640"/>
        <v>177947.234</v>
      </c>
      <c r="H460" s="25">
        <f t="shared" si="1640"/>
        <v>194714.22200000001</v>
      </c>
      <c r="I460" s="25">
        <f t="shared" ref="I460:O461" si="1641">I206</f>
        <v>191939.58499999999</v>
      </c>
      <c r="J460" s="25">
        <f t="shared" si="1641"/>
        <v>74639.88</v>
      </c>
      <c r="K460" s="25">
        <f t="shared" si="1641"/>
        <v>61542.379000000001</v>
      </c>
      <c r="L460" s="25">
        <f t="shared" si="1641"/>
        <v>90102.002999999997</v>
      </c>
      <c r="M460" s="25">
        <f t="shared" si="1641"/>
        <v>116337.776</v>
      </c>
      <c r="N460" s="25">
        <f t="shared" si="1641"/>
        <v>100845.45600000001</v>
      </c>
      <c r="O460" s="25">
        <f t="shared" si="1641"/>
        <v>101720.43799999999</v>
      </c>
      <c r="P460" s="25">
        <f>P206</f>
        <v>92989.558999999994</v>
      </c>
      <c r="Q460" s="25"/>
      <c r="R460" s="25">
        <f t="shared" ref="R460:AF460" si="1642">R206</f>
        <v>151433.68800000002</v>
      </c>
      <c r="S460" s="25">
        <f t="shared" si="1642"/>
        <v>155416.315</v>
      </c>
      <c r="T460" s="25">
        <f t="shared" si="1642"/>
        <v>156009.67600000001</v>
      </c>
      <c r="U460" s="25">
        <f t="shared" si="1642"/>
        <v>157634.73699999999</v>
      </c>
      <c r="V460" s="25">
        <f t="shared" si="1642"/>
        <v>161411.82299999997</v>
      </c>
      <c r="W460" s="25">
        <f t="shared" si="1642"/>
        <v>162359.353</v>
      </c>
      <c r="X460" s="25">
        <f t="shared" si="1642"/>
        <v>161393.82999999999</v>
      </c>
      <c r="Y460" s="25">
        <f t="shared" si="1642"/>
        <v>162551.48000000001</v>
      </c>
      <c r="Z460" s="25">
        <f t="shared" si="1642"/>
        <v>168688.27000000002</v>
      </c>
      <c r="AA460" s="25">
        <f t="shared" si="1642"/>
        <v>177597.45800000001</v>
      </c>
      <c r="AB460" s="25">
        <f t="shared" si="1642"/>
        <v>185141.54399999999</v>
      </c>
      <c r="AC460" s="25">
        <f t="shared" si="1642"/>
        <v>194714.22200000001</v>
      </c>
      <c r="AD460" s="25">
        <f t="shared" si="1642"/>
        <v>163670.44200000001</v>
      </c>
      <c r="AE460" s="25">
        <f t="shared" si="1642"/>
        <v>134458.239</v>
      </c>
      <c r="AF460" s="25">
        <f t="shared" si="1642"/>
        <v>109065.94900000002</v>
      </c>
      <c r="AG460" s="25">
        <f t="shared" ref="AG460:AS460" si="1643">AG206</f>
        <v>74639.88</v>
      </c>
      <c r="AH460" s="25">
        <f t="shared" si="1643"/>
        <v>73197.887000000002</v>
      </c>
      <c r="AI460" s="25">
        <f t="shared" si="1643"/>
        <v>59739.982000000011</v>
      </c>
      <c r="AJ460" s="25">
        <f t="shared" si="1643"/>
        <v>55220.611000000004</v>
      </c>
      <c r="AK460" s="25">
        <f t="shared" si="1643"/>
        <v>61542.379000000001</v>
      </c>
      <c r="AL460" s="25">
        <f t="shared" si="1643"/>
        <v>63380.846999999994</v>
      </c>
      <c r="AM460" s="25">
        <f t="shared" si="1643"/>
        <v>72456.95</v>
      </c>
      <c r="AN460" s="25">
        <f t="shared" si="1643"/>
        <v>77363.237999999998</v>
      </c>
      <c r="AO460" s="25">
        <f t="shared" si="1643"/>
        <v>90102.003000000012</v>
      </c>
      <c r="AP460" s="25">
        <f t="shared" si="1643"/>
        <v>106386.89199999999</v>
      </c>
      <c r="AQ460" s="25">
        <f t="shared" si="1643"/>
        <v>118655.223</v>
      </c>
      <c r="AR460" s="25">
        <f t="shared" si="1643"/>
        <v>128054.27100000001</v>
      </c>
      <c r="AS460" s="25">
        <f t="shared" si="1643"/>
        <v>116337.77599999998</v>
      </c>
      <c r="AT460" s="25">
        <f t="shared" ref="AT460:BA461" si="1644">AT206</f>
        <v>108184.337</v>
      </c>
      <c r="AU460" s="25">
        <f t="shared" si="1644"/>
        <v>104263.31</v>
      </c>
      <c r="AV460" s="25">
        <f t="shared" si="1644"/>
        <v>96735.849999999991</v>
      </c>
      <c r="AW460" s="25">
        <f t="shared" si="1644"/>
        <v>100845.45600000001</v>
      </c>
      <c r="AX460" s="25">
        <f t="shared" si="1644"/>
        <v>102993.24400000001</v>
      </c>
      <c r="AY460" s="25">
        <f t="shared" si="1644"/>
        <v>105842.28400000001</v>
      </c>
      <c r="AZ460" s="25">
        <f t="shared" si="1644"/>
        <v>107193.033</v>
      </c>
      <c r="BA460" s="25">
        <f t="shared" si="1644"/>
        <v>101720.43800000001</v>
      </c>
      <c r="BB460" s="25">
        <f t="shared" ref="BB460:BE461" si="1645">BB206</f>
        <v>98237.043999999994</v>
      </c>
      <c r="BC460" s="25">
        <f t="shared" si="1645"/>
        <v>93711.281000000003</v>
      </c>
      <c r="BD460" s="25">
        <f t="shared" si="1645"/>
        <v>92956.79</v>
      </c>
      <c r="BE460" s="25">
        <f t="shared" si="1645"/>
        <v>92989.558999999994</v>
      </c>
      <c r="BF460" s="25">
        <f>BF206</f>
        <v>93128.209999999992</v>
      </c>
      <c r="BG460" s="142"/>
      <c r="BH460" s="25"/>
      <c r="BI460" s="25"/>
      <c r="BJ460" s="25"/>
      <c r="BK460" s="25"/>
      <c r="BL460" s="25">
        <f>BL206</f>
        <v>57230.236999999986</v>
      </c>
      <c r="BM460" s="25"/>
      <c r="BN460" s="25">
        <f t="shared" ref="BN460:BV460" si="1646">BN206</f>
        <v>155416.315</v>
      </c>
      <c r="BO460" s="25">
        <f t="shared" si="1646"/>
        <v>162359.353</v>
      </c>
      <c r="BP460" s="25">
        <f t="shared" si="1646"/>
        <v>177597.45800000001</v>
      </c>
      <c r="BQ460" s="25">
        <f t="shared" si="1646"/>
        <v>134458.239</v>
      </c>
      <c r="BR460" s="25">
        <f t="shared" si="1646"/>
        <v>59739.982000000004</v>
      </c>
      <c r="BS460" s="25">
        <f t="shared" si="1646"/>
        <v>72456.95</v>
      </c>
      <c r="BT460" s="25">
        <f t="shared" si="1646"/>
        <v>118655.223</v>
      </c>
      <c r="BU460" s="25">
        <f t="shared" si="1646"/>
        <v>104263.31</v>
      </c>
      <c r="BV460" s="25">
        <f t="shared" si="1646"/>
        <v>105842.28400000001</v>
      </c>
      <c r="BW460" s="25">
        <f>BW206</f>
        <v>93711.280999999988</v>
      </c>
      <c r="BX460" s="25"/>
      <c r="BY460" s="25"/>
      <c r="BZ460" s="25"/>
      <c r="CA460" s="25"/>
      <c r="CJ460" s="6"/>
      <c r="CK460" s="6"/>
      <c r="CL460" s="6"/>
    </row>
    <row r="461" spans="1:90" ht="13.5" customHeight="1">
      <c r="B461" s="1" t="str">
        <f t="shared" ref="B461:H461" si="1647">B207</f>
        <v>Cash interest paid</v>
      </c>
      <c r="C461" s="25">
        <f t="shared" si="1647"/>
        <v>88246.884999999995</v>
      </c>
      <c r="D461" s="25">
        <f t="shared" si="1647"/>
        <v>152688.95699999999</v>
      </c>
      <c r="E461" s="25">
        <f t="shared" si="1647"/>
        <v>168467.36799999999</v>
      </c>
      <c r="F461" s="25">
        <f t="shared" si="1647"/>
        <v>166699.508</v>
      </c>
      <c r="G461" s="25">
        <f t="shared" si="1647"/>
        <v>166699.508</v>
      </c>
      <c r="H461" s="25">
        <f t="shared" si="1647"/>
        <v>168127.34099999999</v>
      </c>
      <c r="I461" s="25">
        <f t="shared" si="1641"/>
        <v>165482.272</v>
      </c>
      <c r="J461" s="25">
        <f t="shared" si="1641"/>
        <v>148775.18599999999</v>
      </c>
      <c r="K461" s="25">
        <f t="shared" si="1641"/>
        <v>186551.639</v>
      </c>
      <c r="L461" s="25">
        <f t="shared" si="1641"/>
        <v>152165.73300000001</v>
      </c>
      <c r="M461" s="25">
        <f t="shared" si="1641"/>
        <v>194267.098</v>
      </c>
      <c r="N461" s="25">
        <f t="shared" si="1641"/>
        <v>238051.59</v>
      </c>
      <c r="O461" s="25">
        <f t="shared" si="1641"/>
        <v>242276.573</v>
      </c>
      <c r="P461" s="25">
        <f>P207</f>
        <v>198387.57399999999</v>
      </c>
      <c r="Q461" s="25"/>
      <c r="R461" s="25">
        <f t="shared" ref="R461:AF461" si="1648">R207</f>
        <v>174237.63499999998</v>
      </c>
      <c r="S461" s="25">
        <f t="shared" si="1648"/>
        <v>179026.61199999999</v>
      </c>
      <c r="T461" s="25">
        <f t="shared" si="1648"/>
        <v>174185.43600000002</v>
      </c>
      <c r="U461" s="25">
        <f t="shared" si="1648"/>
        <v>168467.36799999999</v>
      </c>
      <c r="V461" s="25">
        <f t="shared" si="1648"/>
        <v>168288.66199999995</v>
      </c>
      <c r="W461" s="25">
        <f t="shared" si="1648"/>
        <v>151832.27199999997</v>
      </c>
      <c r="X461" s="25">
        <f t="shared" si="1648"/>
        <v>160568.47399999999</v>
      </c>
      <c r="Y461" s="25">
        <f t="shared" si="1648"/>
        <v>166699.508</v>
      </c>
      <c r="Z461" s="25">
        <f t="shared" si="1648"/>
        <v>165407.80900000001</v>
      </c>
      <c r="AA461" s="25">
        <f t="shared" si="1648"/>
        <v>208075.09000000003</v>
      </c>
      <c r="AB461" s="25">
        <f t="shared" si="1648"/>
        <v>173600.99</v>
      </c>
      <c r="AC461" s="25">
        <f t="shared" si="1648"/>
        <v>168127.34099999999</v>
      </c>
      <c r="AD461" s="25">
        <f t="shared" si="1648"/>
        <v>167793.04799999998</v>
      </c>
      <c r="AE461" s="25">
        <f t="shared" si="1648"/>
        <v>139815.85800000001</v>
      </c>
      <c r="AF461" s="25">
        <f t="shared" si="1648"/>
        <v>156264.38299999997</v>
      </c>
      <c r="AG461" s="25">
        <f t="shared" ref="AG461:AS461" si="1649">AG207</f>
        <v>148775.18599999999</v>
      </c>
      <c r="AH461" s="25">
        <f t="shared" si="1649"/>
        <v>149056.31199999998</v>
      </c>
      <c r="AI461" s="25">
        <f t="shared" si="1649"/>
        <v>171766.10399999999</v>
      </c>
      <c r="AJ461" s="25">
        <f t="shared" si="1649"/>
        <v>180814.35999999996</v>
      </c>
      <c r="AK461" s="25">
        <f t="shared" si="1649"/>
        <v>186551.639</v>
      </c>
      <c r="AL461" s="25">
        <f t="shared" si="1649"/>
        <v>178920.845</v>
      </c>
      <c r="AM461" s="25">
        <f t="shared" si="1649"/>
        <v>171990.57</v>
      </c>
      <c r="AN461" s="25">
        <f t="shared" si="1649"/>
        <v>195242.65700000001</v>
      </c>
      <c r="AO461" s="25">
        <f t="shared" si="1649"/>
        <v>152165.73300000001</v>
      </c>
      <c r="AP461" s="25">
        <f t="shared" si="1649"/>
        <v>148683.83800000002</v>
      </c>
      <c r="AQ461" s="25">
        <f t="shared" si="1649"/>
        <v>149172.239</v>
      </c>
      <c r="AR461" s="25">
        <f t="shared" si="1649"/>
        <v>137732.21</v>
      </c>
      <c r="AS461" s="25">
        <f t="shared" si="1649"/>
        <v>194267.098</v>
      </c>
      <c r="AT461" s="25">
        <f t="shared" si="1644"/>
        <v>224022.79399999999</v>
      </c>
      <c r="AU461" s="25">
        <f t="shared" si="1644"/>
        <v>235367.86199999999</v>
      </c>
      <c r="AV461" s="25">
        <f t="shared" si="1644"/>
        <v>229383.08800000002</v>
      </c>
      <c r="AW461" s="25">
        <f t="shared" si="1644"/>
        <v>238051.59</v>
      </c>
      <c r="AX461" s="25">
        <f t="shared" si="1644"/>
        <v>242649.33000000002</v>
      </c>
      <c r="AY461" s="25">
        <f t="shared" si="1644"/>
        <v>242823.72400000002</v>
      </c>
      <c r="AZ461" s="25">
        <f t="shared" si="1644"/>
        <v>256351.364</v>
      </c>
      <c r="BA461" s="25">
        <f t="shared" si="1644"/>
        <v>242276.573</v>
      </c>
      <c r="BB461" s="25">
        <f t="shared" si="1645"/>
        <v>235765.28099999999</v>
      </c>
      <c r="BC461" s="25">
        <f t="shared" si="1645"/>
        <v>229267.09700000004</v>
      </c>
      <c r="BD461" s="25">
        <f t="shared" si="1645"/>
        <v>212854.69699999999</v>
      </c>
      <c r="BE461" s="25">
        <f t="shared" si="1645"/>
        <v>198387.57399999999</v>
      </c>
      <c r="BF461" s="25">
        <f>BF207</f>
        <v>186052.73899999997</v>
      </c>
      <c r="BG461" s="142"/>
      <c r="BH461" s="25"/>
      <c r="BI461" s="25"/>
      <c r="BJ461" s="25"/>
      <c r="BK461" s="25"/>
      <c r="BL461" s="25">
        <f>BL207</f>
        <v>69527.170999999973</v>
      </c>
      <c r="BM461" s="25"/>
      <c r="BN461" s="25">
        <f t="shared" ref="BN461:BV461" si="1650">BN207</f>
        <v>179026.61199999999</v>
      </c>
      <c r="BO461" s="25">
        <f t="shared" si="1650"/>
        <v>151832.27199999997</v>
      </c>
      <c r="BP461" s="25">
        <f t="shared" si="1650"/>
        <v>208075.08999999997</v>
      </c>
      <c r="BQ461" s="25">
        <f t="shared" si="1650"/>
        <v>139815.85800000001</v>
      </c>
      <c r="BR461" s="25">
        <f t="shared" si="1650"/>
        <v>171766.10399999996</v>
      </c>
      <c r="BS461" s="25">
        <f t="shared" si="1650"/>
        <v>171990.57</v>
      </c>
      <c r="BT461" s="25">
        <f t="shared" si="1650"/>
        <v>149172.239</v>
      </c>
      <c r="BU461" s="25">
        <f t="shared" si="1650"/>
        <v>235367.86199999996</v>
      </c>
      <c r="BV461" s="25">
        <f t="shared" si="1650"/>
        <v>242823.72400000005</v>
      </c>
      <c r="BW461" s="25">
        <f>BW207</f>
        <v>229267.09700000001</v>
      </c>
      <c r="BX461" s="25"/>
      <c r="BY461" s="25"/>
      <c r="BZ461" s="25"/>
      <c r="CA461" s="25"/>
      <c r="CJ461" s="6"/>
      <c r="CK461" s="6"/>
      <c r="CL461" s="6"/>
    </row>
    <row r="462" spans="1:90" ht="13.5" customHeight="1">
      <c r="B462" s="1" t="str">
        <f t="shared" ref="B462:H462" si="1651">B209</f>
        <v>Capex</v>
      </c>
      <c r="C462" s="25">
        <f t="shared" si="1651"/>
        <v>543673.09700000007</v>
      </c>
      <c r="D462" s="25">
        <f t="shared" si="1651"/>
        <v>478715.37199999997</v>
      </c>
      <c r="E462" s="25">
        <f t="shared" si="1651"/>
        <v>455194.82900000003</v>
      </c>
      <c r="F462" s="25">
        <f t="shared" si="1651"/>
        <v>533079.59600000002</v>
      </c>
      <c r="G462" s="25">
        <f t="shared" si="1651"/>
        <v>533079.59600000002</v>
      </c>
      <c r="H462" s="25">
        <f t="shared" si="1651"/>
        <v>463220.30700000003</v>
      </c>
      <c r="I462" s="25">
        <f t="shared" ref="I462:O463" si="1652">I209</f>
        <v>463220.30700000003</v>
      </c>
      <c r="J462" s="25">
        <f t="shared" si="1652"/>
        <v>550749.51799999992</v>
      </c>
      <c r="K462" s="25">
        <f t="shared" si="1652"/>
        <v>402772.66899999999</v>
      </c>
      <c r="L462" s="25">
        <f t="shared" si="1652"/>
        <v>367353.29700000002</v>
      </c>
      <c r="M462" s="25">
        <f t="shared" si="1652"/>
        <v>415020.50200000004</v>
      </c>
      <c r="N462" s="25">
        <f t="shared" si="1652"/>
        <v>380266.50599999999</v>
      </c>
      <c r="O462" s="25">
        <f t="shared" si="1652"/>
        <v>246596.68299999999</v>
      </c>
      <c r="P462" s="25">
        <f>P209</f>
        <v>301291.88899999997</v>
      </c>
      <c r="Q462" s="25"/>
      <c r="R462" s="25">
        <f t="shared" ref="R462:AF462" si="1653">R209</f>
        <v>486739.28399999999</v>
      </c>
      <c r="S462" s="25">
        <f t="shared" si="1653"/>
        <v>531599.94699999993</v>
      </c>
      <c r="T462" s="25">
        <f t="shared" si="1653"/>
        <v>553450.67599999998</v>
      </c>
      <c r="U462" s="25">
        <f t="shared" si="1653"/>
        <v>455194.82900000003</v>
      </c>
      <c r="V462" s="25">
        <f t="shared" si="1653"/>
        <v>482410.94</v>
      </c>
      <c r="W462" s="25">
        <f t="shared" si="1653"/>
        <v>510987.69500000001</v>
      </c>
      <c r="X462" s="25">
        <f t="shared" si="1653"/>
        <v>520354.46900000004</v>
      </c>
      <c r="Y462" s="25">
        <f t="shared" si="1653"/>
        <v>533079.59600000002</v>
      </c>
      <c r="Z462" s="25">
        <f t="shared" si="1653"/>
        <v>527838.37100000004</v>
      </c>
      <c r="AA462" s="25">
        <f t="shared" si="1653"/>
        <v>515593.37100000004</v>
      </c>
      <c r="AB462" s="25">
        <f t="shared" si="1653"/>
        <v>494289.14600000001</v>
      </c>
      <c r="AC462" s="25">
        <f t="shared" si="1653"/>
        <v>463220.30700000003</v>
      </c>
      <c r="AD462" s="25">
        <f t="shared" si="1653"/>
        <v>460498.29</v>
      </c>
      <c r="AE462" s="25">
        <f t="shared" si="1653"/>
        <v>490069.353</v>
      </c>
      <c r="AF462" s="25">
        <f t="shared" si="1653"/>
        <v>508175.21000000008</v>
      </c>
      <c r="AG462" s="25">
        <f t="shared" ref="AG462:AS462" si="1654">AG209</f>
        <v>550749.51799999992</v>
      </c>
      <c r="AH462" s="25">
        <f t="shared" si="1654"/>
        <v>582805.96699999995</v>
      </c>
      <c r="AI462" s="25">
        <f t="shared" si="1654"/>
        <v>545205.29799999995</v>
      </c>
      <c r="AJ462" s="25">
        <f t="shared" si="1654"/>
        <v>474118.09299999994</v>
      </c>
      <c r="AK462" s="25">
        <f t="shared" si="1654"/>
        <v>402772.66899999999</v>
      </c>
      <c r="AL462" s="25">
        <f t="shared" si="1654"/>
        <v>342131.70600000001</v>
      </c>
      <c r="AM462" s="25">
        <f t="shared" si="1654"/>
        <v>298908.73899999994</v>
      </c>
      <c r="AN462" s="25">
        <f t="shared" si="1654"/>
        <v>331762.03200000001</v>
      </c>
      <c r="AO462" s="25">
        <f t="shared" si="1654"/>
        <v>367353.29700000002</v>
      </c>
      <c r="AP462" s="25">
        <f t="shared" si="1654"/>
        <v>359811.2</v>
      </c>
      <c r="AQ462" s="25">
        <f t="shared" si="1654"/>
        <v>392691.28500000003</v>
      </c>
      <c r="AR462" s="25">
        <f t="shared" si="1654"/>
        <v>395605.495</v>
      </c>
      <c r="AS462" s="25">
        <f t="shared" si="1654"/>
        <v>415020.50200000009</v>
      </c>
      <c r="AT462" s="25">
        <f t="shared" ref="AT462:BA463" si="1655">AT209</f>
        <v>421496.52300000004</v>
      </c>
      <c r="AU462" s="25">
        <f t="shared" si="1655"/>
        <v>417460.18400000007</v>
      </c>
      <c r="AV462" s="25">
        <f t="shared" si="1655"/>
        <v>403951.74500000011</v>
      </c>
      <c r="AW462" s="25">
        <f t="shared" si="1655"/>
        <v>380266.50599999999</v>
      </c>
      <c r="AX462" s="25">
        <f t="shared" si="1655"/>
        <v>370757.49399999995</v>
      </c>
      <c r="AY462" s="25">
        <f t="shared" si="1655"/>
        <v>340818.31699999992</v>
      </c>
      <c r="AZ462" s="25">
        <f t="shared" si="1655"/>
        <v>298091.74300000002</v>
      </c>
      <c r="BA462" s="25">
        <f t="shared" si="1655"/>
        <v>246596.68300000002</v>
      </c>
      <c r="BB462" s="25">
        <f t="shared" ref="BB462:BE463" si="1656">BB209</f>
        <v>215193.503</v>
      </c>
      <c r="BC462" s="25">
        <f t="shared" si="1656"/>
        <v>205475.17300000004</v>
      </c>
      <c r="BD462" s="25">
        <f t="shared" si="1656"/>
        <v>225447.92</v>
      </c>
      <c r="BE462" s="25">
        <f t="shared" si="1656"/>
        <v>301291.88899999997</v>
      </c>
      <c r="BF462" s="25">
        <f>BF209</f>
        <v>314019.92499999993</v>
      </c>
      <c r="BG462" s="142"/>
      <c r="BH462" s="25"/>
      <c r="BI462" s="25"/>
      <c r="BJ462" s="25"/>
      <c r="BK462" s="25"/>
      <c r="BL462" s="25">
        <f>BL209</f>
        <v>248122.34800000003</v>
      </c>
      <c r="BM462" s="25"/>
      <c r="BN462" s="25">
        <f t="shared" ref="BN462:BV462" si="1657">BN209</f>
        <v>531599.94699999993</v>
      </c>
      <c r="BO462" s="25">
        <f t="shared" si="1657"/>
        <v>510987.69500000007</v>
      </c>
      <c r="BP462" s="25">
        <f t="shared" si="1657"/>
        <v>515593.37099999998</v>
      </c>
      <c r="BQ462" s="25">
        <f t="shared" si="1657"/>
        <v>490069.353</v>
      </c>
      <c r="BR462" s="25">
        <f t="shared" si="1657"/>
        <v>545205.29799999995</v>
      </c>
      <c r="BS462" s="25">
        <f t="shared" si="1657"/>
        <v>298908.739</v>
      </c>
      <c r="BT462" s="25">
        <f t="shared" si="1657"/>
        <v>392691.28500000003</v>
      </c>
      <c r="BU462" s="25">
        <f t="shared" si="1657"/>
        <v>417460.18400000001</v>
      </c>
      <c r="BV462" s="25">
        <f t="shared" si="1657"/>
        <v>340818.31699999998</v>
      </c>
      <c r="BW462" s="25">
        <f>BW209</f>
        <v>205475.17300000001</v>
      </c>
      <c r="BX462" s="25"/>
      <c r="BY462" s="25"/>
      <c r="BZ462" s="25"/>
      <c r="CA462" s="25"/>
      <c r="CJ462" s="6"/>
      <c r="CK462" s="6"/>
      <c r="CL462" s="6"/>
    </row>
    <row r="463" spans="1:90" ht="13.5" customHeight="1">
      <c r="B463" s="1" t="str">
        <f t="shared" ref="B463:H463" si="1658">B210</f>
        <v xml:space="preserve">Free cash flow </v>
      </c>
      <c r="C463" s="25">
        <f t="shared" si="1658"/>
        <v>-260160.95999999996</v>
      </c>
      <c r="D463" s="25">
        <f t="shared" si="1658"/>
        <v>-114178.79899999994</v>
      </c>
      <c r="E463" s="25">
        <f t="shared" si="1658"/>
        <v>143777.72899999999</v>
      </c>
      <c r="F463" s="25">
        <f t="shared" si="1658"/>
        <v>44427.116999999824</v>
      </c>
      <c r="G463" s="25">
        <f t="shared" si="1658"/>
        <v>46239.488999999798</v>
      </c>
      <c r="H463" s="25">
        <f t="shared" si="1658"/>
        <v>1606.6169999999438</v>
      </c>
      <c r="I463" s="25">
        <f t="shared" si="1652"/>
        <v>1282569.7350000003</v>
      </c>
      <c r="J463" s="25">
        <f t="shared" si="1652"/>
        <v>110228.01700000023</v>
      </c>
      <c r="K463" s="25">
        <f t="shared" si="1652"/>
        <v>303481.48299999983</v>
      </c>
      <c r="L463" s="25">
        <f t="shared" si="1652"/>
        <v>111460.0390000006</v>
      </c>
      <c r="M463" s="25">
        <f t="shared" si="1652"/>
        <v>-387711.56500000012</v>
      </c>
      <c r="N463" s="25">
        <f t="shared" si="1652"/>
        <v>606396.60300000024</v>
      </c>
      <c r="O463" s="25">
        <f t="shared" si="1652"/>
        <v>439156.58399999986</v>
      </c>
      <c r="P463" s="25">
        <f>P210</f>
        <v>940749.77499999979</v>
      </c>
      <c r="Q463" s="25"/>
      <c r="R463" s="25">
        <f t="shared" ref="R463:AF463" si="1659">R210</f>
        <v>-7287.1220000002468</v>
      </c>
      <c r="S463" s="25">
        <f t="shared" si="1659"/>
        <v>-33744.988999999376</v>
      </c>
      <c r="T463" s="25">
        <f t="shared" si="1659"/>
        <v>-13922.595999999823</v>
      </c>
      <c r="U463" s="25">
        <f t="shared" si="1659"/>
        <v>143777.75499999986</v>
      </c>
      <c r="V463" s="25">
        <f t="shared" si="1659"/>
        <v>72080.861000000063</v>
      </c>
      <c r="W463" s="25">
        <f t="shared" si="1659"/>
        <v>129040.83799999957</v>
      </c>
      <c r="X463" s="25">
        <f t="shared" si="1659"/>
        <v>144197.39099999995</v>
      </c>
      <c r="Y463" s="25">
        <f t="shared" si="1659"/>
        <v>44427.811999999889</v>
      </c>
      <c r="Z463" s="25">
        <f t="shared" si="1659"/>
        <v>86536.760999999722</v>
      </c>
      <c r="AA463" s="25">
        <f t="shared" si="1659"/>
        <v>1901.1129999997502</v>
      </c>
      <c r="AB463" s="25" t="e">
        <f t="shared" si="1659"/>
        <v>#REF!</v>
      </c>
      <c r="AC463" s="25" t="e">
        <f t="shared" si="1659"/>
        <v>#REF!</v>
      </c>
      <c r="AD463" s="25">
        <f t="shared" si="1659"/>
        <v>1484102.9689999998</v>
      </c>
      <c r="AE463" s="25">
        <f t="shared" si="1659"/>
        <v>1499073.2470000004</v>
      </c>
      <c r="AF463" s="25" t="e">
        <f t="shared" si="1659"/>
        <v>#REF!</v>
      </c>
      <c r="AG463" s="25">
        <f t="shared" ref="AG463:AS463" si="1660">AG210</f>
        <v>110228.01699999999</v>
      </c>
      <c r="AH463" s="25">
        <f t="shared" si="1660"/>
        <v>-1605285.7060000002</v>
      </c>
      <c r="AI463" s="25">
        <f t="shared" si="1660"/>
        <v>-1515488.165</v>
      </c>
      <c r="AJ463" s="25">
        <f t="shared" si="1660"/>
        <v>-1352146.5330000003</v>
      </c>
      <c r="AK463" s="25">
        <f t="shared" si="1660"/>
        <v>303481.48299999977</v>
      </c>
      <c r="AL463" s="25">
        <f t="shared" si="1660"/>
        <v>478365.32299999992</v>
      </c>
      <c r="AM463" s="25">
        <f t="shared" si="1660"/>
        <v>671364.49900000007</v>
      </c>
      <c r="AN463" s="25">
        <f t="shared" si="1660"/>
        <v>341214.52500000002</v>
      </c>
      <c r="AO463" s="25">
        <f t="shared" si="1660"/>
        <v>111460.03900000034</v>
      </c>
      <c r="AP463" s="25">
        <f t="shared" si="1660"/>
        <v>-18316.082999999708</v>
      </c>
      <c r="AQ463" s="25">
        <f t="shared" si="1660"/>
        <v>-469251.16900000023</v>
      </c>
      <c r="AR463" s="25">
        <f t="shared" si="1660"/>
        <v>-463505.08599999937</v>
      </c>
      <c r="AS463" s="25">
        <f t="shared" si="1660"/>
        <v>-387711.56500000053</v>
      </c>
      <c r="AT463" s="25">
        <f t="shared" si="1655"/>
        <v>19325.121999999537</v>
      </c>
      <c r="AU463" s="25">
        <f t="shared" si="1655"/>
        <v>174813.10899999971</v>
      </c>
      <c r="AV463" s="25">
        <f t="shared" si="1655"/>
        <v>489475.86999999941</v>
      </c>
      <c r="AW463" s="25">
        <f t="shared" si="1655"/>
        <v>606396.603</v>
      </c>
      <c r="AX463" s="25">
        <f t="shared" si="1655"/>
        <v>293714.74699999997</v>
      </c>
      <c r="AY463" s="25">
        <f t="shared" si="1655"/>
        <v>367537.10799999989</v>
      </c>
      <c r="AZ463" s="25">
        <f t="shared" si="1655"/>
        <v>472805.26400000026</v>
      </c>
      <c r="BA463" s="25">
        <f t="shared" si="1655"/>
        <v>439156.58399999992</v>
      </c>
      <c r="BB463" s="25">
        <f t="shared" si="1656"/>
        <v>495326.68700000038</v>
      </c>
      <c r="BC463" s="25">
        <f t="shared" si="1656"/>
        <v>818846.18200000038</v>
      </c>
      <c r="BD463" s="25">
        <f t="shared" si="1656"/>
        <v>513316.49499999924</v>
      </c>
      <c r="BE463" s="25">
        <f t="shared" si="1656"/>
        <v>940749.77499999991</v>
      </c>
      <c r="BF463" s="25">
        <f>BF210</f>
        <v>1294677.6899999995</v>
      </c>
      <c r="BG463" s="142"/>
      <c r="BH463" s="25"/>
      <c r="BI463" s="25"/>
      <c r="BJ463" s="25"/>
      <c r="BK463" s="25"/>
      <c r="BL463" s="25">
        <f>BL210</f>
        <v>-596339.62700000044</v>
      </c>
      <c r="BM463" s="25"/>
      <c r="BN463" s="25">
        <f t="shared" ref="BN463:BV463" si="1661">BN210</f>
        <v>-33744.988999999376</v>
      </c>
      <c r="BO463" s="25">
        <f t="shared" si="1661"/>
        <v>129040.86999999959</v>
      </c>
      <c r="BP463" s="25">
        <f t="shared" si="1661"/>
        <v>1900.4179999996959</v>
      </c>
      <c r="BQ463" s="25">
        <f t="shared" si="1661"/>
        <v>1499073.2470000004</v>
      </c>
      <c r="BR463" s="25">
        <f t="shared" si="1661"/>
        <v>-1515488.1650000003</v>
      </c>
      <c r="BS463" s="25">
        <f t="shared" si="1661"/>
        <v>671364.49900000007</v>
      </c>
      <c r="BT463" s="25">
        <f t="shared" si="1661"/>
        <v>-469251.16899999988</v>
      </c>
      <c r="BU463" s="25">
        <f t="shared" si="1661"/>
        <v>174813.10900000005</v>
      </c>
      <c r="BV463" s="25">
        <f t="shared" si="1661"/>
        <v>367537.10800000012</v>
      </c>
      <c r="BW463" s="25">
        <f>BW210</f>
        <v>818846.18200000015</v>
      </c>
      <c r="BX463" s="25"/>
      <c r="BY463" s="25"/>
      <c r="BZ463" s="25"/>
      <c r="CA463" s="25"/>
      <c r="CJ463" s="6"/>
      <c r="CK463" s="6"/>
      <c r="CL463" s="6"/>
    </row>
    <row r="464" spans="1:90" ht="13.5" customHeight="1">
      <c r="B464" s="1" t="s">
        <v>40</v>
      </c>
      <c r="C464" s="25">
        <f t="shared" ref="C464:H464" si="1662">C252</f>
        <v>211219.86799999999</v>
      </c>
      <c r="D464" s="25">
        <f t="shared" si="1662"/>
        <v>207308.226</v>
      </c>
      <c r="E464" s="25">
        <f t="shared" si="1662"/>
        <v>201319.63399999999</v>
      </c>
      <c r="F464" s="25">
        <f t="shared" si="1662"/>
        <v>232027.185</v>
      </c>
      <c r="G464" s="25">
        <f t="shared" si="1662"/>
        <v>232027.185</v>
      </c>
      <c r="H464" s="25">
        <f t="shared" si="1662"/>
        <v>352100.505</v>
      </c>
      <c r="I464" s="25">
        <f t="shared" ref="I464:N464" si="1663">I252</f>
        <v>317491.38199999998</v>
      </c>
      <c r="J464" s="25">
        <f t="shared" si="1663"/>
        <v>299965.353</v>
      </c>
      <c r="K464" s="25">
        <f t="shared" si="1663"/>
        <v>1216193.92</v>
      </c>
      <c r="L464" s="25">
        <f t="shared" si="1663"/>
        <v>533265.53799999994</v>
      </c>
      <c r="M464" s="25">
        <f>M252</f>
        <v>624072.76100000006</v>
      </c>
      <c r="N464" s="25">
        <f t="shared" si="1663"/>
        <v>1077819.1440000001</v>
      </c>
      <c r="O464" s="25">
        <f>O252</f>
        <v>1638385.1910000001</v>
      </c>
      <c r="P464" s="25">
        <f>P252</f>
        <v>1584721.2420000001</v>
      </c>
      <c r="Q464" s="25"/>
      <c r="R464" s="25">
        <f t="shared" ref="R464:AF464" si="1664">R252</f>
        <v>193206.2</v>
      </c>
      <c r="S464" s="25">
        <f t="shared" si="1664"/>
        <v>177135</v>
      </c>
      <c r="T464" s="25">
        <f t="shared" si="1664"/>
        <v>159692.177</v>
      </c>
      <c r="U464" s="25">
        <f t="shared" si="1664"/>
        <v>201319.63399999999</v>
      </c>
      <c r="V464" s="25">
        <f t="shared" si="1664"/>
        <v>194491.576</v>
      </c>
      <c r="W464" s="25">
        <f t="shared" si="1664"/>
        <v>176831.27100000001</v>
      </c>
      <c r="X464" s="25">
        <f t="shared" si="1664"/>
        <v>208937.655</v>
      </c>
      <c r="Y464" s="25">
        <f t="shared" si="1664"/>
        <v>232027.185</v>
      </c>
      <c r="Z464" s="25">
        <f t="shared" si="1664"/>
        <v>218718.345</v>
      </c>
      <c r="AA464" s="25">
        <f t="shared" si="1664"/>
        <v>213362.99600000001</v>
      </c>
      <c r="AB464" s="25">
        <f t="shared" si="1664"/>
        <v>206510.514</v>
      </c>
      <c r="AC464" s="25">
        <f t="shared" si="1664"/>
        <v>352100.505</v>
      </c>
      <c r="AD464" s="25">
        <f t="shared" si="1664"/>
        <v>293633.41700000002</v>
      </c>
      <c r="AE464" s="25">
        <f t="shared" si="1664"/>
        <v>192945.21299999999</v>
      </c>
      <c r="AF464" s="25">
        <f t="shared" si="1664"/>
        <v>229137.32399999999</v>
      </c>
      <c r="AG464" s="25">
        <f t="shared" ref="AG464:AL464" si="1665">AG252</f>
        <v>299965.353</v>
      </c>
      <c r="AH464" s="25">
        <f t="shared" si="1665"/>
        <v>909838.07200000004</v>
      </c>
      <c r="AI464" s="25">
        <f t="shared" si="1665"/>
        <v>1430984.8219999999</v>
      </c>
      <c r="AJ464" s="25">
        <f t="shared" si="1665"/>
        <v>1213621.4539999999</v>
      </c>
      <c r="AK464" s="25">
        <f t="shared" si="1665"/>
        <v>1216193.92</v>
      </c>
      <c r="AL464" s="25">
        <f t="shared" si="1665"/>
        <v>1019794.078</v>
      </c>
      <c r="AM464" s="25">
        <f t="shared" ref="AM464:AR464" si="1666">AM252</f>
        <v>814874.99</v>
      </c>
      <c r="AN464" s="25">
        <f t="shared" si="1666"/>
        <v>527594.04</v>
      </c>
      <c r="AO464" s="25">
        <f t="shared" si="1666"/>
        <v>533265.53799999994</v>
      </c>
      <c r="AP464" s="25">
        <f t="shared" si="1666"/>
        <v>352744.19099999999</v>
      </c>
      <c r="AQ464" s="25">
        <f t="shared" si="1666"/>
        <v>547018.77300000004</v>
      </c>
      <c r="AR464" s="25">
        <f t="shared" si="1666"/>
        <v>658219.54099999997</v>
      </c>
      <c r="AS464" s="25">
        <f t="shared" ref="AS464:AX464" si="1667">AS252</f>
        <v>624072.76100000006</v>
      </c>
      <c r="AT464" s="25">
        <f t="shared" si="1667"/>
        <v>524616.72100000002</v>
      </c>
      <c r="AU464" s="25">
        <f t="shared" si="1667"/>
        <v>403296.81</v>
      </c>
      <c r="AV464" s="25">
        <f t="shared" si="1667"/>
        <v>649839.18299999996</v>
      </c>
      <c r="AW464" s="25">
        <f t="shared" si="1667"/>
        <v>1077819.1440000001</v>
      </c>
      <c r="AX464" s="25">
        <f t="shared" si="1667"/>
        <v>948928.08200000005</v>
      </c>
      <c r="AY464" s="25">
        <f t="shared" ref="AY464:BD464" si="1668">AY252</f>
        <v>982869.77500000002</v>
      </c>
      <c r="AZ464" s="25">
        <f t="shared" si="1668"/>
        <v>1359756.862</v>
      </c>
      <c r="BA464" s="25">
        <f t="shared" si="1668"/>
        <v>1638385.1910000001</v>
      </c>
      <c r="BB464" s="25">
        <f t="shared" si="1668"/>
        <v>1074929.2690000001</v>
      </c>
      <c r="BC464" s="25">
        <f t="shared" si="1668"/>
        <v>1467862.0460000001</v>
      </c>
      <c r="BD464" s="25">
        <f t="shared" si="1668"/>
        <v>1340530.344</v>
      </c>
      <c r="BE464" s="25">
        <f>BE252</f>
        <v>1584721.2420000001</v>
      </c>
      <c r="BF464" s="25">
        <f>BF252</f>
        <v>1828563.2919999999</v>
      </c>
      <c r="BG464" s="142"/>
      <c r="BH464" s="25"/>
      <c r="BI464" s="25"/>
      <c r="BJ464" s="25"/>
      <c r="BK464" s="25"/>
      <c r="BL464" s="25">
        <f>BL252</f>
        <v>299965.353</v>
      </c>
      <c r="BM464" s="25"/>
      <c r="BN464" s="25">
        <f t="shared" ref="BN464:BS464" si="1669">BN252</f>
        <v>177135</v>
      </c>
      <c r="BO464" s="25">
        <f t="shared" si="1669"/>
        <v>176831.27100000001</v>
      </c>
      <c r="BP464" s="25">
        <f t="shared" si="1669"/>
        <v>213362.99600000001</v>
      </c>
      <c r="BQ464" s="25">
        <f t="shared" si="1669"/>
        <v>192945.21299999999</v>
      </c>
      <c r="BR464" s="25">
        <f t="shared" si="1669"/>
        <v>1430984.8219999999</v>
      </c>
      <c r="BS464" s="25">
        <f t="shared" si="1669"/>
        <v>814874.99</v>
      </c>
      <c r="BT464" s="25">
        <f>BT252</f>
        <v>547018.77300000004</v>
      </c>
      <c r="BU464" s="25">
        <f>BU252</f>
        <v>403296.81</v>
      </c>
      <c r="BV464" s="25">
        <f>BV252</f>
        <v>982869.77500000002</v>
      </c>
      <c r="BW464" s="25">
        <f>BW252</f>
        <v>1467862.0460000001</v>
      </c>
      <c r="BX464" s="25"/>
      <c r="BY464" s="25"/>
      <c r="BZ464" s="25"/>
      <c r="CA464" s="25"/>
      <c r="CJ464" s="6"/>
      <c r="CK464" s="6"/>
      <c r="CL464" s="6"/>
    </row>
    <row r="465" spans="2:90" ht="13.5" customHeight="1">
      <c r="B465" s="1" t="s">
        <v>506</v>
      </c>
      <c r="C465" s="25">
        <f t="shared" ref="C465:H465" si="1670">C260</f>
        <v>3052890.1</v>
      </c>
      <c r="D465" s="25">
        <f t="shared" si="1670"/>
        <v>3439547.9419999998</v>
      </c>
      <c r="E465" s="25">
        <f t="shared" si="1670"/>
        <v>3763101.3090000004</v>
      </c>
      <c r="F465" s="25">
        <f t="shared" si="1670"/>
        <v>3840823.324</v>
      </c>
      <c r="G465" s="25">
        <f t="shared" si="1670"/>
        <v>3840823.324</v>
      </c>
      <c r="H465" s="25">
        <f t="shared" si="1670"/>
        <v>3796650.4930000002</v>
      </c>
      <c r="I465" s="25">
        <f t="shared" ref="I465:N465" si="1671">I260</f>
        <v>3364799.2439999999</v>
      </c>
      <c r="J465" s="25">
        <f t="shared" si="1671"/>
        <v>4240487.7620000001</v>
      </c>
      <c r="K465" s="25">
        <f t="shared" si="1671"/>
        <v>4694080.6059999997</v>
      </c>
      <c r="L465" s="25">
        <f t="shared" si="1671"/>
        <v>4726599.8899999997</v>
      </c>
      <c r="M465" s="25">
        <f>M260</f>
        <v>5825793.1450000005</v>
      </c>
      <c r="N465" s="25">
        <f t="shared" si="1671"/>
        <v>5823915.5870000003</v>
      </c>
      <c r="O465" s="25">
        <f>O260</f>
        <v>6007740.1779999994</v>
      </c>
      <c r="P465" s="25">
        <f>P260</f>
        <v>4872910.9689999996</v>
      </c>
      <c r="Q465" s="25"/>
      <c r="R465" s="25">
        <f t="shared" ref="R465:AF465" si="1672">R260</f>
        <v>3307907.6369999996</v>
      </c>
      <c r="S465" s="25">
        <f t="shared" si="1672"/>
        <v>3469069</v>
      </c>
      <c r="T465" s="25">
        <f t="shared" si="1672"/>
        <v>3549292.9279999998</v>
      </c>
      <c r="U465" s="25">
        <f t="shared" si="1672"/>
        <v>3763101.3090000004</v>
      </c>
      <c r="V465" s="25">
        <f t="shared" si="1672"/>
        <v>3720083.202</v>
      </c>
      <c r="W465" s="25">
        <f t="shared" si="1672"/>
        <v>3817799.6170000001</v>
      </c>
      <c r="X465" s="25">
        <f t="shared" si="1672"/>
        <v>3864211.3820000002</v>
      </c>
      <c r="Y465" s="25">
        <f t="shared" si="1672"/>
        <v>3840823.324</v>
      </c>
      <c r="Z465" s="25">
        <f t="shared" si="1672"/>
        <v>3803082.3319999999</v>
      </c>
      <c r="AA465" s="25">
        <f t="shared" si="1672"/>
        <v>4032040.7369999997</v>
      </c>
      <c r="AB465" s="25">
        <f t="shared" si="1672"/>
        <v>4208861.9079999998</v>
      </c>
      <c r="AC465" s="25">
        <f t="shared" si="1672"/>
        <v>3796650.4930000002</v>
      </c>
      <c r="AD465" s="25">
        <f t="shared" si="1672"/>
        <v>4268764.2879999997</v>
      </c>
      <c r="AE465" s="25">
        <f t="shared" si="1672"/>
        <v>4247702.426</v>
      </c>
      <c r="AF465" s="25">
        <f t="shared" si="1672"/>
        <v>4403759.8550000004</v>
      </c>
      <c r="AG465" s="25">
        <f t="shared" ref="AG465:AL465" si="1673">AG260</f>
        <v>4240487.7620000001</v>
      </c>
      <c r="AH465" s="25">
        <f t="shared" si="1673"/>
        <v>5348641.1349999998</v>
      </c>
      <c r="AI465" s="25">
        <f t="shared" si="1673"/>
        <v>5700258.773</v>
      </c>
      <c r="AJ465" s="25">
        <f t="shared" si="1673"/>
        <v>5348705.7390000001</v>
      </c>
      <c r="AK465" s="25">
        <f t="shared" si="1673"/>
        <v>4694080.6059999997</v>
      </c>
      <c r="AL465" s="25">
        <f t="shared" si="1673"/>
        <v>4658005.6069999998</v>
      </c>
      <c r="AM465" s="25">
        <f t="shared" ref="AM465:AR465" si="1674">AM260</f>
        <v>4351507.9070000006</v>
      </c>
      <c r="AN465" s="25">
        <f t="shared" si="1674"/>
        <v>4502223.898</v>
      </c>
      <c r="AO465" s="25">
        <f t="shared" si="1674"/>
        <v>4726599.8899999997</v>
      </c>
      <c r="AP465" s="25">
        <f t="shared" si="1674"/>
        <v>4856867.4920000006</v>
      </c>
      <c r="AQ465" s="25">
        <f t="shared" si="1674"/>
        <v>5701054.8279999997</v>
      </c>
      <c r="AR465" s="25">
        <f t="shared" si="1674"/>
        <v>6229598.8430000003</v>
      </c>
      <c r="AS465" s="25">
        <f t="shared" ref="AS465:AX465" si="1675">AS260</f>
        <v>5825793.1450000005</v>
      </c>
      <c r="AT465" s="25">
        <f t="shared" si="1675"/>
        <v>5597555.2510000002</v>
      </c>
      <c r="AU465" s="25">
        <f t="shared" si="1675"/>
        <v>5614889.2169999992</v>
      </c>
      <c r="AV465" s="25">
        <f t="shared" si="1675"/>
        <v>5801765.8629999999</v>
      </c>
      <c r="AW465" s="25">
        <f t="shared" si="1675"/>
        <v>5823915.5870000003</v>
      </c>
      <c r="AX465" s="25">
        <f t="shared" si="1675"/>
        <v>6125698.6830000002</v>
      </c>
      <c r="AY465" s="25">
        <f t="shared" ref="AY465:BD465" si="1676">AY260</f>
        <v>6078876.2139999997</v>
      </c>
      <c r="AZ465" s="25">
        <f t="shared" si="1676"/>
        <v>6009412.5279999999</v>
      </c>
      <c r="BA465" s="25">
        <f t="shared" si="1676"/>
        <v>6007740.1779999994</v>
      </c>
      <c r="BB465" s="25">
        <f t="shared" si="1676"/>
        <v>5373554.0759999994</v>
      </c>
      <c r="BC465" s="25">
        <f t="shared" si="1676"/>
        <v>5345789.4939999999</v>
      </c>
      <c r="BD465" s="25">
        <f t="shared" si="1676"/>
        <v>5193603.3530000001</v>
      </c>
      <c r="BE465" s="25">
        <f>BE260</f>
        <v>4872910.9689999996</v>
      </c>
      <c r="BF465" s="25">
        <f>BF260</f>
        <v>5024433.5269999998</v>
      </c>
      <c r="BG465" s="142"/>
      <c r="BH465" s="25"/>
      <c r="BI465" s="25"/>
      <c r="BJ465" s="25"/>
      <c r="BK465" s="25"/>
      <c r="BL465" s="25">
        <f>BL260</f>
        <v>4268764.2879999997</v>
      </c>
      <c r="BM465" s="25"/>
      <c r="BN465" s="25">
        <f t="shared" ref="BN465:BS465" si="1677">BN260</f>
        <v>3469069</v>
      </c>
      <c r="BO465" s="25">
        <f t="shared" si="1677"/>
        <v>3817799.6170000001</v>
      </c>
      <c r="BP465" s="25">
        <f t="shared" si="1677"/>
        <v>4032040.7369999997</v>
      </c>
      <c r="BQ465" s="25">
        <f t="shared" si="1677"/>
        <v>4247702.426</v>
      </c>
      <c r="BR465" s="25">
        <f t="shared" si="1677"/>
        <v>5700258.773</v>
      </c>
      <c r="BS465" s="25">
        <f t="shared" si="1677"/>
        <v>4351507.9070000006</v>
      </c>
      <c r="BT465" s="25">
        <f>BT260</f>
        <v>5701054.8279999997</v>
      </c>
      <c r="BU465" s="25">
        <f>BU260</f>
        <v>5614889.2169999992</v>
      </c>
      <c r="BV465" s="25">
        <f>BV260</f>
        <v>6078876.2139999997</v>
      </c>
      <c r="BW465" s="25">
        <f>BW260</f>
        <v>5345789.4939999999</v>
      </c>
      <c r="BX465" s="25"/>
      <c r="BY465" s="25"/>
      <c r="BZ465" s="25"/>
      <c r="CA465" s="25"/>
      <c r="CJ465" s="6"/>
      <c r="CK465" s="6"/>
      <c r="CL465" s="6"/>
    </row>
    <row r="466" spans="2:90" ht="13.5" customHeight="1">
      <c r="B466" s="1" t="s">
        <v>507</v>
      </c>
      <c r="C466" s="25">
        <f t="shared" ref="C466:H466" si="1678">C265</f>
        <v>4046099.4360000002</v>
      </c>
      <c r="D466" s="25">
        <f t="shared" si="1678"/>
        <v>4618936.142</v>
      </c>
      <c r="E466" s="25">
        <f t="shared" si="1678"/>
        <v>5024179.2050000001</v>
      </c>
      <c r="F466" s="25">
        <f t="shared" si="1678"/>
        <v>5141235.1639999999</v>
      </c>
      <c r="G466" s="25">
        <f t="shared" si="1678"/>
        <v>5264401.1960000005</v>
      </c>
      <c r="H466" s="25">
        <f t="shared" si="1678"/>
        <v>5354364.2690000003</v>
      </c>
      <c r="I466" s="25">
        <f t="shared" ref="I466:N466" si="1679">I265</f>
        <v>4900315.9239999996</v>
      </c>
      <c r="J466" s="25">
        <f t="shared" si="1679"/>
        <v>4837606.8020000001</v>
      </c>
      <c r="K466" s="25">
        <f t="shared" si="1679"/>
        <v>5186419.6379999993</v>
      </c>
      <c r="L466" s="25">
        <f t="shared" si="1679"/>
        <v>5447415.9139999999</v>
      </c>
      <c r="M466" s="25">
        <f>M265</f>
        <v>6756495.3530000001</v>
      </c>
      <c r="N466" s="25">
        <f t="shared" si="1679"/>
        <v>6630679.2350000003</v>
      </c>
      <c r="O466" s="25">
        <f>O265</f>
        <v>6821503.6819999991</v>
      </c>
      <c r="P466" s="25">
        <f>P265</f>
        <v>5616827.4409999996</v>
      </c>
      <c r="Q466" s="25"/>
      <c r="R466" s="25">
        <f t="shared" ref="R466:AF466" si="1680">R265</f>
        <v>4519377.1409999998</v>
      </c>
      <c r="S466" s="25">
        <f t="shared" si="1680"/>
        <v>4712399.5199999996</v>
      </c>
      <c r="T466" s="25">
        <f t="shared" si="1680"/>
        <v>4797370.3360000001</v>
      </c>
      <c r="U466" s="25">
        <f t="shared" si="1680"/>
        <v>5024179.2050000001</v>
      </c>
      <c r="V466" s="25">
        <f t="shared" si="1680"/>
        <v>5011377.7860000003</v>
      </c>
      <c r="W466" s="25">
        <f t="shared" si="1680"/>
        <v>5116674.4409999996</v>
      </c>
      <c r="X466" s="25">
        <f t="shared" si="1680"/>
        <v>5155362.0219999999</v>
      </c>
      <c r="Y466" s="25">
        <f t="shared" si="1680"/>
        <v>5141235.1639999999</v>
      </c>
      <c r="Z466" s="25">
        <f t="shared" si="1680"/>
        <v>5152588.4920000006</v>
      </c>
      <c r="AA466" s="25">
        <f t="shared" si="1680"/>
        <v>5452820.4009999996</v>
      </c>
      <c r="AB466" s="25">
        <f t="shared" si="1680"/>
        <v>5689994.2599999998</v>
      </c>
      <c r="AC466" s="25">
        <f t="shared" si="1680"/>
        <v>5354364.2690000003</v>
      </c>
      <c r="AD466" s="25">
        <f t="shared" si="1680"/>
        <v>5578127.824</v>
      </c>
      <c r="AE466" s="25">
        <f t="shared" si="1680"/>
        <v>5323368.3379999995</v>
      </c>
      <c r="AF466" s="25">
        <f t="shared" si="1680"/>
        <v>5276287.4470000006</v>
      </c>
      <c r="AG466" s="25">
        <f t="shared" ref="AG466:AL466" si="1681">AG265</f>
        <v>4837606.8020000001</v>
      </c>
      <c r="AH466" s="25">
        <f t="shared" si="1681"/>
        <v>5934224.2309999997</v>
      </c>
      <c r="AI466" s="25">
        <f t="shared" si="1681"/>
        <v>6178178.6289999997</v>
      </c>
      <c r="AJ466" s="25">
        <f t="shared" si="1681"/>
        <v>5790470.6270000003</v>
      </c>
      <c r="AK466" s="25">
        <f t="shared" si="1681"/>
        <v>5186419.6379999993</v>
      </c>
      <c r="AL466" s="25">
        <f t="shared" si="1681"/>
        <v>5165052.3829999994</v>
      </c>
      <c r="AM466" s="25">
        <f t="shared" ref="AM466:AR466" si="1682">AM265</f>
        <v>4931163.5070000002</v>
      </c>
      <c r="AN466" s="25">
        <f t="shared" si="1682"/>
        <v>5121129.8020000001</v>
      </c>
      <c r="AO466" s="25">
        <f t="shared" si="1682"/>
        <v>5447415.9139999999</v>
      </c>
      <c r="AP466" s="25">
        <f t="shared" si="1682"/>
        <v>5707962.6280000005</v>
      </c>
      <c r="AQ466" s="25">
        <f t="shared" si="1682"/>
        <v>6650296.6119999997</v>
      </c>
      <c r="AR466" s="25">
        <f t="shared" si="1682"/>
        <v>7254033.0109999999</v>
      </c>
      <c r="AS466" s="25">
        <f t="shared" ref="AS466:AX466" si="1683">AS265</f>
        <v>6756495.3530000001</v>
      </c>
      <c r="AT466" s="25">
        <f t="shared" si="1683"/>
        <v>6463029.9470000006</v>
      </c>
      <c r="AU466" s="25">
        <f t="shared" si="1683"/>
        <v>6448995.6969999988</v>
      </c>
      <c r="AV466" s="25">
        <f t="shared" si="1683"/>
        <v>6575652.6629999997</v>
      </c>
      <c r="AW466" s="25">
        <f t="shared" si="1683"/>
        <v>6630679.2350000003</v>
      </c>
      <c r="AX466" s="25">
        <f t="shared" si="1683"/>
        <v>6949644.6349999998</v>
      </c>
      <c r="AY466" s="25">
        <f t="shared" ref="AY466:BD466" si="1684">AY265</f>
        <v>6925614.4859999996</v>
      </c>
      <c r="AZ466" s="25">
        <f t="shared" si="1684"/>
        <v>6866956.7919999994</v>
      </c>
      <c r="BA466" s="25">
        <f t="shared" si="1684"/>
        <v>6821503.6819999991</v>
      </c>
      <c r="BB466" s="25">
        <f t="shared" si="1684"/>
        <v>6159450.4279999994</v>
      </c>
      <c r="BC466" s="25">
        <f t="shared" si="1684"/>
        <v>6095479.7419999996</v>
      </c>
      <c r="BD466" s="25">
        <f t="shared" si="1684"/>
        <v>5937257.6730000004</v>
      </c>
      <c r="BE466" s="25">
        <f>BE265</f>
        <v>5616827.4409999996</v>
      </c>
      <c r="BF466" s="25">
        <f>BF265</f>
        <v>5769459.2069999995</v>
      </c>
      <c r="BG466" s="142"/>
      <c r="BH466" s="25"/>
      <c r="BI466" s="25"/>
      <c r="BJ466" s="25"/>
      <c r="BK466" s="25"/>
      <c r="BL466" s="25">
        <f>BL265</f>
        <v>4726606.1839999994</v>
      </c>
      <c r="BM466" s="25"/>
      <c r="BN466" s="25">
        <f t="shared" ref="BN466:BS466" si="1685">BN265</f>
        <v>4712399.5199999996</v>
      </c>
      <c r="BO466" s="25">
        <f t="shared" si="1685"/>
        <v>5116674.4409999996</v>
      </c>
      <c r="BP466" s="25">
        <f t="shared" si="1685"/>
        <v>5452820.4009999996</v>
      </c>
      <c r="BQ466" s="25">
        <f t="shared" si="1685"/>
        <v>5323368.3379999995</v>
      </c>
      <c r="BR466" s="25">
        <f t="shared" si="1685"/>
        <v>6178178.6289999997</v>
      </c>
      <c r="BS466" s="25">
        <f t="shared" si="1685"/>
        <v>4931163.5070000002</v>
      </c>
      <c r="BT466" s="25">
        <f>BT265</f>
        <v>6650296.6119999997</v>
      </c>
      <c r="BU466" s="25">
        <f>BU265</f>
        <v>6448995.6969999988</v>
      </c>
      <c r="BV466" s="25">
        <f>BV265</f>
        <v>6925614.4859999996</v>
      </c>
      <c r="BW466" s="25">
        <f>BW265</f>
        <v>6095479.7419999996</v>
      </c>
      <c r="BX466" s="25"/>
      <c r="BY466" s="25"/>
      <c r="BZ466" s="25"/>
      <c r="CA466" s="25"/>
      <c r="CJ466" s="6"/>
      <c r="CK466" s="6"/>
      <c r="CL466" s="6"/>
    </row>
    <row r="467" spans="2:90" ht="13.5" customHeight="1">
      <c r="B467" s="1" t="s">
        <v>491</v>
      </c>
      <c r="C467" s="25">
        <f t="shared" ref="C467:H467" si="1686">C254</f>
        <v>2741093.7170000002</v>
      </c>
      <c r="D467" s="25">
        <f t="shared" si="1686"/>
        <v>3143409.8870000001</v>
      </c>
      <c r="E467" s="25">
        <f t="shared" si="1686"/>
        <v>3454459.4980000001</v>
      </c>
      <c r="F467" s="25">
        <f t="shared" si="1686"/>
        <v>3520168.9699999997</v>
      </c>
      <c r="G467" s="25">
        <f t="shared" si="1686"/>
        <v>3520168.9699999997</v>
      </c>
      <c r="H467" s="25">
        <f t="shared" si="1686"/>
        <v>3384298.6160000004</v>
      </c>
      <c r="I467" s="25">
        <f t="shared" ref="I467:N467" si="1687">I254</f>
        <v>2987056.49</v>
      </c>
      <c r="J467" s="25">
        <f t="shared" si="1687"/>
        <v>2957266.38</v>
      </c>
      <c r="K467" s="25">
        <f t="shared" si="1687"/>
        <v>2544338.625</v>
      </c>
      <c r="L467" s="25">
        <f t="shared" si="1687"/>
        <v>3118742.4670000002</v>
      </c>
      <c r="M467" s="25">
        <f>M254</f>
        <v>4022237.7650000006</v>
      </c>
      <c r="N467" s="25">
        <f t="shared" si="1687"/>
        <v>3540519.9589999998</v>
      </c>
      <c r="O467" s="25">
        <f>O254</f>
        <v>2970154.5959999994</v>
      </c>
      <c r="P467" s="25">
        <f>P254</f>
        <v>1840105.8109999998</v>
      </c>
      <c r="Q467" s="25"/>
      <c r="R467" s="25">
        <f t="shared" ref="R467:AF467" si="1688">R254</f>
        <v>3034681.7469999995</v>
      </c>
      <c r="S467" s="25">
        <f t="shared" si="1688"/>
        <v>3203104.1710000001</v>
      </c>
      <c r="T467" s="25">
        <f t="shared" si="1688"/>
        <v>3319105.4859999996</v>
      </c>
      <c r="U467" s="25">
        <f t="shared" si="1688"/>
        <v>3454459.4980000001</v>
      </c>
      <c r="V467" s="25">
        <f t="shared" si="1688"/>
        <v>3460112.2290000003</v>
      </c>
      <c r="W467" s="25">
        <f t="shared" si="1688"/>
        <v>3539342.841</v>
      </c>
      <c r="X467" s="25">
        <f t="shared" si="1688"/>
        <v>3561990.9280000003</v>
      </c>
      <c r="Y467" s="25">
        <f t="shared" si="1688"/>
        <v>3520168.9699999997</v>
      </c>
      <c r="Z467" s="25">
        <f t="shared" si="1688"/>
        <v>3502663.1769999997</v>
      </c>
      <c r="AA467" s="25">
        <f t="shared" si="1688"/>
        <v>3747162.781</v>
      </c>
      <c r="AB467" s="25">
        <f t="shared" si="1688"/>
        <v>3931456.0689999997</v>
      </c>
      <c r="AC467" s="25">
        <f t="shared" si="1688"/>
        <v>3384298.6160000004</v>
      </c>
      <c r="AD467" s="25">
        <f t="shared" si="1688"/>
        <v>2939587.4989999998</v>
      </c>
      <c r="AE467" s="25">
        <f t="shared" si="1688"/>
        <v>3085228.68</v>
      </c>
      <c r="AF467" s="25">
        <f t="shared" si="1688"/>
        <v>3210857.1320000002</v>
      </c>
      <c r="AG467" s="25">
        <f t="shared" ref="AG467:AL467" si="1689">AG254</f>
        <v>2957266.38</v>
      </c>
      <c r="AH467" s="25">
        <f t="shared" si="1689"/>
        <v>3465662.1089999997</v>
      </c>
      <c r="AI467" s="25">
        <f t="shared" si="1689"/>
        <v>3275681.54</v>
      </c>
      <c r="AJ467" s="25">
        <f t="shared" si="1689"/>
        <v>3180283.1009999998</v>
      </c>
      <c r="AK467" s="25">
        <f t="shared" si="1689"/>
        <v>2544338.625</v>
      </c>
      <c r="AL467" s="25">
        <f t="shared" si="1689"/>
        <v>2704641.9670000002</v>
      </c>
      <c r="AM467" s="25">
        <f t="shared" ref="AM467:AR467" si="1690">AM254</f>
        <v>2599612.1910000006</v>
      </c>
      <c r="AN467" s="25">
        <f t="shared" si="1690"/>
        <v>2999575.5630000001</v>
      </c>
      <c r="AO467" s="25">
        <f t="shared" si="1690"/>
        <v>3118742.4670000002</v>
      </c>
      <c r="AP467" s="25">
        <f t="shared" si="1690"/>
        <v>3405913.2140000002</v>
      </c>
      <c r="AQ467" s="25">
        <f t="shared" si="1690"/>
        <v>3977992.7050000001</v>
      </c>
      <c r="AR467" s="25">
        <f t="shared" si="1690"/>
        <v>4375053.915</v>
      </c>
      <c r="AS467" s="25">
        <f t="shared" ref="AS467:AX467" si="1691">AS254</f>
        <v>4022237.7650000006</v>
      </c>
      <c r="AT467" s="25">
        <f t="shared" si="1691"/>
        <v>3931382.1859999998</v>
      </c>
      <c r="AU467" s="25">
        <f t="shared" si="1691"/>
        <v>4051779.4649999994</v>
      </c>
      <c r="AV467" s="25">
        <f t="shared" si="1691"/>
        <v>3948785.8499999996</v>
      </c>
      <c r="AW467" s="25">
        <f t="shared" si="1691"/>
        <v>3540519.9589999998</v>
      </c>
      <c r="AX467" s="25">
        <f t="shared" si="1691"/>
        <v>3919518.6719999998</v>
      </c>
      <c r="AY467" s="25">
        <f t="shared" ref="AY467:BD467" si="1692">AY254</f>
        <v>3779284.8189999997</v>
      </c>
      <c r="AZ467" s="25">
        <f t="shared" si="1692"/>
        <v>3352510.8310000002</v>
      </c>
      <c r="BA467" s="25">
        <f t="shared" si="1692"/>
        <v>2970154.5959999994</v>
      </c>
      <c r="BB467" s="25">
        <f t="shared" si="1692"/>
        <v>2917409.6089999992</v>
      </c>
      <c r="BC467" s="25">
        <f t="shared" si="1692"/>
        <v>2439215.8659999999</v>
      </c>
      <c r="BD467" s="25">
        <f t="shared" si="1692"/>
        <v>2443445.4470000002</v>
      </c>
      <c r="BE467" s="25">
        <f>BE254</f>
        <v>1840105.8109999998</v>
      </c>
      <c r="BF467" s="25">
        <f>BF254</f>
        <v>1744761.0150000001</v>
      </c>
      <c r="BG467" s="142"/>
      <c r="BH467" s="25"/>
      <c r="BI467" s="25"/>
      <c r="BJ467" s="25"/>
      <c r="BK467" s="25"/>
      <c r="BL467" s="25">
        <f>BL254</f>
        <v>2933255.5629999996</v>
      </c>
      <c r="BM467" s="25"/>
      <c r="BN467" s="25">
        <f t="shared" ref="BN467:BS467" si="1693">BN254</f>
        <v>3203104.1710000001</v>
      </c>
      <c r="BO467" s="25">
        <f t="shared" si="1693"/>
        <v>3539342.841</v>
      </c>
      <c r="BP467" s="25">
        <f t="shared" si="1693"/>
        <v>3747162.781</v>
      </c>
      <c r="BQ467" s="25">
        <f t="shared" si="1693"/>
        <v>3085228.68</v>
      </c>
      <c r="BR467" s="25">
        <f t="shared" si="1693"/>
        <v>3275681.54</v>
      </c>
      <c r="BS467" s="25">
        <f t="shared" si="1693"/>
        <v>2599612.1910000006</v>
      </c>
      <c r="BT467" s="25">
        <f>BT254</f>
        <v>3977992.7050000001</v>
      </c>
      <c r="BU467" s="25">
        <f>BU254</f>
        <v>4051779.4649999994</v>
      </c>
      <c r="BV467" s="25">
        <f>BV254</f>
        <v>3779284.8189999997</v>
      </c>
      <c r="BW467" s="25">
        <f>BW254</f>
        <v>2439215.8659999999</v>
      </c>
      <c r="BX467" s="25"/>
      <c r="BY467" s="25"/>
      <c r="BZ467" s="25"/>
      <c r="CA467" s="25"/>
      <c r="CJ467" s="6"/>
      <c r="CK467" s="6"/>
      <c r="CL467" s="6"/>
    </row>
    <row r="468" spans="2:90" ht="13.5" customHeight="1">
      <c r="B468" s="1" t="s">
        <v>508</v>
      </c>
      <c r="C468" s="25">
        <f t="shared" ref="C468:H468" si="1694">C264</f>
        <v>3834879.5680000004</v>
      </c>
      <c r="D468" s="25">
        <f t="shared" si="1694"/>
        <v>4411627.9160000002</v>
      </c>
      <c r="E468" s="25">
        <f t="shared" si="1694"/>
        <v>4822859.5710000005</v>
      </c>
      <c r="F468" s="25">
        <f t="shared" si="1694"/>
        <v>4909207.9790000003</v>
      </c>
      <c r="G468" s="25">
        <f t="shared" si="1694"/>
        <v>5032374.0109999999</v>
      </c>
      <c r="H468" s="25">
        <f t="shared" si="1694"/>
        <v>5002263.7640000004</v>
      </c>
      <c r="I468" s="25">
        <f t="shared" ref="I468:N468" si="1695">I264</f>
        <v>4582824.5420000004</v>
      </c>
      <c r="J468" s="25">
        <f t="shared" si="1695"/>
        <v>4537641.449</v>
      </c>
      <c r="K468" s="25">
        <f t="shared" si="1695"/>
        <v>3970225.7179999999</v>
      </c>
      <c r="L468" s="25">
        <f t="shared" si="1695"/>
        <v>4914150.3760000002</v>
      </c>
      <c r="M468" s="25">
        <f>M264</f>
        <v>6132422.5920000002</v>
      </c>
      <c r="N468" s="25">
        <f t="shared" si="1695"/>
        <v>5552860.091</v>
      </c>
      <c r="O468" s="25">
        <f>O264</f>
        <v>5183118.4909999995</v>
      </c>
      <c r="P468" s="25">
        <f>P264</f>
        <v>4032106.199</v>
      </c>
      <c r="Q468" s="25"/>
      <c r="R468" s="25">
        <f t="shared" ref="R468:AF468" si="1696">R264</f>
        <v>4326170.9409999996</v>
      </c>
      <c r="S468" s="25">
        <f t="shared" si="1696"/>
        <v>4535264.5199999996</v>
      </c>
      <c r="T468" s="25">
        <f t="shared" si="1696"/>
        <v>4637678.159</v>
      </c>
      <c r="U468" s="25">
        <f t="shared" si="1696"/>
        <v>4822859.5710000005</v>
      </c>
      <c r="V468" s="25">
        <f t="shared" si="1696"/>
        <v>4816886.21</v>
      </c>
      <c r="W468" s="25">
        <f t="shared" si="1696"/>
        <v>4939843.17</v>
      </c>
      <c r="X468" s="25">
        <f t="shared" si="1696"/>
        <v>4946424.3670000006</v>
      </c>
      <c r="Y468" s="25">
        <f t="shared" si="1696"/>
        <v>4909207.9790000003</v>
      </c>
      <c r="Z468" s="25">
        <f t="shared" si="1696"/>
        <v>4933870.1469999999</v>
      </c>
      <c r="AA468" s="25">
        <f t="shared" si="1696"/>
        <v>5239457.4050000003</v>
      </c>
      <c r="AB468" s="25">
        <f t="shared" si="1696"/>
        <v>5483483.7459999993</v>
      </c>
      <c r="AC468" s="25">
        <f t="shared" si="1696"/>
        <v>5002263.7640000004</v>
      </c>
      <c r="AD468" s="25">
        <f t="shared" si="1696"/>
        <v>5284494.4069999997</v>
      </c>
      <c r="AE468" s="25">
        <f t="shared" si="1696"/>
        <v>5130423.125</v>
      </c>
      <c r="AF468" s="25">
        <f t="shared" si="1696"/>
        <v>5047150.1230000006</v>
      </c>
      <c r="AG468" s="25">
        <f t="shared" ref="AG468:AL468" si="1697">AG264</f>
        <v>4537641.449</v>
      </c>
      <c r="AH468" s="25">
        <f t="shared" si="1697"/>
        <v>5024386.159</v>
      </c>
      <c r="AI468" s="25">
        <f t="shared" si="1697"/>
        <v>4747193.807</v>
      </c>
      <c r="AJ468" s="25">
        <f t="shared" si="1697"/>
        <v>4576849.1729999995</v>
      </c>
      <c r="AK468" s="25">
        <f t="shared" si="1697"/>
        <v>3970225.7179999999</v>
      </c>
      <c r="AL468" s="25">
        <f t="shared" si="1697"/>
        <v>4145258.3050000002</v>
      </c>
      <c r="AM468" s="25">
        <f t="shared" ref="AM468:AR468" si="1698">AM264</f>
        <v>4116288.5170000005</v>
      </c>
      <c r="AN468" s="25">
        <f t="shared" si="1698"/>
        <v>4593535.7620000001</v>
      </c>
      <c r="AO468" s="25">
        <f t="shared" si="1698"/>
        <v>4914150.3760000002</v>
      </c>
      <c r="AP468" s="25">
        <f t="shared" si="1698"/>
        <v>5355218.4369999999</v>
      </c>
      <c r="AQ468" s="25">
        <f t="shared" si="1698"/>
        <v>6103277.8389999997</v>
      </c>
      <c r="AR468" s="25">
        <f t="shared" si="1698"/>
        <v>6595813.4700000007</v>
      </c>
      <c r="AS468" s="25">
        <f t="shared" ref="AS468:AX468" si="1699">AS264</f>
        <v>6132422.5920000002</v>
      </c>
      <c r="AT468" s="25">
        <f t="shared" si="1699"/>
        <v>5938413.2259999998</v>
      </c>
      <c r="AU468" s="25">
        <f t="shared" si="1699"/>
        <v>6045698.8870000001</v>
      </c>
      <c r="AV468" s="25">
        <f t="shared" si="1699"/>
        <v>5925813.4799999995</v>
      </c>
      <c r="AW468" s="25">
        <f t="shared" si="1699"/>
        <v>5552860.091</v>
      </c>
      <c r="AX468" s="25">
        <f t="shared" si="1699"/>
        <v>6000716.5529999994</v>
      </c>
      <c r="AY468" s="25">
        <f t="shared" ref="AY468:BD468" si="1700">AY264</f>
        <v>5942744.7109999992</v>
      </c>
      <c r="AZ468" s="25">
        <f t="shared" si="1700"/>
        <v>5507199.9299999997</v>
      </c>
      <c r="BA468" s="25">
        <f t="shared" si="1700"/>
        <v>5183118.4909999995</v>
      </c>
      <c r="BB468" s="25">
        <f t="shared" si="1700"/>
        <v>5084521.1589999991</v>
      </c>
      <c r="BC468" s="25">
        <f t="shared" si="1700"/>
        <v>4627617.6959999995</v>
      </c>
      <c r="BD468" s="25">
        <f t="shared" si="1700"/>
        <v>4596727.3289999999</v>
      </c>
      <c r="BE468" s="25">
        <f>BE264</f>
        <v>4032106.199</v>
      </c>
      <c r="BF468" s="25">
        <f>BF264</f>
        <v>3940895.915</v>
      </c>
      <c r="BG468" s="142"/>
      <c r="BH468" s="25"/>
      <c r="BI468" s="25"/>
      <c r="BJ468" s="25"/>
      <c r="BK468" s="25"/>
      <c r="BL468" s="25">
        <f>BL264</f>
        <v>4426640.8309999993</v>
      </c>
      <c r="BM468" s="25"/>
      <c r="BN468" s="25">
        <f t="shared" ref="BN468:BS468" si="1701">BN264</f>
        <v>4535264.5199999996</v>
      </c>
      <c r="BO468" s="25">
        <f t="shared" si="1701"/>
        <v>4939843.17</v>
      </c>
      <c r="BP468" s="25">
        <f t="shared" si="1701"/>
        <v>5239457.4050000003</v>
      </c>
      <c r="BQ468" s="25">
        <f t="shared" si="1701"/>
        <v>5130423.125</v>
      </c>
      <c r="BR468" s="25">
        <f t="shared" si="1701"/>
        <v>4747193.807</v>
      </c>
      <c r="BS468" s="25">
        <f t="shared" si="1701"/>
        <v>4116288.5170000005</v>
      </c>
      <c r="BT468" s="25">
        <f>BT264</f>
        <v>6103277.8389999997</v>
      </c>
      <c r="BU468" s="25">
        <f>BU264</f>
        <v>6045698.8870000001</v>
      </c>
      <c r="BV468" s="25">
        <f>BV264</f>
        <v>5942744.7109999992</v>
      </c>
      <c r="BW468" s="25">
        <f>BW264</f>
        <v>4627617.6959999995</v>
      </c>
      <c r="BX468" s="25"/>
      <c r="BY468" s="25"/>
      <c r="BZ468" s="25"/>
      <c r="CA468" s="25"/>
      <c r="CJ468" s="6"/>
      <c r="CK468" s="6"/>
      <c r="CL468" s="6"/>
    </row>
    <row r="469" spans="2:90" ht="13.5" customHeight="1">
      <c r="B469" s="1" t="s">
        <v>509</v>
      </c>
      <c r="C469" s="51">
        <f t="shared" ref="C469:H469" si="1702">C305</f>
        <v>3.40836178388891</v>
      </c>
      <c r="D469" s="51">
        <f t="shared" si="1702"/>
        <v>3.528410972338341</v>
      </c>
      <c r="E469" s="51">
        <f t="shared" si="1702"/>
        <v>3.6842401486188145</v>
      </c>
      <c r="F469" s="51">
        <f t="shared" si="1702"/>
        <v>3.5420255081003491</v>
      </c>
      <c r="G469" s="51">
        <f t="shared" si="1702"/>
        <v>3.5341967822616422</v>
      </c>
      <c r="H469" s="51">
        <f t="shared" si="1702"/>
        <v>3.5349859642505046</v>
      </c>
      <c r="I469" s="51">
        <f t="shared" ref="I469:N469" si="1703">I305</f>
        <v>3.8837276053170626</v>
      </c>
      <c r="J469" s="51">
        <f t="shared" si="1703"/>
        <v>5.3593431121205679</v>
      </c>
      <c r="K469" s="51">
        <f t="shared" si="1703"/>
        <v>7.5400572937172887</v>
      </c>
      <c r="L469" s="51">
        <f t="shared" si="1703"/>
        <v>3.832283304493858</v>
      </c>
      <c r="M469" s="51">
        <f>M305</f>
        <v>7.7024241403506162</v>
      </c>
      <c r="N469" s="51">
        <f t="shared" si="1703"/>
        <v>8.5871682712154858</v>
      </c>
      <c r="O469" s="51">
        <f>O305</f>
        <v>5.2210842534741522</v>
      </c>
      <c r="P469" s="51">
        <f>P305</f>
        <v>3.2422753197270731</v>
      </c>
      <c r="Q469" s="51"/>
      <c r="R469" s="51">
        <f t="shared" ref="R469:AF469" si="1704">R305</f>
        <v>3.3415828761820814</v>
      </c>
      <c r="S469" s="51">
        <f t="shared" si="1704"/>
        <v>3.4448098566829715</v>
      </c>
      <c r="T469" s="51">
        <f t="shared" si="1704"/>
        <v>3.4754000835515537</v>
      </c>
      <c r="U469" s="51">
        <f t="shared" si="1704"/>
        <v>3.6842400548359953</v>
      </c>
      <c r="V469" s="51">
        <f t="shared" si="1704"/>
        <v>3.526573916187846</v>
      </c>
      <c r="W469" s="51">
        <f t="shared" si="1704"/>
        <v>3.5745069730527104</v>
      </c>
      <c r="X469" s="51">
        <f t="shared" si="1704"/>
        <v>3.6306468456068761</v>
      </c>
      <c r="Y469" s="51">
        <f t="shared" si="1704"/>
        <v>3.5420255081003491</v>
      </c>
      <c r="Z469" s="51">
        <f t="shared" si="1704"/>
        <v>3.4790412819462109</v>
      </c>
      <c r="AA469" s="51">
        <f t="shared" si="1704"/>
        <v>3.6625504778062203</v>
      </c>
      <c r="AB469" s="51">
        <f t="shared" si="1704"/>
        <v>3.7860742386495523</v>
      </c>
      <c r="AC469" s="51">
        <f t="shared" si="1704"/>
        <v>3.5349859642505055</v>
      </c>
      <c r="AD469" s="51">
        <f t="shared" si="1704"/>
        <v>4.0445760158370732</v>
      </c>
      <c r="AE469" s="51">
        <f t="shared" si="1704"/>
        <v>4.0556221814971964</v>
      </c>
      <c r="AF469" s="51">
        <f t="shared" si="1704"/>
        <v>4.2313657667314812</v>
      </c>
      <c r="AG469" s="51">
        <f t="shared" ref="AG469:AL469" si="1705">AG305</f>
        <v>5.3593431121205688</v>
      </c>
      <c r="AH469" s="51">
        <f t="shared" si="1705"/>
        <v>7.1789978919201127</v>
      </c>
      <c r="AI469" s="51">
        <f t="shared" si="1705"/>
        <v>11.474194126732952</v>
      </c>
      <c r="AJ469" s="51">
        <f t="shared" si="1705"/>
        <v>11.562317779039008</v>
      </c>
      <c r="AK469" s="51">
        <f t="shared" si="1705"/>
        <v>7.5400572937172887</v>
      </c>
      <c r="AL469" s="51">
        <f t="shared" si="1705"/>
        <v>6.4127411820209961</v>
      </c>
      <c r="AM469" s="51">
        <f t="shared" ref="AM469:AR469" si="1706">AM305</f>
        <v>4.1907279391665391</v>
      </c>
      <c r="AN469" s="51">
        <f t="shared" si="1706"/>
        <v>3.7046190040923501</v>
      </c>
      <c r="AO469" s="51">
        <f t="shared" si="1706"/>
        <v>3.8322833044938593</v>
      </c>
      <c r="AP469" s="51">
        <f t="shared" si="1706"/>
        <v>4.0702839333560377</v>
      </c>
      <c r="AQ469" s="51">
        <f t="shared" si="1706"/>
        <v>5.1740223882632925</v>
      </c>
      <c r="AR469" s="51">
        <f t="shared" si="1706"/>
        <v>6.7430996946129511</v>
      </c>
      <c r="AS469" s="51">
        <f t="shared" ref="AS469:AX469" si="1707">AS305</f>
        <v>7.7024241403506197</v>
      </c>
      <c r="AT469" s="51">
        <f t="shared" si="1707"/>
        <v>8.353588902835213</v>
      </c>
      <c r="AU469" s="51">
        <f t="shared" si="1707"/>
        <v>8.998923098540395</v>
      </c>
      <c r="AV469" s="51">
        <f t="shared" si="1707"/>
        <v>9.3541486389091126</v>
      </c>
      <c r="AW469" s="51">
        <f t="shared" si="1707"/>
        <v>8.587168271215484</v>
      </c>
      <c r="AX469" s="51">
        <f t="shared" si="1707"/>
        <v>7.7619890286351589</v>
      </c>
      <c r="AY469" s="51">
        <f t="shared" ref="AY469:BD469" si="1708">AY305</f>
        <v>6.6940735930647497</v>
      </c>
      <c r="AZ469" s="51">
        <f t="shared" si="1708"/>
        <v>5.9016842982382904</v>
      </c>
      <c r="BA469" s="51">
        <f t="shared" si="1708"/>
        <v>5.2210842534741522</v>
      </c>
      <c r="BB469" s="51">
        <f t="shared" si="1708"/>
        <v>4.2718750978522628</v>
      </c>
      <c r="BC469" s="51">
        <f t="shared" si="1708"/>
        <v>3.968435464909212</v>
      </c>
      <c r="BD469" s="51">
        <f t="shared" si="1708"/>
        <v>3.6815370861365326</v>
      </c>
      <c r="BE469" s="51">
        <f>BE305</f>
        <v>3.2422753197270731</v>
      </c>
      <c r="BF469" s="51">
        <f>BF305</f>
        <v>3.3052157878621466</v>
      </c>
      <c r="BG469" s="142"/>
      <c r="BH469" s="51"/>
      <c r="BI469" s="51"/>
      <c r="BJ469" s="51"/>
      <c r="BK469" s="51"/>
      <c r="BL469" s="51">
        <f>BL305</f>
        <v>8.2020644358481327</v>
      </c>
      <c r="BM469" s="51"/>
      <c r="BN469" s="51">
        <f t="shared" ref="BN469:BS469" si="1709">BN305</f>
        <v>3.4448098566829715</v>
      </c>
      <c r="BO469" s="51">
        <f t="shared" si="1709"/>
        <v>3.5745045399901132</v>
      </c>
      <c r="BP469" s="51">
        <f t="shared" si="1709"/>
        <v>3.6625527900169139</v>
      </c>
      <c r="BQ469" s="51">
        <f t="shared" si="1709"/>
        <v>4.0556221814971964</v>
      </c>
      <c r="BR469" s="51">
        <f t="shared" si="1709"/>
        <v>11.47419412673295</v>
      </c>
      <c r="BS469" s="51">
        <f t="shared" si="1709"/>
        <v>4.1907279391665391</v>
      </c>
      <c r="BT469" s="51">
        <f>BT305</f>
        <v>5.1740223882632908</v>
      </c>
      <c r="BU469" s="51">
        <f>BU305</f>
        <v>8.9989230985403914</v>
      </c>
      <c r="BV469" s="51">
        <f>BV305</f>
        <v>6.6940735930647497</v>
      </c>
      <c r="BW469" s="51">
        <f>BW305</f>
        <v>3.9684354649092124</v>
      </c>
      <c r="BX469" s="51"/>
      <c r="BY469" s="51"/>
      <c r="BZ469" s="51"/>
      <c r="CA469" s="51"/>
      <c r="CJ469" s="6"/>
      <c r="CK469" s="6"/>
      <c r="CL469" s="6"/>
    </row>
    <row r="470" spans="2:90" ht="13.5" customHeight="1">
      <c r="B470" s="5" t="s">
        <v>510</v>
      </c>
      <c r="C470" s="50">
        <f t="shared" ref="C470:H470" si="1710">C304</f>
        <v>3.1725479476524665</v>
      </c>
      <c r="D470" s="50">
        <f t="shared" si="1710"/>
        <v>3.3157467991362464</v>
      </c>
      <c r="E470" s="50">
        <f t="shared" si="1710"/>
        <v>3.4871394549664436</v>
      </c>
      <c r="F470" s="50">
        <f t="shared" si="1710"/>
        <v>3.3280489362785519</v>
      </c>
      <c r="G470" s="50">
        <f t="shared" si="1710"/>
        <v>3.3206931499804746</v>
      </c>
      <c r="H470" s="50">
        <f t="shared" si="1710"/>
        <v>3.2071521682570756</v>
      </c>
      <c r="I470" s="50">
        <f t="shared" ref="I470:N470" si="1711">I304</f>
        <v>3.5172718511075365</v>
      </c>
      <c r="J470" s="50">
        <f t="shared" si="1711"/>
        <v>4.9802317129835156</v>
      </c>
      <c r="K470" s="50">
        <f t="shared" si="1711"/>
        <v>5.5864964994375192</v>
      </c>
      <c r="L470" s="50">
        <f t="shared" si="1711"/>
        <v>3.3999165576357195</v>
      </c>
      <c r="M470" s="50">
        <f>M304</f>
        <v>6.8773222220329071</v>
      </c>
      <c r="N470" s="50">
        <f t="shared" si="1711"/>
        <v>6.9979600800588111</v>
      </c>
      <c r="O470" s="50">
        <f>O304</f>
        <v>3.7972298808799221</v>
      </c>
      <c r="P470" s="50">
        <f>P304</f>
        <v>2.1878537215753928</v>
      </c>
      <c r="Q470" s="50"/>
      <c r="R470" s="50">
        <f t="shared" ref="R470:AF470" si="1712">R304</f>
        <v>3.1464097938774831</v>
      </c>
      <c r="S470" s="50">
        <f t="shared" si="1712"/>
        <v>3.2689135588683307</v>
      </c>
      <c r="T470" s="50">
        <f t="shared" si="1712"/>
        <v>3.3190325431577929</v>
      </c>
      <c r="U470" s="50">
        <f t="shared" si="1712"/>
        <v>3.4871393662008483</v>
      </c>
      <c r="V470" s="50">
        <f t="shared" si="1712"/>
        <v>3.34219929831072</v>
      </c>
      <c r="W470" s="50">
        <f t="shared" si="1712"/>
        <v>3.4089444305796297</v>
      </c>
      <c r="X470" s="50">
        <f t="shared" si="1712"/>
        <v>3.4343380097114573</v>
      </c>
      <c r="Y470" s="50">
        <f t="shared" si="1712"/>
        <v>3.3280489362785519</v>
      </c>
      <c r="Z470" s="50">
        <f t="shared" si="1712"/>
        <v>3.2789588001731196</v>
      </c>
      <c r="AA470" s="50">
        <f t="shared" si="1712"/>
        <v>3.4687397516955021</v>
      </c>
      <c r="AB470" s="50">
        <f t="shared" si="1712"/>
        <v>3.600308073316461</v>
      </c>
      <c r="AC470" s="50">
        <f t="shared" si="1712"/>
        <v>3.2071521682570765</v>
      </c>
      <c r="AD470" s="50">
        <f t="shared" si="1712"/>
        <v>3.7663637286922822</v>
      </c>
      <c r="AE470" s="50">
        <f t="shared" si="1712"/>
        <v>3.8714019120012035</v>
      </c>
      <c r="AF470" s="50">
        <f t="shared" si="1712"/>
        <v>4.0111984868210602</v>
      </c>
      <c r="AG470" s="50">
        <f t="shared" ref="AG470:AL470" si="1713">AG304</f>
        <v>4.9802317129835174</v>
      </c>
      <c r="AH470" s="50">
        <f t="shared" si="1713"/>
        <v>5.9578044268856223</v>
      </c>
      <c r="AI470" s="50">
        <f t="shared" si="1713"/>
        <v>8.5937288191211358</v>
      </c>
      <c r="AJ470" s="50">
        <f t="shared" si="1713"/>
        <v>8.9388276116343484</v>
      </c>
      <c r="AK470" s="50">
        <f t="shared" si="1713"/>
        <v>5.5864964994375192</v>
      </c>
      <c r="AL470" s="50">
        <f t="shared" si="1713"/>
        <v>5.0087764741760816</v>
      </c>
      <c r="AM470" s="50">
        <f t="shared" ref="AM470:AR470" si="1714">AM304</f>
        <v>3.4059610352554408</v>
      </c>
      <c r="AN470" s="50">
        <f t="shared" si="1714"/>
        <v>3.270492458787015</v>
      </c>
      <c r="AO470" s="50">
        <f t="shared" si="1714"/>
        <v>3.3999165576357209</v>
      </c>
      <c r="AP470" s="50">
        <f t="shared" si="1714"/>
        <v>3.7746676713153491</v>
      </c>
      <c r="AQ470" s="50">
        <f t="shared" si="1714"/>
        <v>4.6775726147228376</v>
      </c>
      <c r="AR470" s="50">
        <f t="shared" si="1714"/>
        <v>6.0306236431425244</v>
      </c>
      <c r="AS470" s="50">
        <f t="shared" ref="AS470:AX470" si="1715">AS304</f>
        <v>6.8773222220329098</v>
      </c>
      <c r="AT470" s="50">
        <f t="shared" si="1715"/>
        <v>7.5706698922538544</v>
      </c>
      <c r="AU470" s="50">
        <f t="shared" si="1715"/>
        <v>8.3525635999257943</v>
      </c>
      <c r="AV470" s="50">
        <f t="shared" si="1715"/>
        <v>8.3064172321773579</v>
      </c>
      <c r="AW470" s="50">
        <f t="shared" si="1715"/>
        <v>6.9979600800588093</v>
      </c>
      <c r="AX470" s="50">
        <f t="shared" si="1715"/>
        <v>6.5595842512195333</v>
      </c>
      <c r="AY470" s="50">
        <f t="shared" ref="AY470:BD470" si="1716">AY304</f>
        <v>5.611734954370931</v>
      </c>
      <c r="AZ470" s="50">
        <f t="shared" si="1716"/>
        <v>4.5663032298732054</v>
      </c>
      <c r="BA470" s="50">
        <f t="shared" si="1716"/>
        <v>3.7972298808799221</v>
      </c>
      <c r="BB470" s="50">
        <f t="shared" si="1716"/>
        <v>3.4173264115921191</v>
      </c>
      <c r="BC470" s="50">
        <f t="shared" si="1716"/>
        <v>2.8787711959591187</v>
      </c>
      <c r="BD470" s="50">
        <f t="shared" si="1716"/>
        <v>2.7312888979154164</v>
      </c>
      <c r="BE470" s="50">
        <f>BE304</f>
        <v>2.1878537215753928</v>
      </c>
      <c r="BF470" s="50">
        <f>BF304</f>
        <v>2.1023346611946749</v>
      </c>
      <c r="BG470" s="142"/>
      <c r="BH470" s="50"/>
      <c r="BI470" s="50"/>
      <c r="BJ470" s="50"/>
      <c r="BK470" s="50"/>
      <c r="BL470" s="50">
        <f>BL304</f>
        <v>7.6257067389042588</v>
      </c>
      <c r="BM470" s="50"/>
      <c r="BN470" s="50">
        <f t="shared" ref="BN470:BS470" si="1717">BN304</f>
        <v>3.2689135588683307</v>
      </c>
      <c r="BO470" s="50">
        <f t="shared" si="1717"/>
        <v>3.4089421102106239</v>
      </c>
      <c r="BP470" s="50">
        <f t="shared" si="1717"/>
        <v>3.4687419415512308</v>
      </c>
      <c r="BQ470" s="50">
        <f t="shared" si="1717"/>
        <v>3.8714019120012035</v>
      </c>
      <c r="BR470" s="50">
        <f t="shared" si="1717"/>
        <v>8.5937288191211341</v>
      </c>
      <c r="BS470" s="50">
        <f t="shared" si="1717"/>
        <v>3.4059610352554408</v>
      </c>
      <c r="BT470" s="50">
        <f>BT304</f>
        <v>4.6775726147228358</v>
      </c>
      <c r="BU470" s="50">
        <f>BU304</f>
        <v>8.3525635999257908</v>
      </c>
      <c r="BV470" s="50">
        <f>BV304</f>
        <v>5.611734954370931</v>
      </c>
      <c r="BW470" s="50">
        <f>BW304</f>
        <v>2.8787711959591196</v>
      </c>
      <c r="BX470" s="50"/>
      <c r="BY470" s="50"/>
      <c r="BZ470" s="50"/>
      <c r="CA470" s="50"/>
      <c r="CJ470" s="6"/>
      <c r="CK470" s="6"/>
      <c r="CL470" s="6"/>
    </row>
    <row r="471" spans="2:90" ht="13.5" customHeight="1">
      <c r="B471" s="1" t="s">
        <v>511</v>
      </c>
      <c r="C471" s="51">
        <f t="shared" ref="C471:H471" si="1718">C308</f>
        <v>3.9673197060544854</v>
      </c>
      <c r="D471" s="51">
        <f t="shared" si="1718"/>
        <v>4.115823899380036</v>
      </c>
      <c r="E471" s="51">
        <f t="shared" si="1718"/>
        <v>4.2612467140282657</v>
      </c>
      <c r="F471" s="51">
        <f t="shared" si="1718"/>
        <v>4.1231827004268053</v>
      </c>
      <c r="G471" s="51">
        <f t="shared" si="1718"/>
        <v>4.162545679775322</v>
      </c>
      <c r="H471" s="51">
        <f t="shared" si="1718"/>
        <v>4.2202364883749111</v>
      </c>
      <c r="I471" s="51">
        <f t="shared" ref="I471:N471" si="1719">I308</f>
        <v>4.6302626607952293</v>
      </c>
      <c r="J471" s="51">
        <f t="shared" si="1719"/>
        <v>5.5869727975289658</v>
      </c>
      <c r="K471" s="51">
        <f t="shared" si="1719"/>
        <v>7.5814345561759149</v>
      </c>
      <c r="L471" s="51">
        <f t="shared" si="1719"/>
        <v>4.1160228559118028</v>
      </c>
      <c r="M471" s="51">
        <f>M308</f>
        <v>7.7420935177727337</v>
      </c>
      <c r="N471" s="51">
        <f t="shared" si="1719"/>
        <v>8.5111619437141073</v>
      </c>
      <c r="O471" s="51">
        <f>O308</f>
        <v>5.4467908123513498</v>
      </c>
      <c r="P471" s="51">
        <f>P308</f>
        <v>3.5194941042683761</v>
      </c>
      <c r="Q471" s="51"/>
      <c r="R471" s="51">
        <f t="shared" ref="R471:AF471" si="1720">R308</f>
        <v>3.9596558087920153</v>
      </c>
      <c r="S471" s="51">
        <f t="shared" si="1720"/>
        <v>4.0538215666004671</v>
      </c>
      <c r="T471" s="51">
        <f t="shared" si="1720"/>
        <v>4.0749911322908297</v>
      </c>
      <c r="U471" s="51">
        <f t="shared" si="1720"/>
        <v>4.2612466200599215</v>
      </c>
      <c r="V471" s="51">
        <f t="shared" si="1720"/>
        <v>4.1202379881848188</v>
      </c>
      <c r="W471" s="51">
        <f t="shared" si="1720"/>
        <v>4.1584690762993173</v>
      </c>
      <c r="X471" s="51">
        <f t="shared" si="1720"/>
        <v>4.2059688118645493</v>
      </c>
      <c r="Y471" s="51">
        <f t="shared" si="1720"/>
        <v>4.1231827004268053</v>
      </c>
      <c r="Z471" s="51">
        <f t="shared" si="1720"/>
        <v>4.0834279299996599</v>
      </c>
      <c r="AA471" s="51">
        <f t="shared" si="1720"/>
        <v>4.265078119516196</v>
      </c>
      <c r="AB471" s="51">
        <f t="shared" si="1720"/>
        <v>4.387683038590132</v>
      </c>
      <c r="AC471" s="51">
        <f t="shared" si="1720"/>
        <v>4.2202364883749119</v>
      </c>
      <c r="AD471" s="51">
        <f t="shared" si="1720"/>
        <v>4.5756121042115989</v>
      </c>
      <c r="AE471" s="51">
        <f t="shared" si="1720"/>
        <v>4.5043827577447075</v>
      </c>
      <c r="AF471" s="51">
        <f t="shared" si="1720"/>
        <v>4.5888425850767653</v>
      </c>
      <c r="AG471" s="51">
        <f t="shared" ref="AG471:AL471" si="1721">AG308</f>
        <v>5.5869727975289667</v>
      </c>
      <c r="AH471" s="51">
        <f t="shared" si="1721"/>
        <v>7.2524430536596851</v>
      </c>
      <c r="AI471" s="51">
        <f t="shared" si="1721"/>
        <v>11.101260950705342</v>
      </c>
      <c r="AJ471" s="51">
        <f t="shared" si="1721"/>
        <v>11.182429264987412</v>
      </c>
      <c r="AK471" s="51">
        <f t="shared" si="1721"/>
        <v>7.581434556175914</v>
      </c>
      <c r="AL471" s="51">
        <f t="shared" si="1721"/>
        <v>6.5401258508022302</v>
      </c>
      <c r="AM471" s="51">
        <f t="shared" ref="AM471:AR471" si="1722">AM308</f>
        <v>4.4391998709007172</v>
      </c>
      <c r="AN471" s="51">
        <f t="shared" si="1722"/>
        <v>3.9616887057845518</v>
      </c>
      <c r="AO471" s="51">
        <f t="shared" si="1722"/>
        <v>4.1160228559118037</v>
      </c>
      <c r="AP471" s="51">
        <f t="shared" si="1722"/>
        <v>4.3919662335546112</v>
      </c>
      <c r="AQ471" s="51">
        <f t="shared" si="1722"/>
        <v>5.4487560836980515</v>
      </c>
      <c r="AR471" s="51">
        <f t="shared" si="1722"/>
        <v>6.8961095930681369</v>
      </c>
      <c r="AS471" s="51">
        <f t="shared" ref="AS471:AX471" si="1723">AS308</f>
        <v>7.7420935177727372</v>
      </c>
      <c r="AT471" s="51">
        <f t="shared" si="1723"/>
        <v>8.3044373706790342</v>
      </c>
      <c r="AU471" s="51">
        <f t="shared" si="1723"/>
        <v>8.855900648862205</v>
      </c>
      <c r="AV471" s="51">
        <f t="shared" si="1723"/>
        <v>9.1714427341179086</v>
      </c>
      <c r="AW471" s="51">
        <f t="shared" si="1723"/>
        <v>8.5111619437141073</v>
      </c>
      <c r="AX471" s="51">
        <f t="shared" si="1723"/>
        <v>7.7894648534375905</v>
      </c>
      <c r="AY471" s="51">
        <f t="shared" ref="AY471:BD471" si="1724">AY308</f>
        <v>6.8303954335923551</v>
      </c>
      <c r="AZ471" s="51">
        <f t="shared" si="1724"/>
        <v>6.1015380944992899</v>
      </c>
      <c r="BA471" s="51">
        <f t="shared" si="1724"/>
        <v>5.4467908123513498</v>
      </c>
      <c r="BB471" s="51">
        <f t="shared" si="1724"/>
        <v>4.5419380308753095</v>
      </c>
      <c r="BC471" s="51">
        <f t="shared" si="1724"/>
        <v>4.2306551071583902</v>
      </c>
      <c r="BD471" s="51">
        <f t="shared" si="1724"/>
        <v>3.9485037074674469</v>
      </c>
      <c r="BE471" s="51">
        <f>BE308</f>
        <v>3.5194941042683756</v>
      </c>
      <c r="BF471" s="51">
        <f>BF308</f>
        <v>3.5762267319704062</v>
      </c>
      <c r="BG471" s="142"/>
      <c r="BH471" s="51"/>
      <c r="BI471" s="51"/>
      <c r="BJ471" s="51"/>
      <c r="BK471" s="51"/>
      <c r="BL471" s="51">
        <f>BL308</f>
        <v>8.1820461018763062</v>
      </c>
      <c r="BM471" s="51"/>
      <c r="BN471" s="51">
        <f t="shared" ref="BN471:BS471" si="1725">BN308</f>
        <v>4.0538215666004671</v>
      </c>
      <c r="BO471" s="51">
        <f t="shared" si="1725"/>
        <v>4.1584666192531214</v>
      </c>
      <c r="BP471" s="51">
        <f t="shared" si="1725"/>
        <v>4.2650804380734639</v>
      </c>
      <c r="BQ471" s="51">
        <f t="shared" si="1725"/>
        <v>4.5043827577447075</v>
      </c>
      <c r="BR471" s="51">
        <f t="shared" si="1725"/>
        <v>11.101260950705342</v>
      </c>
      <c r="BS471" s="51">
        <f t="shared" si="1725"/>
        <v>4.4391998709007181</v>
      </c>
      <c r="BT471" s="51">
        <f>BT308</f>
        <v>5.4487560836980506</v>
      </c>
      <c r="BU471" s="51">
        <f>BU308</f>
        <v>8.8559006488622014</v>
      </c>
      <c r="BV471" s="51">
        <f>BV308</f>
        <v>6.8303954335923551</v>
      </c>
      <c r="BW471" s="51">
        <f>BW308</f>
        <v>4.2306551071583902</v>
      </c>
      <c r="BX471" s="51"/>
      <c r="BY471" s="51"/>
      <c r="BZ471" s="51"/>
      <c r="CA471" s="51"/>
      <c r="CJ471" s="6"/>
      <c r="CK471" s="6"/>
      <c r="CL471" s="6"/>
    </row>
    <row r="472" spans="2:90" ht="13.5" customHeight="1">
      <c r="B472" s="5" t="s">
        <v>512</v>
      </c>
      <c r="C472" s="50">
        <f t="shared" ref="C472:H472" si="1726">C307</f>
        <v>3.7602124023706551</v>
      </c>
      <c r="D472" s="50">
        <f t="shared" si="1726"/>
        <v>3.9310964805810782</v>
      </c>
      <c r="E472" s="50">
        <f t="shared" si="1726"/>
        <v>4.0904979023620482</v>
      </c>
      <c r="F472" s="50">
        <f t="shared" si="1726"/>
        <v>3.9371008650889325</v>
      </c>
      <c r="G472" s="50">
        <f t="shared" si="1726"/>
        <v>3.9790825050374172</v>
      </c>
      <c r="H472" s="50">
        <f t="shared" si="1726"/>
        <v>3.9427156989547036</v>
      </c>
      <c r="I472" s="50">
        <f t="shared" ref="I472:N472" si="1727">I307</f>
        <v>4.3302680249394063</v>
      </c>
      <c r="J472" s="50">
        <f t="shared" si="1727"/>
        <v>5.240541527687169</v>
      </c>
      <c r="K472" s="50">
        <f t="shared" si="1727"/>
        <v>5.8036195593827378</v>
      </c>
      <c r="L472" s="50">
        <f t="shared" si="1727"/>
        <v>3.7130917822926457</v>
      </c>
      <c r="M472" s="50">
        <f>M307</f>
        <v>7.026984659537332</v>
      </c>
      <c r="N472" s="50">
        <f t="shared" si="1727"/>
        <v>7.1276697017433159</v>
      </c>
      <c r="O472" s="50">
        <f>O307</f>
        <v>4.138583440276034</v>
      </c>
      <c r="P472" s="50">
        <f>P307</f>
        <v>2.5265105870224067</v>
      </c>
      <c r="Q472" s="50"/>
      <c r="R472" s="50">
        <f t="shared" ref="R472:AF472" si="1728">R307</f>
        <v>3.790378045893176</v>
      </c>
      <c r="S472" s="50">
        <f t="shared" si="1728"/>
        <v>3.901441939161796</v>
      </c>
      <c r="T472" s="50">
        <f t="shared" si="1728"/>
        <v>3.9393451096588139</v>
      </c>
      <c r="U472" s="50">
        <f t="shared" si="1728"/>
        <v>4.0904978121590299</v>
      </c>
      <c r="V472" s="50">
        <f t="shared" si="1728"/>
        <v>3.9603315484716073</v>
      </c>
      <c r="W472" s="50">
        <f t="shared" si="1728"/>
        <v>4.0147531958665397</v>
      </c>
      <c r="X472" s="50">
        <f t="shared" si="1728"/>
        <v>4.0355083753706653</v>
      </c>
      <c r="Y472" s="50">
        <f t="shared" si="1728"/>
        <v>3.9371008650889325</v>
      </c>
      <c r="Z472" s="50">
        <f t="shared" si="1728"/>
        <v>3.9100935757885713</v>
      </c>
      <c r="AA472" s="50">
        <f t="shared" si="1728"/>
        <v>4.0981902011855045</v>
      </c>
      <c r="AB472" s="50">
        <f t="shared" si="1728"/>
        <v>4.2284381187950224</v>
      </c>
      <c r="AC472" s="50">
        <f t="shared" si="1728"/>
        <v>3.9427156989547045</v>
      </c>
      <c r="AD472" s="50">
        <f t="shared" si="1728"/>
        <v>4.3347512527901682</v>
      </c>
      <c r="AE472" s="50">
        <f t="shared" si="1728"/>
        <v>4.3411216351914064</v>
      </c>
      <c r="AF472" s="50">
        <f t="shared" si="1728"/>
        <v>4.3895594488254259</v>
      </c>
      <c r="AG472" s="50">
        <f t="shared" ref="AG472:AL472" si="1729">AG307</f>
        <v>5.2405415276871699</v>
      </c>
      <c r="AH472" s="50">
        <f t="shared" si="1729"/>
        <v>6.1404950469158335</v>
      </c>
      <c r="AI472" s="50">
        <f t="shared" si="1729"/>
        <v>8.5299957155187212</v>
      </c>
      <c r="AJ472" s="50">
        <f t="shared" si="1729"/>
        <v>8.8387102587039212</v>
      </c>
      <c r="AK472" s="50">
        <f t="shared" si="1729"/>
        <v>5.803619559382736</v>
      </c>
      <c r="AL472" s="50">
        <f t="shared" si="1729"/>
        <v>5.2488356338869568</v>
      </c>
      <c r="AM472" s="50">
        <f t="shared" ref="AM472:AR472" si="1730">AM307</f>
        <v>3.7056218937614123</v>
      </c>
      <c r="AN472" s="50">
        <f t="shared" si="1730"/>
        <v>3.5535437396696619</v>
      </c>
      <c r="AO472" s="50">
        <f t="shared" si="1730"/>
        <v>3.7130917822926461</v>
      </c>
      <c r="AP472" s="50">
        <f t="shared" si="1730"/>
        <v>4.1205487984868245</v>
      </c>
      <c r="AQ472" s="50">
        <f t="shared" si="1730"/>
        <v>5.0005697784582885</v>
      </c>
      <c r="AR472" s="50">
        <f t="shared" si="1730"/>
        <v>6.2703674598090462</v>
      </c>
      <c r="AS472" s="50">
        <f t="shared" ref="AS472:AX472" si="1731">AS307</f>
        <v>7.0269846595373346</v>
      </c>
      <c r="AT472" s="50">
        <f t="shared" si="1731"/>
        <v>7.6303500248238958</v>
      </c>
      <c r="AU472" s="50">
        <f t="shared" si="1731"/>
        <v>8.302084729427726</v>
      </c>
      <c r="AV472" s="50">
        <f t="shared" si="1731"/>
        <v>8.265074475525708</v>
      </c>
      <c r="AW472" s="50">
        <f t="shared" si="1731"/>
        <v>7.1276697017433159</v>
      </c>
      <c r="AX472" s="50">
        <f t="shared" si="1731"/>
        <v>6.7258648664752432</v>
      </c>
      <c r="AY472" s="50">
        <f t="shared" ref="AY472:BD472" si="1732">AY307</f>
        <v>5.8610389618241179</v>
      </c>
      <c r="AZ472" s="50">
        <f t="shared" si="1732"/>
        <v>4.8933452160446942</v>
      </c>
      <c r="BA472" s="50">
        <f t="shared" si="1732"/>
        <v>4.138583440276034</v>
      </c>
      <c r="BB472" s="50">
        <f t="shared" si="1732"/>
        <v>3.7492922933306065</v>
      </c>
      <c r="BC472" s="50">
        <f t="shared" si="1732"/>
        <v>3.2118644090736015</v>
      </c>
      <c r="BD472" s="50">
        <f t="shared" si="1732"/>
        <v>3.0569996958886296</v>
      </c>
      <c r="BE472" s="50">
        <f>BE307</f>
        <v>2.5265105870224063</v>
      </c>
      <c r="BF472" s="50">
        <f>BF307</f>
        <v>2.4427830778379529</v>
      </c>
      <c r="BG472" s="142"/>
      <c r="BH472" s="50"/>
      <c r="BI472" s="50"/>
      <c r="BJ472" s="50"/>
      <c r="BK472" s="50"/>
      <c r="BL472" s="50">
        <f>BL307</f>
        <v>7.6627876209138481</v>
      </c>
      <c r="BM472" s="50"/>
      <c r="BN472" s="50">
        <f t="shared" ref="BN472:BS472" si="1733">BN307</f>
        <v>3.901441939161796</v>
      </c>
      <c r="BO472" s="50">
        <f t="shared" si="1733"/>
        <v>4.0147508237353815</v>
      </c>
      <c r="BP472" s="50">
        <f t="shared" si="1733"/>
        <v>4.0981924290201208</v>
      </c>
      <c r="BQ472" s="50">
        <f t="shared" si="1733"/>
        <v>4.3411216351914064</v>
      </c>
      <c r="BR472" s="50">
        <f t="shared" si="1733"/>
        <v>8.5299957155187212</v>
      </c>
      <c r="BS472" s="50">
        <f t="shared" si="1733"/>
        <v>3.7056218937614132</v>
      </c>
      <c r="BT472" s="50">
        <f>BT307</f>
        <v>5.0005697784582877</v>
      </c>
      <c r="BU472" s="50">
        <f>BU307</f>
        <v>8.3020847294277242</v>
      </c>
      <c r="BV472" s="50">
        <f>BV307</f>
        <v>5.8610389618241179</v>
      </c>
      <c r="BW472" s="50">
        <f>BW307</f>
        <v>3.2118644090736024</v>
      </c>
      <c r="BX472" s="50"/>
      <c r="BY472" s="50"/>
      <c r="BZ472" s="50"/>
      <c r="CA472" s="50"/>
      <c r="CJ472" s="6"/>
      <c r="CK472" s="6"/>
      <c r="CL472" s="6"/>
    </row>
    <row r="473" spans="2:90" ht="13.5" customHeight="1">
      <c r="BG473" s="142"/>
    </row>
    <row r="474" spans="2:90" ht="13.5" customHeight="1">
      <c r="BG474" s="142"/>
    </row>
    <row r="475" spans="2:90" ht="13.5" customHeight="1">
      <c r="B475" s="509" t="s">
        <v>513</v>
      </c>
      <c r="C475" s="436"/>
      <c r="D475" s="436"/>
      <c r="E475" s="436"/>
      <c r="F475" s="436"/>
      <c r="G475" s="436"/>
      <c r="H475" s="436"/>
      <c r="I475" s="436"/>
      <c r="J475" s="436"/>
      <c r="K475" s="436"/>
      <c r="L475" s="436"/>
      <c r="M475" s="436"/>
      <c r="N475" s="436"/>
      <c r="O475" s="436"/>
      <c r="P475" s="436"/>
      <c r="R475" s="436"/>
      <c r="S475" s="436"/>
      <c r="T475" s="436"/>
      <c r="U475" s="436"/>
      <c r="V475" s="436"/>
      <c r="W475" s="436"/>
      <c r="X475" s="444"/>
      <c r="Y475" s="436"/>
      <c r="Z475" s="444"/>
      <c r="AA475" s="436"/>
      <c r="AB475" s="444"/>
      <c r="AC475" s="436"/>
      <c r="AD475" s="444"/>
      <c r="AE475" s="436"/>
      <c r="AF475" s="444"/>
      <c r="AG475" s="436"/>
      <c r="AH475" s="444"/>
      <c r="AI475" s="436"/>
      <c r="AJ475" s="444"/>
      <c r="AK475" s="436"/>
      <c r="AL475" s="444"/>
      <c r="AM475" s="436"/>
      <c r="AN475" s="444"/>
      <c r="AO475" s="436"/>
      <c r="AP475" s="444"/>
      <c r="AQ475" s="436"/>
      <c r="AR475" s="444"/>
      <c r="AS475" s="436"/>
      <c r="AT475" s="444"/>
      <c r="AU475" s="436"/>
      <c r="AV475" s="444"/>
      <c r="AW475" s="436"/>
      <c r="AX475" s="444"/>
      <c r="AY475" s="436"/>
      <c r="AZ475" s="444"/>
      <c r="BA475" s="436"/>
      <c r="BB475" s="444"/>
      <c r="BC475" s="436"/>
      <c r="BD475" s="444"/>
      <c r="BE475" s="436"/>
      <c r="BF475" s="444"/>
      <c r="BG475" s="142"/>
      <c r="BH475" s="444"/>
      <c r="BI475" s="444"/>
      <c r="BJ475" s="444"/>
      <c r="BK475" s="436"/>
      <c r="BL475" s="444"/>
      <c r="BM475" s="444"/>
      <c r="BN475" s="444"/>
      <c r="BO475" s="444"/>
      <c r="BP475" s="444"/>
      <c r="BQ475" s="444"/>
      <c r="BR475" s="444"/>
      <c r="BS475" s="444"/>
      <c r="BT475" s="444"/>
      <c r="BU475" s="444"/>
      <c r="BV475" s="444"/>
      <c r="BW475" s="444"/>
      <c r="BY475" s="95"/>
      <c r="BZ475" s="95"/>
    </row>
    <row r="476" spans="2:90" ht="13.5" customHeight="1">
      <c r="B476" s="444"/>
      <c r="C476" s="444"/>
      <c r="D476" s="444"/>
      <c r="E476" s="444"/>
      <c r="F476" s="444"/>
      <c r="G476" s="444"/>
      <c r="H476" s="444"/>
      <c r="I476" s="444"/>
      <c r="J476" s="444"/>
      <c r="K476" s="444"/>
      <c r="L476" s="444"/>
      <c r="M476" s="444"/>
      <c r="N476" s="444"/>
      <c r="O476" s="444"/>
      <c r="P476" s="444"/>
      <c r="R476" s="444"/>
      <c r="S476" s="444"/>
      <c r="T476" s="444"/>
      <c r="U476" s="444"/>
      <c r="V476" s="444"/>
      <c r="W476" s="444"/>
      <c r="X476" s="444"/>
      <c r="Y476" s="444"/>
      <c r="Z476" s="444"/>
      <c r="AA476" s="444"/>
      <c r="AB476" s="444"/>
      <c r="AC476" s="444"/>
      <c r="AD476" s="444"/>
      <c r="AE476" s="444"/>
      <c r="AF476" s="444"/>
      <c r="AG476" s="444"/>
      <c r="AH476" s="444"/>
      <c r="AI476" s="444"/>
      <c r="AJ476" s="444"/>
      <c r="AK476" s="444"/>
      <c r="AL476" s="444"/>
      <c r="AM476" s="444"/>
      <c r="AN476" s="444"/>
      <c r="AO476" s="444"/>
      <c r="AP476" s="444"/>
      <c r="AQ476" s="444"/>
      <c r="AR476" s="444"/>
      <c r="AS476" s="444"/>
      <c r="AT476" s="444"/>
      <c r="AU476" s="444"/>
      <c r="AV476" s="444"/>
      <c r="AW476" s="444"/>
      <c r="AX476" s="444"/>
      <c r="AY476" s="444"/>
      <c r="AZ476" s="444"/>
      <c r="BA476" s="444"/>
      <c r="BB476" s="444"/>
      <c r="BC476" s="444"/>
      <c r="BD476" s="444"/>
      <c r="BE476" s="444"/>
      <c r="BF476" s="444"/>
      <c r="BG476" s="142"/>
      <c r="BH476" s="444"/>
      <c r="BI476" s="444"/>
      <c r="BJ476" s="444"/>
      <c r="BK476" s="444"/>
      <c r="BL476" s="444"/>
      <c r="BM476" s="444"/>
      <c r="BN476" s="444"/>
      <c r="BO476" s="444"/>
      <c r="BP476" s="444"/>
      <c r="BQ476" s="444"/>
      <c r="BR476" s="444"/>
      <c r="BS476" s="444"/>
      <c r="BT476" s="444"/>
      <c r="BU476" s="444"/>
      <c r="BV476" s="444"/>
      <c r="BW476" s="444"/>
    </row>
    <row r="477" spans="2:90" ht="13.5" customHeight="1">
      <c r="B477" s="1" t="s">
        <v>514</v>
      </c>
      <c r="C477" s="183">
        <v>438</v>
      </c>
      <c r="D477" s="183">
        <v>459</v>
      </c>
      <c r="E477" s="183">
        <v>476</v>
      </c>
      <c r="F477" s="183">
        <v>491</v>
      </c>
      <c r="G477" s="183">
        <v>491</v>
      </c>
      <c r="H477" s="183">
        <v>504</v>
      </c>
      <c r="I477" s="183">
        <v>504</v>
      </c>
      <c r="J477" s="183">
        <v>511</v>
      </c>
      <c r="K477" s="183">
        <v>507</v>
      </c>
      <c r="L477" s="183">
        <v>510</v>
      </c>
      <c r="M477" s="183">
        <v>527</v>
      </c>
      <c r="N477" s="183">
        <v>531</v>
      </c>
      <c r="O477" s="183">
        <v>535</v>
      </c>
      <c r="P477" s="183">
        <v>530</v>
      </c>
      <c r="R477" s="122">
        <v>458</v>
      </c>
      <c r="S477" s="171">
        <f>BN477</f>
        <v>461</v>
      </c>
      <c r="T477" s="122">
        <v>467</v>
      </c>
      <c r="U477" s="171">
        <f>E477</f>
        <v>476</v>
      </c>
      <c r="V477" s="122">
        <v>475</v>
      </c>
      <c r="W477" s="171">
        <f>BO477</f>
        <v>479</v>
      </c>
      <c r="X477" s="122">
        <v>483</v>
      </c>
      <c r="Y477" s="171">
        <f>F477</f>
        <v>491</v>
      </c>
      <c r="Z477" s="122">
        <v>494</v>
      </c>
      <c r="AA477" s="171">
        <f>BP477</f>
        <v>496</v>
      </c>
      <c r="AB477" s="122">
        <v>499</v>
      </c>
      <c r="AC477" s="171">
        <f>H477</f>
        <v>504</v>
      </c>
      <c r="AD477" s="122">
        <v>504</v>
      </c>
      <c r="AE477" s="171">
        <f>BQ477</f>
        <v>504</v>
      </c>
      <c r="AF477" s="122">
        <v>503</v>
      </c>
      <c r="AG477" s="171">
        <f>J477</f>
        <v>511</v>
      </c>
      <c r="AH477" s="122">
        <v>514</v>
      </c>
      <c r="AI477" s="171">
        <f>BR477</f>
        <v>515</v>
      </c>
      <c r="AJ477" s="122">
        <v>516</v>
      </c>
      <c r="AK477" s="171">
        <f>K477</f>
        <v>507</v>
      </c>
      <c r="AL477" s="122">
        <v>502</v>
      </c>
      <c r="AM477" s="171">
        <f>BS477</f>
        <v>503</v>
      </c>
      <c r="AN477" s="122">
        <v>508</v>
      </c>
      <c r="AO477" s="171">
        <f>L477</f>
        <v>510</v>
      </c>
      <c r="AP477" s="122">
        <v>514</v>
      </c>
      <c r="AQ477" s="171">
        <f>BT477</f>
        <v>518</v>
      </c>
      <c r="AR477" s="122">
        <v>521</v>
      </c>
      <c r="AS477" s="171">
        <f>M477</f>
        <v>527</v>
      </c>
      <c r="AT477" s="122">
        <v>528</v>
      </c>
      <c r="AU477" s="171">
        <f>BZ477</f>
        <v>504</v>
      </c>
      <c r="AV477" s="122">
        <v>531</v>
      </c>
      <c r="AW477" s="171">
        <f>N477</f>
        <v>531</v>
      </c>
      <c r="AX477" s="122">
        <v>530</v>
      </c>
      <c r="AY477" s="171">
        <f>BV477</f>
        <v>532</v>
      </c>
      <c r="AZ477" s="122">
        <v>531</v>
      </c>
      <c r="BA477" s="171">
        <f>O477</f>
        <v>535</v>
      </c>
      <c r="BB477" s="122">
        <v>531</v>
      </c>
      <c r="BC477" s="171">
        <f>BW477</f>
        <v>530</v>
      </c>
      <c r="BD477" s="122">
        <v>529</v>
      </c>
      <c r="BE477" s="171">
        <f>P477</f>
        <v>530</v>
      </c>
      <c r="BF477" s="122">
        <v>528</v>
      </c>
      <c r="BG477" s="142"/>
      <c r="BH477" s="122"/>
      <c r="BI477" s="122"/>
      <c r="BJ477" s="122"/>
      <c r="BK477" s="171"/>
      <c r="BL477" s="122">
        <v>504</v>
      </c>
      <c r="BM477" s="122"/>
      <c r="BN477" s="183">
        <v>461</v>
      </c>
      <c r="BO477" s="183">
        <v>479</v>
      </c>
      <c r="BP477" s="183">
        <v>496</v>
      </c>
      <c r="BQ477" s="183">
        <v>504</v>
      </c>
      <c r="BR477" s="183">
        <v>515</v>
      </c>
      <c r="BS477" s="183">
        <v>503</v>
      </c>
      <c r="BT477" s="183">
        <v>518</v>
      </c>
      <c r="BU477" s="183">
        <v>526</v>
      </c>
      <c r="BV477" s="183">
        <v>532</v>
      </c>
      <c r="BW477" s="183">
        <v>530</v>
      </c>
      <c r="BY477" s="183"/>
      <c r="BZ477" s="183">
        <v>504</v>
      </c>
      <c r="CA477" s="183"/>
    </row>
    <row r="478" spans="2:90" ht="13.5" customHeight="1">
      <c r="B478" s="1" t="s">
        <v>515</v>
      </c>
      <c r="C478" s="183">
        <v>2584690</v>
      </c>
      <c r="D478" s="183">
        <v>2721454</v>
      </c>
      <c r="E478" s="183">
        <v>2837638</v>
      </c>
      <c r="F478" s="183">
        <v>2942726</v>
      </c>
      <c r="G478" s="183">
        <v>2942726</v>
      </c>
      <c r="H478" s="183">
        <v>3051342</v>
      </c>
      <c r="I478" s="183">
        <v>3051342</v>
      </c>
      <c r="J478" s="183">
        <v>3102516</v>
      </c>
      <c r="K478" s="183">
        <v>3089770</v>
      </c>
      <c r="L478" s="183">
        <v>3093672</v>
      </c>
      <c r="M478" s="183">
        <v>3183585</v>
      </c>
      <c r="N478" s="183">
        <f>3201025</f>
        <v>3201025</v>
      </c>
      <c r="O478" s="183">
        <v>3253890</v>
      </c>
      <c r="P478" s="183">
        <v>3258131</v>
      </c>
      <c r="Q478" s="183"/>
      <c r="R478" s="122">
        <v>2735294</v>
      </c>
      <c r="S478" s="171">
        <f>BN478</f>
        <v>2757933</v>
      </c>
      <c r="T478" s="183">
        <v>2777434</v>
      </c>
      <c r="U478" s="171">
        <f>E478</f>
        <v>2837638</v>
      </c>
      <c r="V478" s="226">
        <v>2846644</v>
      </c>
      <c r="W478" s="171">
        <f>BO478</f>
        <v>2868827</v>
      </c>
      <c r="X478" s="183">
        <v>2901001</v>
      </c>
      <c r="Y478" s="171">
        <f>F478</f>
        <v>2942726</v>
      </c>
      <c r="Z478" s="183">
        <v>2950810</v>
      </c>
      <c r="AA478" s="171">
        <f>BP478</f>
        <v>1973839</v>
      </c>
      <c r="AB478" s="183">
        <v>3020610</v>
      </c>
      <c r="AC478" s="171">
        <f>H478</f>
        <v>3051342</v>
      </c>
      <c r="AD478" s="183">
        <v>3048763</v>
      </c>
      <c r="AE478" s="171">
        <f>BQ478</f>
        <v>3059523</v>
      </c>
      <c r="AF478" s="183">
        <v>3053642</v>
      </c>
      <c r="AG478" s="171">
        <f>J478</f>
        <v>3102516</v>
      </c>
      <c r="AH478" s="183">
        <v>3132613</v>
      </c>
      <c r="AI478" s="171">
        <f>BR478</f>
        <v>3126772</v>
      </c>
      <c r="AJ478" s="183">
        <v>3139014</v>
      </c>
      <c r="AK478" s="171">
        <f>K478</f>
        <v>3089770</v>
      </c>
      <c r="AL478" s="183">
        <v>3051996</v>
      </c>
      <c r="AM478" s="171">
        <f>BS478</f>
        <v>3051053</v>
      </c>
      <c r="AN478" s="183">
        <v>3072688</v>
      </c>
      <c r="AO478" s="171">
        <f>L478</f>
        <v>3093672</v>
      </c>
      <c r="AP478" s="183">
        <v>3110868</v>
      </c>
      <c r="AQ478" s="171">
        <f>BT478</f>
        <v>3122186</v>
      </c>
      <c r="AR478" s="183">
        <v>3127381</v>
      </c>
      <c r="AS478" s="171">
        <f>M478</f>
        <v>3183585</v>
      </c>
      <c r="AT478" s="183">
        <v>3183457</v>
      </c>
      <c r="AU478" s="171">
        <f>BZ478</f>
        <v>3058200</v>
      </c>
      <c r="AV478" s="183">
        <v>3203888</v>
      </c>
      <c r="AW478" s="171">
        <f>N478</f>
        <v>3201025</v>
      </c>
      <c r="AX478" s="183">
        <v>3201151</v>
      </c>
      <c r="AY478" s="171">
        <f>BV478</f>
        <v>3223637</v>
      </c>
      <c r="AZ478" s="183">
        <v>3203888</v>
      </c>
      <c r="BA478" s="171">
        <f>O478</f>
        <v>3253890</v>
      </c>
      <c r="BB478" s="183">
        <v>3260354</v>
      </c>
      <c r="BC478" s="171">
        <f>BW478</f>
        <v>3256190</v>
      </c>
      <c r="BD478" s="183">
        <v>3244435</v>
      </c>
      <c r="BE478" s="171">
        <f>P478</f>
        <v>3258131</v>
      </c>
      <c r="BF478" s="183">
        <v>3248999</v>
      </c>
      <c r="BG478" s="142"/>
      <c r="BH478" s="183"/>
      <c r="BI478" s="183"/>
      <c r="BJ478" s="183"/>
      <c r="BK478" s="171"/>
      <c r="BL478" s="183">
        <v>3051342</v>
      </c>
      <c r="BM478" s="183"/>
      <c r="BN478" s="183">
        <v>2757933</v>
      </c>
      <c r="BO478" s="183">
        <v>2868827</v>
      </c>
      <c r="BP478" s="183">
        <v>1973839</v>
      </c>
      <c r="BQ478" s="183">
        <v>3059523</v>
      </c>
      <c r="BR478" s="183">
        <v>3126772</v>
      </c>
      <c r="BS478" s="183">
        <v>3051053</v>
      </c>
      <c r="BT478" s="183">
        <v>3122186</v>
      </c>
      <c r="BU478" s="183">
        <v>3171797</v>
      </c>
      <c r="BV478" s="183">
        <v>3223637</v>
      </c>
      <c r="BW478" s="183">
        <v>3256190</v>
      </c>
      <c r="BX478" s="183"/>
      <c r="BY478" s="183"/>
      <c r="BZ478" s="183">
        <v>3058200</v>
      </c>
      <c r="CA478" s="183"/>
    </row>
    <row r="479" spans="2:90" ht="13.5" customHeight="1">
      <c r="B479" s="1" t="s">
        <v>516</v>
      </c>
      <c r="C479" s="171">
        <f t="shared" ref="C479:H479" si="1734">C478/C477</f>
        <v>5901.1187214611873</v>
      </c>
      <c r="D479" s="171">
        <f t="shared" si="1734"/>
        <v>5929.0936819172111</v>
      </c>
      <c r="E479" s="171">
        <f t="shared" si="1734"/>
        <v>5961.4243697478987</v>
      </c>
      <c r="F479" s="171">
        <f t="shared" si="1734"/>
        <v>5993.3319755600814</v>
      </c>
      <c r="G479" s="171">
        <f t="shared" si="1734"/>
        <v>5993.3319755600814</v>
      </c>
      <c r="H479" s="171">
        <f t="shared" si="1734"/>
        <v>6054.25</v>
      </c>
      <c r="I479" s="171">
        <f t="shared" ref="I479:N479" si="1735">I478/I477</f>
        <v>6054.25</v>
      </c>
      <c r="J479" s="171">
        <f t="shared" si="1735"/>
        <v>6071.4598825831699</v>
      </c>
      <c r="K479" s="171">
        <f t="shared" si="1735"/>
        <v>6094.2209072978303</v>
      </c>
      <c r="L479" s="171">
        <f t="shared" si="1735"/>
        <v>6066.0235294117647</v>
      </c>
      <c r="M479" s="171">
        <f>M478/M477</f>
        <v>6040.9582542694498</v>
      </c>
      <c r="N479" s="171">
        <f t="shared" si="1735"/>
        <v>6028.2956685499057</v>
      </c>
      <c r="O479" s="171">
        <f>O478/O477</f>
        <v>6082.0373831775705</v>
      </c>
      <c r="P479" s="171">
        <f>P478/P477</f>
        <v>6147.4169811320753</v>
      </c>
      <c r="Q479" s="171"/>
      <c r="R479" s="171">
        <f t="shared" ref="R479:W479" si="1736">R478/R477</f>
        <v>5972.2576419213974</v>
      </c>
      <c r="S479" s="171">
        <f t="shared" si="1736"/>
        <v>5982.5010845986981</v>
      </c>
      <c r="T479" s="171">
        <f t="shared" si="1736"/>
        <v>5947.3961456102779</v>
      </c>
      <c r="U479" s="171">
        <f t="shared" si="1736"/>
        <v>5961.4243697478987</v>
      </c>
      <c r="V479" s="171">
        <f t="shared" si="1736"/>
        <v>5992.9347368421049</v>
      </c>
      <c r="W479" s="171">
        <f t="shared" si="1736"/>
        <v>5989.2004175365346</v>
      </c>
      <c r="X479" s="171">
        <f>X478/X477</f>
        <v>6006.2132505175987</v>
      </c>
      <c r="Y479" s="171">
        <f>F479</f>
        <v>5993.3319755600814</v>
      </c>
      <c r="Z479" s="171">
        <f t="shared" ref="Z479:AE479" si="1737">Z478/Z477</f>
        <v>5973.2995951417006</v>
      </c>
      <c r="AA479" s="171">
        <f t="shared" si="1737"/>
        <v>3979.5141129032259</v>
      </c>
      <c r="AB479" s="171">
        <f t="shared" si="1737"/>
        <v>6053.3266533066135</v>
      </c>
      <c r="AC479" s="171">
        <f t="shared" si="1737"/>
        <v>6054.25</v>
      </c>
      <c r="AD479" s="171">
        <f t="shared" si="1737"/>
        <v>6049.1329365079364</v>
      </c>
      <c r="AE479" s="171">
        <f t="shared" si="1737"/>
        <v>6070.4821428571431</v>
      </c>
      <c r="AF479" s="171">
        <f t="shared" ref="AF479:AM479" si="1738">AF478/AF477</f>
        <v>6070.8588469184888</v>
      </c>
      <c r="AG479" s="171">
        <f t="shared" si="1738"/>
        <v>6071.4598825831699</v>
      </c>
      <c r="AH479" s="171">
        <f t="shared" si="1738"/>
        <v>6094.5778210116732</v>
      </c>
      <c r="AI479" s="171">
        <f t="shared" si="1738"/>
        <v>6071.4019417475729</v>
      </c>
      <c r="AJ479" s="171">
        <f t="shared" si="1738"/>
        <v>6083.3604651162786</v>
      </c>
      <c r="AK479" s="171">
        <f t="shared" si="1738"/>
        <v>6094.2209072978303</v>
      </c>
      <c r="AL479" s="171">
        <f>AL478/AL477</f>
        <v>6079.6733067729083</v>
      </c>
      <c r="AM479" s="171">
        <f t="shared" si="1738"/>
        <v>6065.7117296222668</v>
      </c>
      <c r="AN479" s="171">
        <f t="shared" ref="AN479:AS479" si="1739">AN478/AN477</f>
        <v>6048.5984251968503</v>
      </c>
      <c r="AO479" s="171">
        <f t="shared" si="1739"/>
        <v>6066.0235294117647</v>
      </c>
      <c r="AP479" s="171">
        <f t="shared" si="1739"/>
        <v>6052.2723735408563</v>
      </c>
      <c r="AQ479" s="171">
        <f t="shared" si="1739"/>
        <v>6027.3861003861002</v>
      </c>
      <c r="AR479" s="171">
        <f t="shared" si="1739"/>
        <v>6002.6506717850289</v>
      </c>
      <c r="AS479" s="171">
        <f t="shared" si="1739"/>
        <v>6040.9582542694498</v>
      </c>
      <c r="AT479" s="171">
        <f t="shared" ref="AT479:AY479" si="1740">AT478/AT477</f>
        <v>6029.274621212121</v>
      </c>
      <c r="AU479" s="171">
        <f t="shared" si="1740"/>
        <v>6067.8571428571431</v>
      </c>
      <c r="AV479" s="171">
        <f t="shared" si="1740"/>
        <v>6033.6873822975522</v>
      </c>
      <c r="AW479" s="171">
        <f t="shared" si="1740"/>
        <v>6028.2956685499057</v>
      </c>
      <c r="AX479" s="171">
        <f t="shared" si="1740"/>
        <v>6039.9075471698116</v>
      </c>
      <c r="AY479" s="171">
        <f t="shared" si="1740"/>
        <v>6059.4680451127815</v>
      </c>
      <c r="AZ479" s="171">
        <f>AZ478/AZ477</f>
        <v>6033.6873822975522</v>
      </c>
      <c r="BA479" s="171">
        <f>BA478/BA477</f>
        <v>6082.0373831775705</v>
      </c>
      <c r="BB479" s="171">
        <f>BB478/BB477</f>
        <v>6140.0263653483989</v>
      </c>
      <c r="BC479" s="171">
        <f>BC478/BC477</f>
        <v>6143.7547169811323</v>
      </c>
      <c r="BD479" s="171">
        <f>BD478/BD477</f>
        <v>6133.1474480151228</v>
      </c>
      <c r="BE479" s="171">
        <f>P479</f>
        <v>6147.4169811320753</v>
      </c>
      <c r="BF479" s="171">
        <f>BF478/BF477</f>
        <v>6153.407196969697</v>
      </c>
      <c r="BG479" s="142"/>
      <c r="BH479" s="171"/>
      <c r="BI479" s="171"/>
      <c r="BJ479" s="171"/>
      <c r="BK479" s="171"/>
      <c r="BL479" s="171">
        <f>BL478/BL477</f>
        <v>6054.25</v>
      </c>
      <c r="BM479" s="171"/>
      <c r="BN479" s="171">
        <f t="shared" ref="BN479:BS479" si="1741">BN478/BN477</f>
        <v>5982.5010845986981</v>
      </c>
      <c r="BO479" s="171">
        <f t="shared" si="1741"/>
        <v>5989.2004175365346</v>
      </c>
      <c r="BP479" s="171">
        <f t="shared" si="1741"/>
        <v>3979.5141129032259</v>
      </c>
      <c r="BQ479" s="171">
        <f t="shared" si="1741"/>
        <v>6070.4821428571431</v>
      </c>
      <c r="BR479" s="171">
        <f t="shared" si="1741"/>
        <v>6071.4019417475729</v>
      </c>
      <c r="BS479" s="171">
        <f t="shared" si="1741"/>
        <v>6065.7117296222668</v>
      </c>
      <c r="BT479" s="171">
        <f>BT478/BT477</f>
        <v>6027.3861003861002</v>
      </c>
      <c r="BU479" s="171">
        <f>BU478/BU477</f>
        <v>6030.0323193916347</v>
      </c>
      <c r="BV479" s="171">
        <f>BV478/BV477</f>
        <v>6059.4680451127815</v>
      </c>
      <c r="BW479" s="171">
        <f>BW478/BW477</f>
        <v>6143.7547169811323</v>
      </c>
      <c r="BX479" s="171"/>
      <c r="BY479" s="171"/>
      <c r="BZ479" s="171">
        <f>BZ478/BZ477</f>
        <v>6067.8571428571431</v>
      </c>
      <c r="CA479" s="171"/>
    </row>
    <row r="480" spans="2:90" ht="13.5" hidden="1" customHeight="1">
      <c r="B480" s="1" t="s">
        <v>517</v>
      </c>
      <c r="C480" s="184"/>
      <c r="D480" s="184"/>
      <c r="E480" s="184"/>
      <c r="F480" s="184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71"/>
      <c r="R480" s="185"/>
      <c r="S480" s="185"/>
      <c r="T480" s="185"/>
      <c r="U480" s="185"/>
      <c r="V480" s="185"/>
      <c r="W480" s="185"/>
      <c r="X480" s="185"/>
      <c r="Y480" s="185"/>
      <c r="Z480" s="185"/>
      <c r="AA480" s="185"/>
      <c r="AB480" s="185"/>
      <c r="AC480" s="185"/>
      <c r="AD480" s="185"/>
      <c r="AE480" s="185"/>
      <c r="AF480" s="185"/>
      <c r="AG480" s="185"/>
      <c r="AH480" s="185"/>
      <c r="AI480" s="185"/>
      <c r="AJ480" s="185"/>
      <c r="AK480" s="185"/>
      <c r="AL480" s="185"/>
      <c r="AM480" s="185"/>
      <c r="AN480" s="185"/>
      <c r="AO480" s="185"/>
      <c r="AP480" s="185"/>
      <c r="AQ480" s="185"/>
      <c r="AR480" s="185"/>
      <c r="AS480" s="185"/>
      <c r="AT480" s="185"/>
      <c r="AU480" s="185"/>
      <c r="AV480" s="185"/>
      <c r="AW480" s="185"/>
      <c r="AX480" s="185"/>
      <c r="AY480" s="185"/>
      <c r="AZ480" s="185"/>
      <c r="BA480" s="185"/>
      <c r="BB480" s="185"/>
      <c r="BC480" s="185"/>
      <c r="BD480" s="185"/>
      <c r="BE480" s="185"/>
      <c r="BF480" s="185"/>
      <c r="BG480" s="142"/>
      <c r="BH480" s="185"/>
      <c r="BI480" s="185"/>
      <c r="BJ480" s="185"/>
      <c r="BK480" s="185"/>
      <c r="BL480" s="185"/>
      <c r="BN480" s="184"/>
      <c r="BO480" s="184"/>
      <c r="BP480" s="184"/>
      <c r="BQ480" s="184"/>
      <c r="BR480" s="184"/>
      <c r="BS480" s="184"/>
      <c r="BT480" s="184"/>
      <c r="BU480" s="184"/>
      <c r="BV480" s="184"/>
      <c r="BW480" s="184"/>
      <c r="BX480" s="171"/>
      <c r="BY480" s="171"/>
      <c r="BZ480" s="184"/>
      <c r="CA480" s="171"/>
    </row>
    <row r="481" spans="2:83" ht="13.5" hidden="1" customHeight="1">
      <c r="B481" s="1" t="s">
        <v>518</v>
      </c>
      <c r="C481" s="184"/>
      <c r="D481" s="184"/>
      <c r="E481" s="184"/>
      <c r="F481" s="184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71"/>
      <c r="R481" s="185"/>
      <c r="S481" s="185"/>
      <c r="T481" s="185"/>
      <c r="U481" s="185"/>
      <c r="V481" s="185"/>
      <c r="W481" s="185"/>
      <c r="X481" s="185"/>
      <c r="Y481" s="185"/>
      <c r="Z481" s="185"/>
      <c r="AA481" s="185"/>
      <c r="AB481" s="185"/>
      <c r="AC481" s="185"/>
      <c r="AD481" s="185"/>
      <c r="AE481" s="185"/>
      <c r="AF481" s="185"/>
      <c r="AG481" s="185"/>
      <c r="AH481" s="185"/>
      <c r="AI481" s="185"/>
      <c r="AJ481" s="185"/>
      <c r="AK481" s="185"/>
      <c r="AL481" s="185"/>
      <c r="AM481" s="185"/>
      <c r="AN481" s="185"/>
      <c r="AO481" s="185"/>
      <c r="AP481" s="185"/>
      <c r="AQ481" s="185"/>
      <c r="AR481" s="185"/>
      <c r="AS481" s="185"/>
      <c r="AT481" s="185"/>
      <c r="AU481" s="185"/>
      <c r="AV481" s="185"/>
      <c r="AW481" s="185"/>
      <c r="AX481" s="185"/>
      <c r="AY481" s="185"/>
      <c r="AZ481" s="185"/>
      <c r="BA481" s="185"/>
      <c r="BB481" s="185"/>
      <c r="BC481" s="185"/>
      <c r="BD481" s="185"/>
      <c r="BE481" s="185"/>
      <c r="BF481" s="185"/>
      <c r="BG481" s="142"/>
      <c r="BH481" s="185"/>
      <c r="BI481" s="185"/>
      <c r="BJ481" s="185"/>
      <c r="BK481" s="185"/>
      <c r="BL481" s="185"/>
      <c r="BN481" s="184"/>
      <c r="BO481" s="184"/>
      <c r="BP481" s="184"/>
      <c r="BQ481" s="184"/>
      <c r="BR481" s="184"/>
      <c r="BS481" s="184"/>
      <c r="BT481" s="184"/>
      <c r="BU481" s="184"/>
      <c r="BV481" s="184"/>
      <c r="BW481" s="184"/>
      <c r="BX481" s="171"/>
      <c r="BY481" s="171"/>
      <c r="BZ481" s="184"/>
      <c r="CA481" s="171"/>
    </row>
    <row r="482" spans="2:83" ht="13.5" hidden="1" customHeight="1">
      <c r="B482" s="1" t="s">
        <v>519</v>
      </c>
      <c r="C482" s="184"/>
      <c r="D482" s="184"/>
      <c r="E482" s="184"/>
      <c r="F482" s="184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71"/>
      <c r="R482" s="185"/>
      <c r="S482" s="185"/>
      <c r="T482" s="185"/>
      <c r="U482" s="185"/>
      <c r="V482" s="185"/>
      <c r="W482" s="185"/>
      <c r="X482" s="185"/>
      <c r="Y482" s="185"/>
      <c r="Z482" s="185"/>
      <c r="AA482" s="185"/>
      <c r="AB482" s="185"/>
      <c r="AC482" s="185"/>
      <c r="AD482" s="185"/>
      <c r="AE482" s="185"/>
      <c r="AF482" s="185"/>
      <c r="AG482" s="185"/>
      <c r="AH482" s="185"/>
      <c r="AI482" s="185"/>
      <c r="AJ482" s="185"/>
      <c r="AK482" s="185"/>
      <c r="AL482" s="185"/>
      <c r="AM482" s="185"/>
      <c r="AN482" s="185"/>
      <c r="AO482" s="185"/>
      <c r="AP482" s="185"/>
      <c r="AQ482" s="185"/>
      <c r="AR482" s="185"/>
      <c r="AS482" s="185"/>
      <c r="AT482" s="185"/>
      <c r="AU482" s="185"/>
      <c r="AV482" s="185"/>
      <c r="AW482" s="185"/>
      <c r="AX482" s="185"/>
      <c r="AY482" s="185"/>
      <c r="AZ482" s="185"/>
      <c r="BA482" s="185"/>
      <c r="BB482" s="185"/>
      <c r="BC482" s="185"/>
      <c r="BD482" s="185"/>
      <c r="BE482" s="185"/>
      <c r="BF482" s="185"/>
      <c r="BG482" s="142"/>
      <c r="BH482" s="185"/>
      <c r="BI482" s="185"/>
      <c r="BJ482" s="185"/>
      <c r="BK482" s="185"/>
      <c r="BL482" s="185"/>
      <c r="BN482" s="184"/>
      <c r="BO482" s="184"/>
      <c r="BP482" s="184"/>
      <c r="BQ482" s="184"/>
      <c r="BR482" s="184"/>
      <c r="BS482" s="184"/>
      <c r="BT482" s="184"/>
      <c r="BU482" s="184"/>
      <c r="BV482" s="184"/>
      <c r="BW482" s="184"/>
      <c r="BX482" s="171"/>
      <c r="BY482" s="171"/>
      <c r="BZ482" s="184"/>
      <c r="CA482" s="171"/>
    </row>
    <row r="483" spans="2:83" ht="13.5" customHeight="1">
      <c r="BG483" s="142"/>
    </row>
    <row r="484" spans="2:83" ht="13.5" customHeight="1">
      <c r="B484" s="445" t="s">
        <v>520</v>
      </c>
      <c r="C484" s="46">
        <v>41975</v>
      </c>
      <c r="D484" s="46">
        <v>42341</v>
      </c>
      <c r="E484" s="46">
        <v>42708</v>
      </c>
      <c r="F484" s="253">
        <f t="shared" ref="F484:K484" si="1742">F3</f>
        <v>43073</v>
      </c>
      <c r="G484" s="253">
        <f t="shared" si="1742"/>
        <v>43073</v>
      </c>
      <c r="H484" s="253">
        <f t="shared" si="1742"/>
        <v>43438</v>
      </c>
      <c r="I484" s="253">
        <f t="shared" si="1742"/>
        <v>43438</v>
      </c>
      <c r="J484" s="253">
        <f t="shared" si="1742"/>
        <v>43803</v>
      </c>
      <c r="K484" s="253">
        <f t="shared" si="1742"/>
        <v>44169</v>
      </c>
      <c r="L484" s="253">
        <f>L3</f>
        <v>44534</v>
      </c>
      <c r="M484" s="253">
        <f>M3</f>
        <v>44899</v>
      </c>
      <c r="N484" s="253">
        <f>N3</f>
        <v>45264</v>
      </c>
      <c r="O484" s="253">
        <f>O3</f>
        <v>45630</v>
      </c>
      <c r="P484" s="253">
        <f>P3</f>
        <v>45995</v>
      </c>
      <c r="Q484" s="329"/>
      <c r="R484" s="46">
        <v>42437</v>
      </c>
      <c r="S484" s="46">
        <v>42527</v>
      </c>
      <c r="T484" s="46">
        <v>42622</v>
      </c>
      <c r="U484" s="46">
        <v>42714</v>
      </c>
      <c r="V484" s="46">
        <v>42801</v>
      </c>
      <c r="W484" s="46">
        <v>42892</v>
      </c>
      <c r="X484" s="46">
        <v>42987</v>
      </c>
      <c r="Y484" s="253">
        <v>43079</v>
      </c>
      <c r="Z484" s="253">
        <f t="shared" ref="Z484:AF484" si="1743">Z3</f>
        <v>43166</v>
      </c>
      <c r="AA484" s="253">
        <f t="shared" si="1743"/>
        <v>43257</v>
      </c>
      <c r="AB484" s="46">
        <f t="shared" si="1743"/>
        <v>43352</v>
      </c>
      <c r="AC484" s="253">
        <f t="shared" si="1743"/>
        <v>43444</v>
      </c>
      <c r="AD484" s="253">
        <f t="shared" si="1743"/>
        <v>43531</v>
      </c>
      <c r="AE484" s="253">
        <f t="shared" si="1743"/>
        <v>43622</v>
      </c>
      <c r="AF484" s="253">
        <f t="shared" si="1743"/>
        <v>43738</v>
      </c>
      <c r="AG484" s="253">
        <f t="shared" ref="AG484:AM484" si="1744">AG3</f>
        <v>43809</v>
      </c>
      <c r="AH484" s="253">
        <f t="shared" si="1744"/>
        <v>43897</v>
      </c>
      <c r="AI484" s="253">
        <f t="shared" si="1744"/>
        <v>43988</v>
      </c>
      <c r="AJ484" s="253">
        <f t="shared" si="1744"/>
        <v>44104</v>
      </c>
      <c r="AK484" s="253">
        <f t="shared" si="1744"/>
        <v>44175</v>
      </c>
      <c r="AL484" s="253">
        <f t="shared" si="1744"/>
        <v>44262</v>
      </c>
      <c r="AM484" s="253">
        <f t="shared" si="1744"/>
        <v>44348</v>
      </c>
      <c r="AN484" s="253">
        <f t="shared" ref="AN484:AS484" si="1745">AN3</f>
        <v>44469</v>
      </c>
      <c r="AO484" s="253">
        <f t="shared" si="1745"/>
        <v>44540</v>
      </c>
      <c r="AP484" s="253">
        <f t="shared" si="1745"/>
        <v>44651</v>
      </c>
      <c r="AQ484" s="253">
        <f t="shared" si="1745"/>
        <v>44713</v>
      </c>
      <c r="AR484" s="253">
        <f t="shared" si="1745"/>
        <v>44834</v>
      </c>
      <c r="AS484" s="253">
        <f t="shared" si="1745"/>
        <v>44905</v>
      </c>
      <c r="AT484" s="253">
        <f t="shared" ref="AT484:AY484" si="1746">AT3</f>
        <v>45016</v>
      </c>
      <c r="AU484" s="253">
        <f t="shared" si="1746"/>
        <v>45078</v>
      </c>
      <c r="AV484" s="253">
        <f t="shared" si="1746"/>
        <v>45199</v>
      </c>
      <c r="AW484" s="253">
        <f t="shared" si="1746"/>
        <v>45270</v>
      </c>
      <c r="AX484" s="253">
        <f t="shared" si="1746"/>
        <v>45382</v>
      </c>
      <c r="AY484" s="253">
        <f t="shared" si="1746"/>
        <v>45444</v>
      </c>
      <c r="AZ484" s="253">
        <f t="shared" ref="AZ484:BE484" si="1747">AZ3</f>
        <v>45565</v>
      </c>
      <c r="BA484" s="253">
        <f t="shared" si="1747"/>
        <v>45636</v>
      </c>
      <c r="BB484" s="253">
        <f t="shared" si="1747"/>
        <v>45747</v>
      </c>
      <c r="BC484" s="253">
        <f t="shared" si="1747"/>
        <v>45809</v>
      </c>
      <c r="BD484" s="253">
        <f t="shared" si="1747"/>
        <v>45930</v>
      </c>
      <c r="BE484" s="253">
        <f t="shared" si="1747"/>
        <v>46001</v>
      </c>
      <c r="BF484" s="253">
        <f>BF3</f>
        <v>46112</v>
      </c>
      <c r="BG484" s="142"/>
      <c r="BH484" s="253"/>
      <c r="BI484" s="253"/>
      <c r="BJ484" s="253"/>
      <c r="BK484" s="253"/>
      <c r="BL484" s="253"/>
      <c r="BM484" s="329"/>
      <c r="BN484" s="253">
        <v>42530</v>
      </c>
      <c r="BO484" s="253">
        <v>42896</v>
      </c>
      <c r="BP484" s="253">
        <v>43261</v>
      </c>
      <c r="BQ484" s="253">
        <f t="shared" ref="BQ484:BV484" si="1748">BQ3</f>
        <v>43646</v>
      </c>
      <c r="BR484" s="253">
        <f t="shared" si="1748"/>
        <v>44012</v>
      </c>
      <c r="BS484" s="253">
        <f t="shared" si="1748"/>
        <v>44377</v>
      </c>
      <c r="BT484" s="253">
        <f t="shared" si="1748"/>
        <v>44742</v>
      </c>
      <c r="BU484" s="253">
        <f t="shared" si="1748"/>
        <v>45107</v>
      </c>
      <c r="BV484" s="253">
        <f t="shared" si="1748"/>
        <v>45473</v>
      </c>
      <c r="BW484" s="253">
        <f>BW3</f>
        <v>45838</v>
      </c>
      <c r="BX484" s="329"/>
      <c r="BY484" s="329"/>
      <c r="BZ484" s="253">
        <f>BZ3</f>
        <v>43646</v>
      </c>
      <c r="CA484" s="329"/>
    </row>
    <row r="485" spans="2:83" ht="13.5" customHeight="1">
      <c r="B485" s="1" t="s">
        <v>521</v>
      </c>
      <c r="C485" s="174">
        <v>4284592</v>
      </c>
      <c r="D485" s="174">
        <v>4631523</v>
      </c>
      <c r="E485" s="174">
        <v>4928064</v>
      </c>
      <c r="F485" s="174">
        <f>KPIS!G111</f>
        <v>5139250.5150000006</v>
      </c>
      <c r="G485" s="174">
        <f>KPIS!H111</f>
        <v>5128154.6790000005</v>
      </c>
      <c r="H485" s="174">
        <f>KPIS!I111</f>
        <v>5386962.9100000011</v>
      </c>
      <c r="I485" s="174">
        <f>KPIS!J111</f>
        <v>4880283.9820000008</v>
      </c>
      <c r="J485" s="174">
        <f>KPIS!K111</f>
        <v>4743393.0090000005</v>
      </c>
      <c r="K485" s="36">
        <f>KPIS!L111</f>
        <v>5064102.3969999989</v>
      </c>
      <c r="L485" s="36">
        <f>KPIS!M111</f>
        <v>6808483.3880000003</v>
      </c>
      <c r="M485" s="174">
        <v>6443601.2479999997</v>
      </c>
      <c r="N485" s="36">
        <f>KPIS!O111</f>
        <v>5209177.034</v>
      </c>
      <c r="O485" s="36">
        <f>KPIS!P111</f>
        <v>5406558.4990000008</v>
      </c>
      <c r="P485" s="36">
        <f>KPIS!Q111</f>
        <v>5879467.4999999991</v>
      </c>
      <c r="Q485" s="63"/>
      <c r="R485" s="36">
        <f>KPIS!S111</f>
        <v>1216002.618</v>
      </c>
      <c r="S485" s="63">
        <f>KPIS!T111</f>
        <v>1221292.561</v>
      </c>
      <c r="T485" s="63">
        <f>KPIS!U111</f>
        <v>1165405.8099999998</v>
      </c>
      <c r="U485" s="63">
        <f>KPIS!V111</f>
        <v>1325362.9110000001</v>
      </c>
      <c r="V485" s="160">
        <f>KPIS!W111</f>
        <v>1258452.0329999998</v>
      </c>
      <c r="W485" s="160">
        <f>KPIS!X111</f>
        <v>1245230.7410000002</v>
      </c>
      <c r="X485" s="63">
        <f>KPIS!Y111</f>
        <v>1203073.32</v>
      </c>
      <c r="Y485" s="160">
        <f>F485-X485-W485-V485</f>
        <v>1432494.4210000001</v>
      </c>
      <c r="Z485" s="63">
        <f>KPIS!AA111</f>
        <v>1309891.6680000001</v>
      </c>
      <c r="AA485" s="63">
        <f>KPIS!AB111</f>
        <v>1342001.0490000001</v>
      </c>
      <c r="AB485" s="63">
        <f>KPIS!AC111</f>
        <v>1253519.9140000001</v>
      </c>
      <c r="AC485" s="160">
        <f>H485-AB485-AA485-Z485</f>
        <v>1481550.279000001</v>
      </c>
      <c r="AD485" s="63">
        <f>KPIS!AF111</f>
        <v>1209743.4780000004</v>
      </c>
      <c r="AE485" s="63">
        <f>KPIS!AH111</f>
        <v>1207064.905</v>
      </c>
      <c r="AF485" s="63">
        <f>KPIS!AI111</f>
        <v>1124400.2569999998</v>
      </c>
      <c r="AG485" s="160">
        <f>J485-AF485-AE485-AD485</f>
        <v>1202184.3690000006</v>
      </c>
      <c r="AH485" s="63">
        <f>KPIS!AK111</f>
        <v>1121196.0190000001</v>
      </c>
      <c r="AI485" s="63">
        <f>KPIS!AL111</f>
        <v>929701.75199999998</v>
      </c>
      <c r="AJ485" s="63">
        <f>KPIS!AM111</f>
        <v>1333908.5960000001</v>
      </c>
      <c r="AK485" s="160">
        <f>K485-AJ485-AI485-AH485</f>
        <v>1679296.0299999991</v>
      </c>
      <c r="AL485" s="63">
        <f>KPIS!AP111</f>
        <v>1463664.7050000001</v>
      </c>
      <c r="AM485" s="63">
        <f>KPIS!AQ111</f>
        <v>1629086.5310000002</v>
      </c>
      <c r="AN485" s="63">
        <f>KPIS!AR111</f>
        <v>1733567.2889999999</v>
      </c>
      <c r="AO485" s="160">
        <f>L485-AN485-AM485-AL485</f>
        <v>1982164.8629999999</v>
      </c>
      <c r="AP485" s="63">
        <f>KPIS!AT111</f>
        <v>1669413.405</v>
      </c>
      <c r="AQ485" s="63">
        <f>KPIS!AU111</f>
        <v>1638967.443</v>
      </c>
      <c r="AR485" s="63">
        <f>KPIS!AV111</f>
        <v>1463455.8589999997</v>
      </c>
      <c r="AS485" s="160">
        <f>M485-AR485-AQ485-AP485</f>
        <v>1671764.5410000004</v>
      </c>
      <c r="AT485" s="63">
        <f>KPIS!AX111</f>
        <v>1458699.5599999998</v>
      </c>
      <c r="AU485" s="63">
        <f>KPIS!AY111</f>
        <v>1440302.5790000001</v>
      </c>
      <c r="AV485" s="63">
        <f>KPIS!AZ111</f>
        <v>1273230.97</v>
      </c>
      <c r="AW485" s="160">
        <f t="shared" ref="AW485:AW491" si="1749">N485-AV485-AU485-AT485</f>
        <v>1036943.9250000005</v>
      </c>
      <c r="AX485" s="63">
        <f>KPIS!BB111</f>
        <v>1437729.8290000001</v>
      </c>
      <c r="AY485" s="63">
        <f>KPIS!BC111</f>
        <v>1493115.5999999999</v>
      </c>
      <c r="AZ485" s="63">
        <f>KPIS!BD111</f>
        <v>1400261.4650000003</v>
      </c>
      <c r="BA485" s="160">
        <f t="shared" ref="BA485:BA491" si="1750">O485-AZ485-AY485-AX485</f>
        <v>1075451.6050000002</v>
      </c>
      <c r="BB485" s="63">
        <f>KPIS!BF111</f>
        <v>1611832.318</v>
      </c>
      <c r="BC485" s="63">
        <f>KPIS!BG111</f>
        <v>1576064.1869999999</v>
      </c>
      <c r="BD485" s="63">
        <f>KPIS!BH111</f>
        <v>1009235.4699999999</v>
      </c>
      <c r="BE485" s="160">
        <f>P485-BD485-BC485-BB485</f>
        <v>1682335.5249999994</v>
      </c>
      <c r="BF485" s="63">
        <f>KPIS!BJ111</f>
        <v>1463300.8539999998</v>
      </c>
      <c r="BG485" s="142"/>
      <c r="BH485" s="124"/>
      <c r="BI485" s="124"/>
      <c r="BJ485" s="124"/>
      <c r="BK485" s="160"/>
      <c r="BL485" s="124"/>
      <c r="BM485" s="124"/>
      <c r="BN485" s="124">
        <v>2437295</v>
      </c>
      <c r="BO485" s="124">
        <v>2503683</v>
      </c>
      <c r="BP485" s="124">
        <f>KPIS!BN111</f>
        <v>2651892.7170000002</v>
      </c>
      <c r="BQ485" s="124">
        <f>KPIS!BO111</f>
        <v>2416808.3830000004</v>
      </c>
      <c r="BR485" s="124">
        <f>KPIS!BP111</f>
        <v>2050897.7710000002</v>
      </c>
      <c r="BS485" s="124">
        <f>KPIS!BQ111</f>
        <v>3092751.236</v>
      </c>
      <c r="BT485" s="124">
        <f>KPIS!BR111</f>
        <v>3308380.8479999998</v>
      </c>
      <c r="BU485" s="124">
        <f>KPIS!BS111</f>
        <v>2899002.139</v>
      </c>
      <c r="BV485" s="124">
        <f>KPIS!BT111</f>
        <v>2930845.4289999995</v>
      </c>
      <c r="BW485" s="124">
        <f>KPIS!BU111</f>
        <v>3187896.5049999999</v>
      </c>
      <c r="BX485" s="124"/>
      <c r="BY485" s="124"/>
      <c r="BZ485" s="124">
        <f>KPIS!BW111</f>
        <v>2416808.3830000004</v>
      </c>
      <c r="CA485" s="124"/>
    </row>
    <row r="486" spans="2:83" ht="13.5" customHeight="1">
      <c r="B486" s="1" t="s">
        <v>522</v>
      </c>
      <c r="C486" s="174">
        <v>1607501</v>
      </c>
      <c r="D486" s="174">
        <v>1907966</v>
      </c>
      <c r="E486" s="174">
        <v>1890834</v>
      </c>
      <c r="F486" s="174">
        <f>KPIS!G118</f>
        <v>1941278.7069999999</v>
      </c>
      <c r="G486" s="174">
        <f>KPIS!H118</f>
        <v>1932478.8730000001</v>
      </c>
      <c r="H486" s="174">
        <f>KPIS!I118</f>
        <v>2043745.639</v>
      </c>
      <c r="I486" s="174">
        <f>KPIS!J118</f>
        <v>2043745.639</v>
      </c>
      <c r="J486" s="174">
        <f>KPIS!K118</f>
        <v>2255307.5619999999</v>
      </c>
      <c r="K486" s="36">
        <f>KPIS!L118</f>
        <v>2323486.5569999996</v>
      </c>
      <c r="L486" s="36">
        <f>KPIS!M118</f>
        <v>2606990.6189999999</v>
      </c>
      <c r="M486" s="174">
        <v>3069355.094</v>
      </c>
      <c r="N486" s="36">
        <f>KPIS!O118</f>
        <v>2804859.8679999998</v>
      </c>
      <c r="O486" s="36">
        <f>KPIS!P118</f>
        <v>3245321.852</v>
      </c>
      <c r="P486" s="36">
        <f>KPIS!Q118</f>
        <v>3573624.682</v>
      </c>
      <c r="Q486" s="63"/>
      <c r="R486" s="36">
        <f>KPIS!S118</f>
        <v>449962.52999999997</v>
      </c>
      <c r="S486" s="63">
        <f>KPIS!T118</f>
        <v>459762.397</v>
      </c>
      <c r="T486" s="63">
        <f>KPIS!U118</f>
        <v>455139.723</v>
      </c>
      <c r="U486" s="63">
        <f>KPIS!V118</f>
        <v>525969.78200000001</v>
      </c>
      <c r="V486" s="160">
        <f>KPIS!W118</f>
        <v>449761.78</v>
      </c>
      <c r="W486" s="160">
        <f>KPIS!X118</f>
        <v>481236.15500000003</v>
      </c>
      <c r="X486" s="63">
        <f>KPIS!Y118</f>
        <v>470546.576</v>
      </c>
      <c r="Y486" s="160">
        <f>F486-X486-W486-V486</f>
        <v>539734.196</v>
      </c>
      <c r="Z486" s="63">
        <f>KPIS!AA118</f>
        <v>454111.66000000003</v>
      </c>
      <c r="AA486" s="63">
        <f>KPIS!AB118</f>
        <v>494889.34700000001</v>
      </c>
      <c r="AB486" s="63">
        <f>KPIS!AC118</f>
        <v>508689.56100000005</v>
      </c>
      <c r="AC486" s="160">
        <f>H486-AB486-AA486-Z486</f>
        <v>586055.07099999988</v>
      </c>
      <c r="AD486" s="63">
        <f>KPIS!AF118</f>
        <v>501121.85500000004</v>
      </c>
      <c r="AE486" s="63">
        <f>KPIS!AH118</f>
        <v>532304.78800000006</v>
      </c>
      <c r="AF486" s="63">
        <f>KPIS!AI118</f>
        <v>550057.2620000001</v>
      </c>
      <c r="AG486" s="160">
        <f>J486-AF486-AE486-AD486</f>
        <v>671823.65699999966</v>
      </c>
      <c r="AH486" s="63">
        <f>KPIS!AK118</f>
        <v>553070.48300000001</v>
      </c>
      <c r="AI486" s="63">
        <f>KPIS!AL118</f>
        <v>358684.87</v>
      </c>
      <c r="AJ486" s="63">
        <f>KPIS!AM118</f>
        <v>661984.08399999992</v>
      </c>
      <c r="AK486" s="160">
        <f>K486-AJ486-AI486-AH486</f>
        <v>749747.11999999965</v>
      </c>
      <c r="AL486" s="63">
        <f>KPIS!AP118</f>
        <v>561107.71400000004</v>
      </c>
      <c r="AM486" s="63">
        <f>KPIS!AQ118</f>
        <v>573921.51399999997</v>
      </c>
      <c r="AN486" s="63">
        <f>KPIS!AR118</f>
        <v>668094.1100000001</v>
      </c>
      <c r="AO486" s="160">
        <f>L486-AN486-AM486-AL486</f>
        <v>803867.28099999984</v>
      </c>
      <c r="AP486" s="63">
        <f>KPIS!AT118</f>
        <v>668009.30200000003</v>
      </c>
      <c r="AQ486" s="63">
        <f>KPIS!AU118</f>
        <v>726637.68699999992</v>
      </c>
      <c r="AR486" s="63">
        <f>KPIS!AV118</f>
        <v>796862.83099999989</v>
      </c>
      <c r="AS486" s="160">
        <f>M486-AR486-AQ486-AP486</f>
        <v>877845.27400000033</v>
      </c>
      <c r="AT486" s="63">
        <f>KPIS!AX118</f>
        <v>648865.027</v>
      </c>
      <c r="AU486" s="63">
        <f>KPIS!AY118</f>
        <v>651402.63300000015</v>
      </c>
      <c r="AV486" s="63">
        <f>KPIS!AZ118</f>
        <v>670477.8629999999</v>
      </c>
      <c r="AW486" s="160">
        <f t="shared" si="1749"/>
        <v>834114.34499999974</v>
      </c>
      <c r="AX486" s="63">
        <f>KPIS!BB118</f>
        <v>727975.10599999991</v>
      </c>
      <c r="AY486" s="63">
        <f>KPIS!BC118</f>
        <v>759765.12800000026</v>
      </c>
      <c r="AZ486" s="63">
        <f>KPIS!BD118</f>
        <v>796853.10800000001</v>
      </c>
      <c r="BA486" s="160">
        <f t="shared" si="1750"/>
        <v>960728.50999999978</v>
      </c>
      <c r="BB486" s="63">
        <f>KPIS!BF118</f>
        <v>781683.84500000009</v>
      </c>
      <c r="BC486" s="63">
        <f>KPIS!BG118</f>
        <v>824371.10399999993</v>
      </c>
      <c r="BD486" s="63">
        <f>KPIS!BH118</f>
        <v>856447.80799999996</v>
      </c>
      <c r="BE486" s="160">
        <f t="shared" ref="BE486:BE491" si="1751">P486-BD486-BC486-BB486</f>
        <v>1111121.9249999998</v>
      </c>
      <c r="BF486" s="63">
        <f>KPIS!BJ118</f>
        <v>887329.01500000001</v>
      </c>
      <c r="BG486" s="142"/>
      <c r="BH486" s="124"/>
      <c r="BI486" s="124"/>
      <c r="BJ486" s="124"/>
      <c r="BK486" s="160"/>
      <c r="BL486" s="124"/>
      <c r="BM486" s="124"/>
      <c r="BN486" s="124">
        <v>909725</v>
      </c>
      <c r="BO486" s="124">
        <v>930998</v>
      </c>
      <c r="BP486" s="124">
        <f>KPIS!BN118</f>
        <v>949001.00699999998</v>
      </c>
      <c r="BQ486" s="124">
        <f>KPIS!BO118</f>
        <v>1033426.6429999999</v>
      </c>
      <c r="BR486" s="124">
        <f>KPIS!BP118</f>
        <v>911755.353</v>
      </c>
      <c r="BS486" s="124">
        <f>KPIS!BQ118</f>
        <v>1135029.2279999999</v>
      </c>
      <c r="BT486" s="124">
        <f>KPIS!BR118</f>
        <v>1394646.9889999998</v>
      </c>
      <c r="BU486" s="124">
        <f>KPIS!BS118</f>
        <v>1300267.6600000001</v>
      </c>
      <c r="BV486" s="124">
        <f>KPIS!BT118</f>
        <v>1487740.2340000002</v>
      </c>
      <c r="BW486" s="124">
        <f>KPIS!BU118</f>
        <v>1606054.949</v>
      </c>
      <c r="BX486" s="124"/>
      <c r="BY486" s="124"/>
      <c r="BZ486" s="124">
        <f>KPIS!BW118</f>
        <v>1033426.6429999999</v>
      </c>
      <c r="CA486" s="124"/>
    </row>
    <row r="487" spans="2:83" ht="13.5" customHeight="1">
      <c r="B487" s="1" t="s">
        <v>523</v>
      </c>
      <c r="C487" s="174">
        <v>549513</v>
      </c>
      <c r="D487" s="174">
        <v>685279</v>
      </c>
      <c r="E487" s="174">
        <v>538010</v>
      </c>
      <c r="F487" s="174">
        <f>KPIS!G123</f>
        <v>570916.32499999995</v>
      </c>
      <c r="G487" s="174">
        <f>KPIS!H123</f>
        <v>571338.69299999997</v>
      </c>
      <c r="H487" s="174">
        <f>KPIS!I123</f>
        <v>442346.837</v>
      </c>
      <c r="I487" s="174">
        <f>KPIS!J123</f>
        <v>442346.837</v>
      </c>
      <c r="J487" s="174">
        <f>KPIS!K123</f>
        <v>386684.02499999997</v>
      </c>
      <c r="K487" s="36">
        <f>KPIS!L123</f>
        <v>243011.39</v>
      </c>
      <c r="L487" s="36">
        <f>KPIS!M123</f>
        <v>204666.59899999999</v>
      </c>
      <c r="M487" s="174">
        <v>134683.723</v>
      </c>
      <c r="N487" s="36">
        <v>0</v>
      </c>
      <c r="O487" s="36">
        <v>0</v>
      </c>
      <c r="P487" s="36">
        <v>0</v>
      </c>
      <c r="Q487" s="63"/>
      <c r="R487" s="36">
        <f>KPIS!S123</f>
        <v>121070.20699999999</v>
      </c>
      <c r="S487" s="63">
        <f>KPIS!T123</f>
        <v>138853.67499999999</v>
      </c>
      <c r="T487" s="63">
        <f>KPIS!U123</f>
        <v>128027.53200000001</v>
      </c>
      <c r="U487" s="63">
        <f>KPIS!V123</f>
        <v>150058.90599999996</v>
      </c>
      <c r="V487" s="160">
        <f>KPIS!W123</f>
        <v>123774.73499999999</v>
      </c>
      <c r="W487" s="160">
        <f>KPIS!X123</f>
        <v>149042.87599999999</v>
      </c>
      <c r="X487" s="63">
        <f>KPIS!Y123</f>
        <v>134310.86200000002</v>
      </c>
      <c r="Y487" s="160">
        <f>F487-X487-W487-V487</f>
        <v>163787.85199999996</v>
      </c>
      <c r="Z487" s="63">
        <f>KPIS!AA123</f>
        <v>124658.624</v>
      </c>
      <c r="AA487" s="63">
        <f>KPIS!AB123</f>
        <v>129710.99399999999</v>
      </c>
      <c r="AB487" s="63">
        <f>KPIS!AC123</f>
        <v>104308.63799999999</v>
      </c>
      <c r="AC487" s="160">
        <f>H487-AB487-AA487-Z487</f>
        <v>83668.58100000002</v>
      </c>
      <c r="AD487" s="63">
        <f>KPIS!AF123</f>
        <v>83976.528999999995</v>
      </c>
      <c r="AE487" s="63">
        <f>KPIS!AH123</f>
        <v>105393.99</v>
      </c>
      <c r="AF487" s="63">
        <f>KPIS!AI123</f>
        <v>60253.005999999979</v>
      </c>
      <c r="AG487" s="160">
        <f>J487-AF487-AE487-AD487</f>
        <v>137060.5</v>
      </c>
      <c r="AH487" s="63">
        <f>KPIS!AK123</f>
        <v>79690.130999999994</v>
      </c>
      <c r="AI487" s="63">
        <f>KPIS!AL123</f>
        <v>43287.075000000026</v>
      </c>
      <c r="AJ487" s="63">
        <f>KPIS!AM123</f>
        <v>61963.000999999989</v>
      </c>
      <c r="AK487" s="160">
        <f>K487-AJ487-AI487-AH487</f>
        <v>58071.183000000019</v>
      </c>
      <c r="AL487" s="63">
        <f>KPIS!AP123</f>
        <v>59376.253000000004</v>
      </c>
      <c r="AM487" s="63">
        <f>KPIS!AQ123</f>
        <v>45522.18</v>
      </c>
      <c r="AN487" s="63">
        <f>KPIS!AR123</f>
        <v>47215.487000000016</v>
      </c>
      <c r="AO487" s="160">
        <f>L487-AN487-AM487-AL487</f>
        <v>52552.678999999967</v>
      </c>
      <c r="AP487" s="63">
        <f>KPIS!AT123</f>
        <v>29634.964</v>
      </c>
      <c r="AQ487" s="63">
        <f>KPIS!AU123</f>
        <v>42530.442000000003</v>
      </c>
      <c r="AR487" s="63">
        <f>KPIS!AV123</f>
        <v>44161.071000000004</v>
      </c>
      <c r="AS487" s="160">
        <f>M487-AR487-AQ487-AP487</f>
        <v>18357.245999999999</v>
      </c>
      <c r="AT487" s="63">
        <f>KPIS!AX123</f>
        <v>27710.620999999999</v>
      </c>
      <c r="AU487" s="63">
        <f>KPIS!AY123</f>
        <v>-27710.620999999999</v>
      </c>
      <c r="AV487" s="63">
        <f>KPIS!AZ123</f>
        <v>94439</v>
      </c>
      <c r="AW487" s="160">
        <f t="shared" si="1749"/>
        <v>-94439</v>
      </c>
      <c r="AX487" s="63">
        <f>KPIS!BB123</f>
        <v>27599.007000000001</v>
      </c>
      <c r="AY487" s="63">
        <f>KPIS!BC123</f>
        <v>-27599.007000000001</v>
      </c>
      <c r="AZ487" s="63">
        <f>KPIS!BD123</f>
        <v>0</v>
      </c>
      <c r="BA487" s="160">
        <f t="shared" si="1750"/>
        <v>0</v>
      </c>
      <c r="BB487" s="63">
        <f>KPIS!BF123</f>
        <v>0</v>
      </c>
      <c r="BC487" s="63">
        <f>KPIS!BG123</f>
        <v>0</v>
      </c>
      <c r="BD487" s="63">
        <f>KPIS!BH123</f>
        <v>0</v>
      </c>
      <c r="BE487" s="160">
        <f t="shared" si="1751"/>
        <v>0</v>
      </c>
      <c r="BF487" s="63">
        <f>KPIS!BJ123</f>
        <v>0</v>
      </c>
      <c r="BG487" s="142"/>
      <c r="BH487" s="124"/>
      <c r="BI487" s="124"/>
      <c r="BJ487" s="124"/>
      <c r="BK487" s="160"/>
      <c r="BL487" s="124"/>
      <c r="BM487" s="124"/>
      <c r="BN487" s="124">
        <v>259924</v>
      </c>
      <c r="BO487" s="124">
        <v>272818</v>
      </c>
      <c r="BP487" s="124">
        <f>KPIS!BN123</f>
        <v>254369.61799999999</v>
      </c>
      <c r="BQ487" s="124">
        <f>KPIS!BO123</f>
        <v>189370.519</v>
      </c>
      <c r="BR487" s="124">
        <f>KPIS!BP123</f>
        <v>122977.20600000002</v>
      </c>
      <c r="BS487" s="124">
        <f>KPIS!BQ123</f>
        <v>104898.433</v>
      </c>
      <c r="BT487" s="124">
        <f>KPIS!BR123</f>
        <v>72165.406000000003</v>
      </c>
      <c r="BU487" s="124">
        <f>KPIS!BS123</f>
        <v>0</v>
      </c>
      <c r="BV487" s="124">
        <f>KPIS!BT123</f>
        <v>0</v>
      </c>
      <c r="BW487" s="124">
        <f>KPIS!BU123</f>
        <v>0</v>
      </c>
      <c r="BX487" s="124"/>
      <c r="BY487" s="124"/>
      <c r="BZ487" s="124">
        <f>KPIS!BW123</f>
        <v>189370.519</v>
      </c>
      <c r="CA487" s="124"/>
    </row>
    <row r="488" spans="2:83" ht="13.5" customHeight="1">
      <c r="B488" s="1" t="s">
        <v>524</v>
      </c>
      <c r="C488" s="174">
        <v>396702</v>
      </c>
      <c r="D488" s="174">
        <v>363629</v>
      </c>
      <c r="E488" s="174">
        <v>373889</v>
      </c>
      <c r="F488" s="174">
        <f>KPIS!G124</f>
        <v>402439.68399999995</v>
      </c>
      <c r="G488" s="174">
        <f>KPIS!H124</f>
        <v>382942.47499999998</v>
      </c>
      <c r="H488" s="174">
        <f>KPIS!I124</f>
        <v>427731.984</v>
      </c>
      <c r="I488" s="174">
        <f>KPIS!J124</f>
        <v>427731.984</v>
      </c>
      <c r="J488" s="174">
        <f>KPIS!K124</f>
        <v>459079.17</v>
      </c>
      <c r="K488" s="36">
        <f>KPIS!L124</f>
        <v>431571.15</v>
      </c>
      <c r="L488" s="36">
        <f>KPIS!M124</f>
        <v>481200.95</v>
      </c>
      <c r="M488" s="174">
        <v>535339.55299999996</v>
      </c>
      <c r="N488" s="36">
        <f>KPIS!O124</f>
        <v>513072.75400000002</v>
      </c>
      <c r="O488" s="36">
        <f>KPIS!P124</f>
        <v>665696.60499999998</v>
      </c>
      <c r="P488" s="36">
        <f>KPIS!Q124</f>
        <v>776494.82400000002</v>
      </c>
      <c r="Q488" s="63"/>
      <c r="R488" s="36">
        <f>KPIS!S124</f>
        <v>66812.604999999996</v>
      </c>
      <c r="S488" s="63">
        <f>KPIS!T124</f>
        <v>87760.042999999991</v>
      </c>
      <c r="T488" s="63">
        <f>KPIS!U124</f>
        <v>76556.737000000008</v>
      </c>
      <c r="U488" s="63">
        <f>KPIS!V124</f>
        <v>142759.46799999999</v>
      </c>
      <c r="V488" s="160">
        <f>KPIS!W124</f>
        <v>78477.925999999992</v>
      </c>
      <c r="W488" s="160">
        <f>KPIS!X124</f>
        <v>93822.365000000005</v>
      </c>
      <c r="X488" s="63">
        <f>KPIS!Y124</f>
        <v>82697.275000000009</v>
      </c>
      <c r="Y488" s="160">
        <f>F488-X488-W488-V488</f>
        <v>147442.11799999996</v>
      </c>
      <c r="Z488" s="63">
        <f>KPIS!AA124</f>
        <v>75813.322</v>
      </c>
      <c r="AA488" s="63">
        <f>KPIS!AB124</f>
        <v>99135.662999999986</v>
      </c>
      <c r="AB488" s="63">
        <f>KPIS!AC124</f>
        <v>93776.645000000004</v>
      </c>
      <c r="AC488" s="160">
        <f>H488-AB488-AA488-Z488</f>
        <v>159006.35399999999</v>
      </c>
      <c r="AD488" s="63">
        <f>KPIS!AF124</f>
        <v>83893.260000000009</v>
      </c>
      <c r="AE488" s="63">
        <f>KPIS!AH124</f>
        <v>101141.90299999999</v>
      </c>
      <c r="AF488" s="63">
        <f>KPIS!AI124</f>
        <v>93281.406000000017</v>
      </c>
      <c r="AG488" s="160">
        <f>J488-AF488-AE488-AD488</f>
        <v>180762.60099999997</v>
      </c>
      <c r="AH488" s="63">
        <f>KPIS!AK124</f>
        <v>84551.66</v>
      </c>
      <c r="AI488" s="63">
        <f>KPIS!AL124</f>
        <v>75785.552999999985</v>
      </c>
      <c r="AJ488" s="63">
        <f>KPIS!AM124</f>
        <v>99978.100000000035</v>
      </c>
      <c r="AK488" s="160">
        <f>K488-AJ488-AI488-AH488</f>
        <v>171255.837</v>
      </c>
      <c r="AL488" s="63">
        <f>KPIS!AP124</f>
        <v>85299.347999999998</v>
      </c>
      <c r="AM488" s="63">
        <f>KPIS!AQ124</f>
        <v>86452.866000000009</v>
      </c>
      <c r="AN488" s="63">
        <f>KPIS!AR124</f>
        <v>104846.48399999997</v>
      </c>
      <c r="AO488" s="160">
        <f>L488-AN488-AM488-AL488</f>
        <v>204602.25199999998</v>
      </c>
      <c r="AP488" s="63">
        <f>KPIS!AT124</f>
        <v>116252.90000000001</v>
      </c>
      <c r="AQ488" s="63">
        <f>KPIS!AU124</f>
        <v>139327.24599999998</v>
      </c>
      <c r="AR488" s="63">
        <f>KPIS!AV124</f>
        <v>113989.46399999999</v>
      </c>
      <c r="AS488" s="160">
        <f>M488-AR488-AQ488-AP488</f>
        <v>165769.94299999997</v>
      </c>
      <c r="AT488" s="63">
        <f>KPIS!AX124</f>
        <v>83271.366999999998</v>
      </c>
      <c r="AU488" s="63">
        <f>KPIS!AY124</f>
        <v>99316.352000000014</v>
      </c>
      <c r="AV488" s="63">
        <f>KPIS!AZ124</f>
        <v>101265.28099999999</v>
      </c>
      <c r="AW488" s="160">
        <f t="shared" si="1749"/>
        <v>229219.75399999999</v>
      </c>
      <c r="AX488" s="63">
        <f>KPIS!BB124</f>
        <v>127506.334</v>
      </c>
      <c r="AY488" s="63">
        <f>KPIS!BC124</f>
        <v>152843.62100000001</v>
      </c>
      <c r="AZ488" s="63">
        <f>KPIS!BD124</f>
        <v>139230.05600000001</v>
      </c>
      <c r="BA488" s="160">
        <f t="shared" si="1750"/>
        <v>246116.59399999995</v>
      </c>
      <c r="BB488" s="63">
        <f>KPIS!BF124</f>
        <v>151900.70600000001</v>
      </c>
      <c r="BC488" s="63">
        <f>KPIS!BG124</f>
        <v>165852.16200000001</v>
      </c>
      <c r="BD488" s="63">
        <f>KPIS!BH124</f>
        <v>171780.04599999997</v>
      </c>
      <c r="BE488" s="160">
        <f t="shared" si="1751"/>
        <v>286961.91000000003</v>
      </c>
      <c r="BF488" s="63">
        <f>KPIS!BJ124</f>
        <v>175966.64500000002</v>
      </c>
      <c r="BG488" s="142"/>
      <c r="BH488" s="124"/>
      <c r="BI488" s="124"/>
      <c r="BJ488" s="124"/>
      <c r="BK488" s="160"/>
      <c r="BL488" s="124"/>
      <c r="BM488" s="124"/>
      <c r="BN488" s="124">
        <v>154573</v>
      </c>
      <c r="BO488" s="124">
        <v>172300</v>
      </c>
      <c r="BP488" s="124">
        <f>KPIS!BN124</f>
        <v>174948.98499999999</v>
      </c>
      <c r="BQ488" s="124">
        <f>KPIS!BO124</f>
        <v>185035.163</v>
      </c>
      <c r="BR488" s="124">
        <f>KPIS!BP124</f>
        <v>160337.21299999999</v>
      </c>
      <c r="BS488" s="124">
        <f>KPIS!BQ124</f>
        <v>171752.21400000001</v>
      </c>
      <c r="BT488" s="124">
        <f>KPIS!BR124</f>
        <v>255580.14600000001</v>
      </c>
      <c r="BU488" s="124">
        <f>KPIS!BS124</f>
        <v>182587.71900000001</v>
      </c>
      <c r="BV488" s="124">
        <f>KPIS!BT124</f>
        <v>280349.95500000002</v>
      </c>
      <c r="BW488" s="124">
        <f>KPIS!BU124</f>
        <v>317752.86800000002</v>
      </c>
      <c r="BX488" s="124"/>
      <c r="BY488" s="124"/>
      <c r="BZ488" s="124">
        <f>KPIS!BW124</f>
        <v>185035.163</v>
      </c>
      <c r="CA488" s="124"/>
    </row>
    <row r="489" spans="2:83" ht="13.5" customHeight="1">
      <c r="B489" s="1" t="s">
        <v>525</v>
      </c>
      <c r="C489" s="174">
        <v>200071</v>
      </c>
      <c r="D489" s="174">
        <v>164812</v>
      </c>
      <c r="E489" s="174">
        <v>167504</v>
      </c>
      <c r="F489" s="174">
        <f>KPIS!G125</f>
        <v>188760.03200000001</v>
      </c>
      <c r="G489" s="174">
        <f>KPIS!H125</f>
        <v>194936.79</v>
      </c>
      <c r="H489" s="174">
        <f>KPIS!I125</f>
        <v>182789.96299999999</v>
      </c>
      <c r="I489" s="174">
        <f>KPIS!J125</f>
        <v>182789.96299999999</v>
      </c>
      <c r="J489" s="174">
        <f>KPIS!K125</f>
        <v>209119.06899999999</v>
      </c>
      <c r="K489" s="36">
        <f>KPIS!L125</f>
        <v>218878.45499999999</v>
      </c>
      <c r="L489" s="36">
        <f>KPIS!M125</f>
        <v>234042.18400000001</v>
      </c>
      <c r="M489" s="174">
        <v>277686.78000000003</v>
      </c>
      <c r="N489" s="36">
        <f>KPIS!O125</f>
        <v>255306.22899999999</v>
      </c>
      <c r="O489" s="36">
        <f>KPIS!P125</f>
        <v>274690.48100000003</v>
      </c>
      <c r="P489" s="36">
        <f>KPIS!Q125</f>
        <v>256335.75399999999</v>
      </c>
      <c r="Q489" s="63"/>
      <c r="R489" s="36">
        <f>KPIS!S125</f>
        <v>35747.850999999995</v>
      </c>
      <c r="S489" s="63">
        <f>KPIS!T125</f>
        <v>41119</v>
      </c>
      <c r="T489" s="63">
        <f>KPIS!U125</f>
        <v>44427.922000000006</v>
      </c>
      <c r="U489" s="63">
        <f>KPIS!V125</f>
        <v>46209.506000000008</v>
      </c>
      <c r="V489" s="160">
        <f>KPIS!W125</f>
        <v>41567.407000000007</v>
      </c>
      <c r="W489" s="160">
        <f>KPIS!X125</f>
        <v>45830</v>
      </c>
      <c r="X489" s="63">
        <f>KPIS!Y125</f>
        <v>51365.563999999984</v>
      </c>
      <c r="Y489" s="160">
        <f>F489-X489-W489-V489</f>
        <v>49997.061000000016</v>
      </c>
      <c r="Z489" s="63">
        <f>KPIS!AA125</f>
        <v>45782.411</v>
      </c>
      <c r="AA489" s="63">
        <f>KPIS!AB125</f>
        <v>40799.743999999999</v>
      </c>
      <c r="AB489" s="63">
        <f>KPIS!AC125</f>
        <v>44316.001000000011</v>
      </c>
      <c r="AC489" s="160">
        <f>H489-AB489-AA489-Z489</f>
        <v>51891.806999999964</v>
      </c>
      <c r="AD489" s="63">
        <f>KPIS!AF125</f>
        <v>48165.39</v>
      </c>
      <c r="AE489" s="63">
        <f>KPIS!AH125</f>
        <v>48175.418000000005</v>
      </c>
      <c r="AF489" s="63">
        <f>KPIS!AI125</f>
        <v>53464.319000000003</v>
      </c>
      <c r="AG489" s="160">
        <f>J489-AF489-AE489-AD489</f>
        <v>59313.941999999995</v>
      </c>
      <c r="AH489" s="63">
        <f>KPIS!AK125</f>
        <v>49190</v>
      </c>
      <c r="AI489" s="63">
        <f>KPIS!AL125</f>
        <v>50905</v>
      </c>
      <c r="AJ489" s="63">
        <f>KPIS!AM125</f>
        <v>59572.035999999993</v>
      </c>
      <c r="AK489" s="160">
        <f>K489-AJ489-AI489-AH489</f>
        <v>59211.418999999994</v>
      </c>
      <c r="AL489" s="63">
        <f>KPIS!AP125</f>
        <v>48630.434999999998</v>
      </c>
      <c r="AM489" s="63">
        <f>KPIS!AQ125</f>
        <v>55605.653000000006</v>
      </c>
      <c r="AN489" s="63">
        <f>KPIS!AR125</f>
        <v>67169.072</v>
      </c>
      <c r="AO489" s="160">
        <f>L489-AN489-AM489-AL489</f>
        <v>62637.024000000019</v>
      </c>
      <c r="AP489" s="63">
        <f>KPIS!AT125</f>
        <v>62836.016000000003</v>
      </c>
      <c r="AQ489" s="63">
        <f>KPIS!AU125</f>
        <v>71725.084000000003</v>
      </c>
      <c r="AR489" s="63">
        <f>KPIS!AV125</f>
        <v>73689.516999999993</v>
      </c>
      <c r="AS489" s="160">
        <f>M489-AR489-AQ489-AP489</f>
        <v>69436.16300000003</v>
      </c>
      <c r="AT489" s="63">
        <f>KPIS!AX125</f>
        <v>56179.69</v>
      </c>
      <c r="AU489" s="63">
        <f>KPIS!AY125</f>
        <v>56606.438999999998</v>
      </c>
      <c r="AV489" s="63">
        <f>KPIS!AZ125</f>
        <v>67023.870999999999</v>
      </c>
      <c r="AW489" s="160">
        <f t="shared" si="1749"/>
        <v>75496.228999999992</v>
      </c>
      <c r="AX489" s="63">
        <f>KPIS!BB125</f>
        <v>71715.41</v>
      </c>
      <c r="AY489" s="63">
        <f>KPIS!BC125</f>
        <v>67162.782000000007</v>
      </c>
      <c r="AZ489" s="63">
        <f>KPIS!BD125</f>
        <v>66609.241999999998</v>
      </c>
      <c r="BA489" s="160">
        <f t="shared" si="1750"/>
        <v>69203.04700000002</v>
      </c>
      <c r="BB489" s="63">
        <f>KPIS!BF125</f>
        <v>62477.012999999999</v>
      </c>
      <c r="BC489" s="63">
        <f>KPIS!BG125</f>
        <v>61267.987000000001</v>
      </c>
      <c r="BD489" s="63">
        <f>KPIS!BH125</f>
        <v>65314.843000000001</v>
      </c>
      <c r="BE489" s="160">
        <f t="shared" si="1751"/>
        <v>67275.910999999993</v>
      </c>
      <c r="BF489" s="63">
        <f>KPIS!BJ125</f>
        <v>56912.195</v>
      </c>
      <c r="BG489" s="142"/>
      <c r="BH489" s="124"/>
      <c r="BI489" s="124"/>
      <c r="BJ489" s="124"/>
      <c r="BK489" s="160"/>
      <c r="BL489" s="124"/>
      <c r="BM489" s="124"/>
      <c r="BN489" s="124">
        <v>76867</v>
      </c>
      <c r="BO489" s="124">
        <v>87397</v>
      </c>
      <c r="BP489" s="124">
        <f>KPIS!BN125</f>
        <v>86582.154999999999</v>
      </c>
      <c r="BQ489" s="124">
        <f>KPIS!BO125</f>
        <v>96340.808000000005</v>
      </c>
      <c r="BR489" s="124">
        <f>KPIS!BP125</f>
        <v>100095</v>
      </c>
      <c r="BS489" s="124">
        <f>KPIS!BQ125</f>
        <v>104236.088</v>
      </c>
      <c r="BT489" s="124">
        <f>KPIS!BR125</f>
        <v>134561.1</v>
      </c>
      <c r="BU489" s="124">
        <f>KPIS!BS125</f>
        <v>112786.129</v>
      </c>
      <c r="BV489" s="124">
        <f>KPIS!BT125</f>
        <v>138878.19200000001</v>
      </c>
      <c r="BW489" s="124">
        <f>KPIS!BU125</f>
        <v>123745</v>
      </c>
      <c r="BX489" s="124"/>
      <c r="BY489" s="124"/>
      <c r="BZ489" s="124">
        <f>KPIS!BW125</f>
        <v>96340.808000000005</v>
      </c>
      <c r="CA489" s="124"/>
    </row>
    <row r="490" spans="2:83" ht="13.5" customHeight="1">
      <c r="B490" s="1" t="s">
        <v>526</v>
      </c>
      <c r="C490" s="174"/>
      <c r="D490" s="174"/>
      <c r="E490" s="174"/>
      <c r="F490" s="174"/>
      <c r="G490" s="174"/>
      <c r="H490" s="174"/>
      <c r="I490" s="174"/>
      <c r="J490" s="174"/>
      <c r="K490" s="36"/>
      <c r="L490" s="36"/>
      <c r="M490" s="174"/>
      <c r="N490" s="36">
        <f>KPIS!O126</f>
        <v>419903.77799999999</v>
      </c>
      <c r="O490" s="36">
        <f>KPIS!P126</f>
        <v>494605.239</v>
      </c>
      <c r="P490" s="36">
        <f>KPIS!Q126</f>
        <v>653911.09100000001</v>
      </c>
      <c r="Q490" s="63"/>
      <c r="R490" s="36"/>
      <c r="S490" s="63"/>
      <c r="T490" s="63"/>
      <c r="U490" s="63"/>
      <c r="V490" s="160"/>
      <c r="W490" s="160"/>
      <c r="X490" s="63"/>
      <c r="Y490" s="160"/>
      <c r="Z490" s="63"/>
      <c r="AA490" s="63"/>
      <c r="AB490" s="63"/>
      <c r="AC490" s="160"/>
      <c r="AD490" s="63"/>
      <c r="AE490" s="63"/>
      <c r="AF490" s="63"/>
      <c r="AG490" s="160"/>
      <c r="AH490" s="63"/>
      <c r="AI490" s="63"/>
      <c r="AJ490" s="63"/>
      <c r="AK490" s="160"/>
      <c r="AL490" s="63"/>
      <c r="AM490" s="63"/>
      <c r="AN490" s="63"/>
      <c r="AO490" s="160"/>
      <c r="AP490" s="63"/>
      <c r="AQ490" s="63"/>
      <c r="AR490" s="63"/>
      <c r="AS490" s="160"/>
      <c r="AT490" s="63"/>
      <c r="AU490" s="63"/>
      <c r="AV490" s="63"/>
      <c r="AW490" s="160">
        <f t="shared" si="1749"/>
        <v>419903.77799999999</v>
      </c>
      <c r="AX490" s="63"/>
      <c r="AY490" s="63"/>
      <c r="AZ490" s="63"/>
      <c r="BA490" s="160">
        <f t="shared" si="1750"/>
        <v>494605.239</v>
      </c>
      <c r="BB490" s="63">
        <f>KPIS!BF126</f>
        <v>0</v>
      </c>
      <c r="BC490" s="63"/>
      <c r="BD490" s="63">
        <f>KPIS!BH126</f>
        <v>480206.141</v>
      </c>
      <c r="BE490" s="160">
        <f t="shared" si="1751"/>
        <v>173704.95</v>
      </c>
      <c r="BF490" s="63">
        <f>KPIS!BJ126</f>
        <v>165468.973</v>
      </c>
      <c r="BG490" s="142"/>
      <c r="BH490" s="124"/>
      <c r="BI490" s="124"/>
      <c r="BJ490" s="124"/>
      <c r="BK490" s="160"/>
      <c r="BL490" s="124"/>
      <c r="BM490" s="124"/>
      <c r="BN490" s="124"/>
      <c r="BO490" s="124"/>
      <c r="BP490" s="124"/>
      <c r="BQ490" s="124"/>
      <c r="BR490" s="124"/>
      <c r="BS490" s="124"/>
      <c r="BT490" s="124"/>
      <c r="BU490" s="124"/>
      <c r="BV490" s="124"/>
      <c r="BW490" s="124"/>
      <c r="BX490" s="124"/>
      <c r="BY490" s="124"/>
      <c r="BZ490" s="124"/>
      <c r="CA490" s="124"/>
    </row>
    <row r="491" spans="2:83" ht="13.5" customHeight="1">
      <c r="B491" s="1" t="s">
        <v>527</v>
      </c>
      <c r="C491" s="174"/>
      <c r="D491" s="174"/>
      <c r="E491" s="174"/>
      <c r="F491" s="174"/>
      <c r="G491" s="174"/>
      <c r="H491" s="174"/>
      <c r="I491" s="174"/>
      <c r="J491" s="174"/>
      <c r="K491" s="174"/>
      <c r="L491" s="174"/>
      <c r="M491" s="174"/>
      <c r="N491" s="36">
        <f>KPIS!O127</f>
        <v>152794.99400000001</v>
      </c>
      <c r="O491" s="36">
        <f>KPIS!P127</f>
        <v>235231.802</v>
      </c>
      <c r="P491" s="36">
        <f>KPIS!Q127</f>
        <v>202552.04300000001</v>
      </c>
      <c r="Q491" s="124"/>
      <c r="R491" s="174"/>
      <c r="S491" s="124"/>
      <c r="T491" s="124"/>
      <c r="U491" s="124"/>
      <c r="V491" s="226"/>
      <c r="W491" s="160"/>
      <c r="X491" s="124"/>
      <c r="Y491" s="160"/>
      <c r="Z491" s="124"/>
      <c r="AA491" s="124"/>
      <c r="AB491" s="124"/>
      <c r="AC491" s="160"/>
      <c r="AD491" s="124"/>
      <c r="AE491" s="341"/>
      <c r="AF491" s="124"/>
      <c r="AG491" s="160"/>
      <c r="AH491" s="124"/>
      <c r="AI491" s="341"/>
      <c r="AJ491" s="124"/>
      <c r="AK491" s="160"/>
      <c r="AL491" s="124"/>
      <c r="AM491" s="341"/>
      <c r="AN491" s="124"/>
      <c r="AO491" s="160"/>
      <c r="AP491" s="124"/>
      <c r="AQ491" s="341"/>
      <c r="AR491" s="124"/>
      <c r="AS491" s="160"/>
      <c r="AT491" s="124"/>
      <c r="AU491" s="341"/>
      <c r="AV491" s="124"/>
      <c r="AW491" s="160">
        <f t="shared" si="1749"/>
        <v>152794.99400000001</v>
      </c>
      <c r="AX491" s="124"/>
      <c r="AY491" s="341"/>
      <c r="AZ491" s="124"/>
      <c r="BA491" s="160">
        <f t="shared" si="1750"/>
        <v>235231.802</v>
      </c>
      <c r="BB491" s="63">
        <f>KPIS!BF127</f>
        <v>45285.364999999998</v>
      </c>
      <c r="BC491" s="341">
        <f>KPIS!BG127</f>
        <v>65913.532000000007</v>
      </c>
      <c r="BD491" s="341">
        <f>KPIS!BH127</f>
        <v>47315.390999999996</v>
      </c>
      <c r="BE491" s="160">
        <f t="shared" si="1751"/>
        <v>44037.754999999997</v>
      </c>
      <c r="BF491" s="63">
        <f>KPIS!BJ127</f>
        <v>17048.263999999999</v>
      </c>
      <c r="BG491" s="142"/>
      <c r="BH491" s="124"/>
      <c r="BI491" s="124"/>
      <c r="BJ491" s="124"/>
      <c r="BK491" s="160"/>
      <c r="BL491" s="124"/>
      <c r="BM491" s="124"/>
      <c r="BN491" s="124"/>
      <c r="BO491" s="124"/>
      <c r="BP491" s="124"/>
      <c r="BQ491" s="124"/>
      <c r="BR491" s="124"/>
      <c r="BS491" s="124"/>
      <c r="BT491" s="124"/>
      <c r="BU491" s="124"/>
      <c r="BV491" s="124"/>
      <c r="BW491" s="124">
        <f>KPIS!BU127</f>
        <v>111198.897</v>
      </c>
      <c r="BX491" s="124"/>
      <c r="BY491" s="124"/>
      <c r="BZ491" s="124"/>
      <c r="CA491" s="124"/>
    </row>
    <row r="492" spans="2:83" ht="13.5" customHeight="1">
      <c r="B492" s="5" t="s">
        <v>528</v>
      </c>
      <c r="C492" s="175">
        <f t="shared" ref="C492:N492" si="1752">SUM(C485:C491)</f>
        <v>7038379</v>
      </c>
      <c r="D492" s="175">
        <f t="shared" si="1752"/>
        <v>7753209</v>
      </c>
      <c r="E492" s="175">
        <f t="shared" si="1752"/>
        <v>7898301</v>
      </c>
      <c r="F492" s="175">
        <f t="shared" si="1752"/>
        <v>8242645.2630000012</v>
      </c>
      <c r="G492" s="175">
        <f t="shared" si="1752"/>
        <v>8209851.5100000007</v>
      </c>
      <c r="H492" s="175">
        <f t="shared" si="1752"/>
        <v>8483577.3330000006</v>
      </c>
      <c r="I492" s="175">
        <f t="shared" si="1752"/>
        <v>7976898.4050000012</v>
      </c>
      <c r="J492" s="175">
        <f t="shared" si="1752"/>
        <v>8053582.8350000009</v>
      </c>
      <c r="K492" s="175">
        <f t="shared" si="1752"/>
        <v>8281049.9489999982</v>
      </c>
      <c r="L492" s="175">
        <f t="shared" si="1752"/>
        <v>10335383.739999998</v>
      </c>
      <c r="M492" s="175">
        <f t="shared" si="1752"/>
        <v>10460666.397999998</v>
      </c>
      <c r="N492" s="175">
        <f t="shared" si="1752"/>
        <v>9355114.6570000015</v>
      </c>
      <c r="O492" s="175">
        <f>SUM(O485:O491)</f>
        <v>10322104.478</v>
      </c>
      <c r="P492" s="175">
        <f>SUM(P485:P491)</f>
        <v>11342385.894000001</v>
      </c>
      <c r="Q492" s="121"/>
      <c r="R492" s="175">
        <f t="shared" ref="R492:BA492" si="1753">SUM(R485:R491)</f>
        <v>1889595.811</v>
      </c>
      <c r="S492" s="175">
        <f t="shared" si="1753"/>
        <v>1948787.6760000002</v>
      </c>
      <c r="T492" s="175">
        <f t="shared" si="1753"/>
        <v>1869557.7239999999</v>
      </c>
      <c r="U492" s="175">
        <f t="shared" si="1753"/>
        <v>2190360.5729999999</v>
      </c>
      <c r="V492" s="175">
        <f t="shared" si="1753"/>
        <v>1952033.8810000001</v>
      </c>
      <c r="W492" s="175">
        <f t="shared" si="1753"/>
        <v>2015162.1370000001</v>
      </c>
      <c r="X492" s="175">
        <f t="shared" si="1753"/>
        <v>1941993.5970000001</v>
      </c>
      <c r="Y492" s="175">
        <f t="shared" si="1753"/>
        <v>2333455.648</v>
      </c>
      <c r="Z492" s="175">
        <f t="shared" si="1753"/>
        <v>2010257.6850000003</v>
      </c>
      <c r="AA492" s="175">
        <f t="shared" si="1753"/>
        <v>2106536.7970000003</v>
      </c>
      <c r="AB492" s="175">
        <f t="shared" si="1753"/>
        <v>2004610.7590000001</v>
      </c>
      <c r="AC492" s="175">
        <f t="shared" si="1753"/>
        <v>2362172.0920000011</v>
      </c>
      <c r="AD492" s="175">
        <f t="shared" si="1753"/>
        <v>1926900.5120000003</v>
      </c>
      <c r="AE492" s="175">
        <f t="shared" si="1753"/>
        <v>1994081.004</v>
      </c>
      <c r="AF492" s="175">
        <f t="shared" si="1753"/>
        <v>1881456.2499999998</v>
      </c>
      <c r="AG492" s="175">
        <f t="shared" si="1753"/>
        <v>2251145.0690000001</v>
      </c>
      <c r="AH492" s="175">
        <f t="shared" si="1753"/>
        <v>1887698.2930000001</v>
      </c>
      <c r="AI492" s="175">
        <f t="shared" si="1753"/>
        <v>1458364.25</v>
      </c>
      <c r="AJ492" s="175">
        <f t="shared" si="1753"/>
        <v>2217405.8169999998</v>
      </c>
      <c r="AK492" s="175">
        <f t="shared" si="1753"/>
        <v>2717581.5889999988</v>
      </c>
      <c r="AL492" s="175">
        <f t="shared" si="1753"/>
        <v>2218078.4550000005</v>
      </c>
      <c r="AM492" s="175">
        <f t="shared" si="1753"/>
        <v>2390588.7439999999</v>
      </c>
      <c r="AN492" s="175">
        <f t="shared" si="1753"/>
        <v>2620892.4420000007</v>
      </c>
      <c r="AO492" s="175">
        <f t="shared" si="1753"/>
        <v>3105824.0989999999</v>
      </c>
      <c r="AP492" s="175">
        <f t="shared" si="1753"/>
        <v>2546146.5869999998</v>
      </c>
      <c r="AQ492" s="175">
        <f t="shared" si="1753"/>
        <v>2619187.9019999993</v>
      </c>
      <c r="AR492" s="175">
        <f t="shared" si="1753"/>
        <v>2492158.7419999996</v>
      </c>
      <c r="AS492" s="175">
        <f t="shared" si="1753"/>
        <v>2803173.1670000008</v>
      </c>
      <c r="AT492" s="175">
        <f t="shared" si="1753"/>
        <v>2274726.2649999997</v>
      </c>
      <c r="AU492" s="175">
        <f t="shared" si="1753"/>
        <v>2219917.3820000002</v>
      </c>
      <c r="AV492" s="175">
        <f t="shared" si="1753"/>
        <v>2206436.9849999999</v>
      </c>
      <c r="AW492" s="175">
        <f t="shared" si="1753"/>
        <v>2654034.0250000004</v>
      </c>
      <c r="AX492" s="175">
        <f t="shared" si="1753"/>
        <v>2392525.6860000002</v>
      </c>
      <c r="AY492" s="175">
        <f t="shared" si="1753"/>
        <v>2445288.1239999998</v>
      </c>
      <c r="AZ492" s="175">
        <f t="shared" si="1753"/>
        <v>2402953.8710000003</v>
      </c>
      <c r="BA492" s="175">
        <f t="shared" si="1753"/>
        <v>3081336.7970000003</v>
      </c>
      <c r="BB492" s="175">
        <f>SUM(BB485:BB491)</f>
        <v>2653179.247</v>
      </c>
      <c r="BC492" s="175">
        <f>SUM(BC485:BC491)</f>
        <v>2693468.9720000001</v>
      </c>
      <c r="BD492" s="175">
        <f>SUM(BD485:BD491)</f>
        <v>2630299.6989999996</v>
      </c>
      <c r="BE492" s="175">
        <f>SUM(BE485:BE491)</f>
        <v>3365437.9759999993</v>
      </c>
      <c r="BF492" s="175">
        <f>SUM(BF485:BF491)</f>
        <v>2766025.946</v>
      </c>
      <c r="BG492" s="142"/>
      <c r="BH492" s="175"/>
      <c r="BI492" s="175"/>
      <c r="BJ492" s="175"/>
      <c r="BK492" s="217"/>
      <c r="BL492" s="175"/>
      <c r="BM492" s="121"/>
      <c r="BN492" s="175">
        <f t="shared" ref="BN492:BS492" si="1754">SUM(BN485:BN489)</f>
        <v>3838384</v>
      </c>
      <c r="BO492" s="175">
        <f t="shared" si="1754"/>
        <v>3967196</v>
      </c>
      <c r="BP492" s="175">
        <f t="shared" si="1754"/>
        <v>4116794.4819999998</v>
      </c>
      <c r="BQ492" s="175">
        <f t="shared" si="1754"/>
        <v>3920981.5160000008</v>
      </c>
      <c r="BR492" s="175">
        <f t="shared" si="1754"/>
        <v>3346062.5430000005</v>
      </c>
      <c r="BS492" s="175">
        <f t="shared" si="1754"/>
        <v>4608667.199</v>
      </c>
      <c r="BT492" s="175">
        <f>SUM(BT485:BT489)</f>
        <v>5165334.4889999991</v>
      </c>
      <c r="BU492" s="175">
        <f>SUM(BU485:BU489)</f>
        <v>4494643.6469999999</v>
      </c>
      <c r="BV492" s="175">
        <f>SUM(BV485:BV489)</f>
        <v>4837813.8099999996</v>
      </c>
      <c r="BW492" s="175">
        <f>SUM(BW485:BW491)</f>
        <v>5346648.2189999996</v>
      </c>
      <c r="BX492" s="121"/>
      <c r="BY492" s="121"/>
      <c r="BZ492" s="175">
        <f>SUM(BZ485:BZ489)</f>
        <v>3920981.5160000008</v>
      </c>
      <c r="CA492" s="121"/>
    </row>
    <row r="493" spans="2:83" s="54" customFormat="1" ht="13.5" customHeight="1">
      <c r="B493" s="74" t="s">
        <v>283</v>
      </c>
      <c r="C493" s="64">
        <f>C9</f>
        <v>0.13594025677429644</v>
      </c>
      <c r="D493" s="64">
        <f>(D492/C492)-1</f>
        <v>0.1015617374398281</v>
      </c>
      <c r="E493" s="64">
        <f>(E492/D492)-1</f>
        <v>1.8713799666692843E-2</v>
      </c>
      <c r="F493" s="64">
        <f>(F492/E492)-1</f>
        <v>4.3597257562101088E-2</v>
      </c>
      <c r="G493" s="64">
        <f>(G492/F492)-1</f>
        <v>-3.9785471718899457E-3</v>
      </c>
      <c r="H493" s="64">
        <f>(H492/G492)-1</f>
        <v>3.3341141757142534E-2</v>
      </c>
      <c r="I493" s="64">
        <f>(I492/G492)-1</f>
        <v>-2.8374825624586708E-2</v>
      </c>
      <c r="J493" s="64">
        <f t="shared" ref="J493:P493" si="1755">(J492/I492)-1</f>
        <v>9.6133141111505171E-3</v>
      </c>
      <c r="K493" s="64">
        <f t="shared" si="1755"/>
        <v>2.8244213620234992E-2</v>
      </c>
      <c r="L493" s="64">
        <f t="shared" si="1755"/>
        <v>0.24807648832598539</v>
      </c>
      <c r="M493" s="64">
        <f t="shared" si="1755"/>
        <v>1.2121722923081224E-2</v>
      </c>
      <c r="N493" s="64">
        <f t="shared" si="1755"/>
        <v>-0.10568654987519432</v>
      </c>
      <c r="O493" s="64">
        <f t="shared" si="1755"/>
        <v>0.10336482838042449</v>
      </c>
      <c r="P493" s="64">
        <f t="shared" si="1755"/>
        <v>9.884432173444635E-2</v>
      </c>
      <c r="Q493" s="220"/>
      <c r="R493" s="64">
        <f>R9</f>
        <v>3.9619390377437558E-2</v>
      </c>
      <c r="S493" s="64">
        <f>S9</f>
        <v>5.0172033885750977E-2</v>
      </c>
      <c r="T493" s="64">
        <f>T9</f>
        <v>1.5069957731956629E-2</v>
      </c>
      <c r="U493" s="64">
        <f>U9</f>
        <v>-2.1347505835990321E-2</v>
      </c>
      <c r="V493" s="64">
        <f>V492/R492-1</f>
        <v>3.3043082354716313E-2</v>
      </c>
      <c r="W493" s="64">
        <f>W492/S492-1</f>
        <v>3.4059359989507598E-2</v>
      </c>
      <c r="X493" s="64">
        <f>X492/T492-1</f>
        <v>3.8744924572331696E-2</v>
      </c>
      <c r="Y493" s="64">
        <f t="shared" ref="Y493:AN493" si="1756">Y9</f>
        <v>6.5329460712494125E-2</v>
      </c>
      <c r="Z493" s="64">
        <f t="shared" si="1756"/>
        <v>2.982765590001546E-2</v>
      </c>
      <c r="AA493" s="64">
        <f t="shared" si="1756"/>
        <v>4.5343173881021714E-2</v>
      </c>
      <c r="AB493" s="64">
        <f t="shared" si="1756"/>
        <v>3.2243758216675689E-2</v>
      </c>
      <c r="AC493" s="64">
        <f t="shared" si="1756"/>
        <v>1.2306402319929743E-2</v>
      </c>
      <c r="AD493" s="64">
        <f t="shared" si="1756"/>
        <v>2.1067760918096035E-2</v>
      </c>
      <c r="AE493" s="64">
        <f t="shared" si="1756"/>
        <v>6.7986649864903992E-3</v>
      </c>
      <c r="AF493" s="64">
        <f t="shared" si="1756"/>
        <v>1.8268096371465425E-3</v>
      </c>
      <c r="AG493" s="64">
        <f t="shared" si="1756"/>
        <v>-4.7002089041699002E-2</v>
      </c>
      <c r="AH493" s="64">
        <f t="shared" si="1756"/>
        <v>-2.0344537642636773E-2</v>
      </c>
      <c r="AI493" s="64">
        <f t="shared" si="1756"/>
        <v>-0.26865353409685244</v>
      </c>
      <c r="AJ493" s="64">
        <f t="shared" si="1756"/>
        <v>0.17855817960157228</v>
      </c>
      <c r="AK493" s="64">
        <f t="shared" si="1756"/>
        <v>0.20719967203499645</v>
      </c>
      <c r="AL493" s="64">
        <f t="shared" si="1756"/>
        <v>0.17501726223656311</v>
      </c>
      <c r="AM493" s="64">
        <f t="shared" si="1756"/>
        <v>0.63922627565786305</v>
      </c>
      <c r="AN493" s="64">
        <f t="shared" si="1756"/>
        <v>0.18196345285496518</v>
      </c>
      <c r="AO493" s="64">
        <f t="shared" ref="AO493:AT493" si="1757">AO9</f>
        <v>0.14286323971706927</v>
      </c>
      <c r="AP493" s="64">
        <f t="shared" si="1757"/>
        <v>0.14790645987316964</v>
      </c>
      <c r="AQ493" s="64">
        <f t="shared" si="1757"/>
        <v>9.5624627436964316E-2</v>
      </c>
      <c r="AR493" s="64">
        <f t="shared" si="1757"/>
        <v>-4.911826900525651E-2</v>
      </c>
      <c r="AS493" s="64">
        <f t="shared" si="1757"/>
        <v>-9.7446256565994038E-2</v>
      </c>
      <c r="AT493" s="64">
        <f t="shared" si="1757"/>
        <v>-0.10660043038598221</v>
      </c>
      <c r="AU493" s="64">
        <f t="shared" ref="AU493:AZ493" si="1758">AU9</f>
        <v>-0.15244057888902107</v>
      </c>
      <c r="AV493" s="64">
        <f t="shared" si="1758"/>
        <v>-0.11464844561655108</v>
      </c>
      <c r="AW493" s="64">
        <f t="shared" si="1758"/>
        <v>-5.3203553300137263E-2</v>
      </c>
      <c r="AX493" s="64">
        <f t="shared" si="1758"/>
        <v>5.1786180083518873E-2</v>
      </c>
      <c r="AY493" s="64">
        <f t="shared" si="1758"/>
        <v>0.10152214709763441</v>
      </c>
      <c r="AZ493" s="64">
        <f t="shared" si="1758"/>
        <v>8.9065443156151503E-2</v>
      </c>
      <c r="BA493" s="64">
        <f t="shared" ref="BA493:BF493" si="1759">BA9</f>
        <v>0.16100107970190858</v>
      </c>
      <c r="BB493" s="64">
        <f t="shared" si="1759"/>
        <v>0.10894495451237685</v>
      </c>
      <c r="BC493" s="64">
        <f t="shared" si="1759"/>
        <v>0.10149333561509888</v>
      </c>
      <c r="BD493" s="64">
        <f t="shared" si="1759"/>
        <v>9.4611132466470682E-2</v>
      </c>
      <c r="BE493" s="64">
        <f t="shared" si="1759"/>
        <v>9.2200625805202829E-2</v>
      </c>
      <c r="BF493" s="64">
        <f t="shared" si="1759"/>
        <v>4.2532632926176372E-2</v>
      </c>
      <c r="BG493" s="142"/>
      <c r="BH493" s="64"/>
      <c r="BI493" s="64"/>
      <c r="BJ493" s="64"/>
      <c r="BK493" s="64"/>
      <c r="BL493" s="64"/>
      <c r="BM493" s="220"/>
      <c r="BN493" s="64">
        <f>BN9</f>
        <v>4.4950438226341927E-2</v>
      </c>
      <c r="BO493" s="64">
        <f>(BO492/BN492)-1</f>
        <v>3.3558914376466742E-2</v>
      </c>
      <c r="BP493" s="64">
        <f t="shared" ref="BP493:BU493" si="1760">BP9</f>
        <v>3.7708863721691577E-2</v>
      </c>
      <c r="BQ493" s="64">
        <f t="shared" si="1760"/>
        <v>1.3760791020305918E-2</v>
      </c>
      <c r="BR493" s="64">
        <f t="shared" si="1760"/>
        <v>-0.14662624821208159</v>
      </c>
      <c r="BS493" s="64">
        <f t="shared" si="1760"/>
        <v>0.37734035568389612</v>
      </c>
      <c r="BT493" s="64">
        <f t="shared" si="1760"/>
        <v>0.12078704448886812</v>
      </c>
      <c r="BU493" s="64">
        <f t="shared" si="1760"/>
        <v>-0.12984460995280966</v>
      </c>
      <c r="BV493" s="64">
        <f>BV9</f>
        <v>7.6350916769353239E-2</v>
      </c>
      <c r="BW493" s="64">
        <f>BW9</f>
        <v>0.10517851037346992</v>
      </c>
      <c r="BX493" s="220"/>
      <c r="BY493" s="220"/>
      <c r="BZ493" s="64">
        <f>BZ9</f>
        <v>1.3760791020305918E-2</v>
      </c>
      <c r="CA493" s="220"/>
      <c r="CC493" s="35"/>
      <c r="CD493" s="35"/>
      <c r="CE493" s="35"/>
    </row>
    <row r="494" spans="2:83" s="54" customFormat="1" ht="13.5" customHeight="1">
      <c r="B494" s="229" t="s">
        <v>386</v>
      </c>
      <c r="C494" s="228">
        <f t="shared" ref="C494:K494" si="1761">C492-C8</f>
        <v>-0.78799999970942736</v>
      </c>
      <c r="D494" s="228">
        <f t="shared" si="1761"/>
        <v>-0.5719999996945262</v>
      </c>
      <c r="E494" s="228">
        <f t="shared" si="1761"/>
        <v>-0.78399999998509884</v>
      </c>
      <c r="F494" s="228">
        <f t="shared" si="1761"/>
        <v>0</v>
      </c>
      <c r="G494" s="228">
        <f t="shared" si="1761"/>
        <v>0</v>
      </c>
      <c r="H494" s="228">
        <f t="shared" si="1761"/>
        <v>0</v>
      </c>
      <c r="I494" s="228">
        <f t="shared" si="1761"/>
        <v>0</v>
      </c>
      <c r="J494" s="228">
        <f t="shared" si="1761"/>
        <v>0</v>
      </c>
      <c r="K494" s="228">
        <f t="shared" si="1761"/>
        <v>0</v>
      </c>
      <c r="L494" s="228">
        <f>L492-L8</f>
        <v>0</v>
      </c>
      <c r="M494" s="228">
        <f>M492-M8</f>
        <v>0</v>
      </c>
      <c r="N494" s="228">
        <f>N492-N8</f>
        <v>0</v>
      </c>
      <c r="O494" s="228">
        <f>O492-O8</f>
        <v>0</v>
      </c>
      <c r="P494" s="228">
        <f>P492-P8</f>
        <v>-1.999998465180397E-3</v>
      </c>
      <c r="Q494" s="228"/>
      <c r="R494" s="228">
        <f t="shared" ref="R494:AN494" si="1762">R492-R8</f>
        <v>-0.41400000010617077</v>
      </c>
      <c r="S494" s="228">
        <f t="shared" si="1762"/>
        <v>0.41400000010617077</v>
      </c>
      <c r="T494" s="228">
        <f t="shared" si="1762"/>
        <v>0</v>
      </c>
      <c r="U494" s="228">
        <f t="shared" si="1762"/>
        <v>0</v>
      </c>
      <c r="V494" s="228">
        <f t="shared" si="1762"/>
        <v>0.76800000015646219</v>
      </c>
      <c r="W494" s="228">
        <f t="shared" si="1762"/>
        <v>-0.76800000015646219</v>
      </c>
      <c r="X494" s="228">
        <f t="shared" si="1762"/>
        <v>0</v>
      </c>
      <c r="Y494" s="228">
        <f t="shared" si="1762"/>
        <v>0</v>
      </c>
      <c r="Z494" s="228">
        <f t="shared" si="1762"/>
        <v>0</v>
      </c>
      <c r="AA494" s="228">
        <f t="shared" si="1762"/>
        <v>1.0000000242143869E-2</v>
      </c>
      <c r="AB494" s="228">
        <f t="shared" si="1762"/>
        <v>-1.0000000242143869E-2</v>
      </c>
      <c r="AC494" s="228">
        <f t="shared" si="1762"/>
        <v>0</v>
      </c>
      <c r="AD494" s="228">
        <f t="shared" si="1762"/>
        <v>0</v>
      </c>
      <c r="AE494" s="228">
        <f t="shared" si="1762"/>
        <v>0</v>
      </c>
      <c r="AF494" s="228">
        <f t="shared" si="1762"/>
        <v>0</v>
      </c>
      <c r="AG494" s="228">
        <f t="shared" si="1762"/>
        <v>0</v>
      </c>
      <c r="AH494" s="228">
        <f t="shared" si="1762"/>
        <v>-0.31899999990127981</v>
      </c>
      <c r="AI494" s="228">
        <f t="shared" si="1762"/>
        <v>0.15500000002793968</v>
      </c>
      <c r="AJ494" s="228">
        <f t="shared" si="1762"/>
        <v>0.16399999894201756</v>
      </c>
      <c r="AK494" s="228">
        <f t="shared" si="1762"/>
        <v>0</v>
      </c>
      <c r="AL494" s="228">
        <f t="shared" si="1762"/>
        <v>0</v>
      </c>
      <c r="AM494" s="228">
        <f t="shared" si="1762"/>
        <v>0</v>
      </c>
      <c r="AN494" s="228">
        <f t="shared" si="1762"/>
        <v>0</v>
      </c>
      <c r="AO494" s="228">
        <f t="shared" ref="AO494:AT494" si="1763">AO492-AO8</f>
        <v>0</v>
      </c>
      <c r="AP494" s="228">
        <f t="shared" si="1763"/>
        <v>0</v>
      </c>
      <c r="AQ494" s="228">
        <f t="shared" si="1763"/>
        <v>0</v>
      </c>
      <c r="AR494" s="228">
        <f t="shared" si="1763"/>
        <v>0</v>
      </c>
      <c r="AS494" s="228">
        <f t="shared" si="1763"/>
        <v>0</v>
      </c>
      <c r="AT494" s="228">
        <f t="shared" si="1763"/>
        <v>0</v>
      </c>
      <c r="AU494" s="228">
        <f t="shared" ref="AU494:AZ494" si="1764">AU492-AU8</f>
        <v>0</v>
      </c>
      <c r="AV494" s="228">
        <f t="shared" si="1764"/>
        <v>0.36899999901652336</v>
      </c>
      <c r="AW494" s="228">
        <f t="shared" si="1764"/>
        <v>-0.36899999948218465</v>
      </c>
      <c r="AX494" s="228">
        <f t="shared" si="1764"/>
        <v>3.7000000011175871E-2</v>
      </c>
      <c r="AY494" s="450">
        <f t="shared" si="1764"/>
        <v>-3.6999999545514584E-2</v>
      </c>
      <c r="AZ494" s="450">
        <f t="shared" si="1764"/>
        <v>0</v>
      </c>
      <c r="BA494" s="450">
        <f t="shared" ref="BA494:BF494" si="1765">BA492-BA8</f>
        <v>0</v>
      </c>
      <c r="BB494" s="450">
        <f t="shared" si="1765"/>
        <v>0</v>
      </c>
      <c r="BC494" s="450">
        <f t="shared" si="1765"/>
        <v>0.35899999970570207</v>
      </c>
      <c r="BD494" s="450">
        <f t="shared" si="1765"/>
        <v>-0.35900000017136335</v>
      </c>
      <c r="BE494" s="450">
        <f t="shared" si="1765"/>
        <v>-2.0000003278255463E-3</v>
      </c>
      <c r="BF494" s="450">
        <f t="shared" si="1765"/>
        <v>0</v>
      </c>
      <c r="BG494" s="451"/>
      <c r="BH494" s="450"/>
      <c r="BI494" s="450"/>
      <c r="BJ494" s="450"/>
      <c r="BK494" s="450"/>
      <c r="BL494" s="450"/>
      <c r="BM494" s="450"/>
      <c r="BN494" s="450">
        <f t="shared" ref="BN494:BS494" si="1766">BN492-BN8</f>
        <v>0.51299999980255961</v>
      </c>
      <c r="BO494" s="450">
        <f t="shared" si="1766"/>
        <v>-1.8000000156462193E-2</v>
      </c>
      <c r="BP494" s="450">
        <f t="shared" si="1766"/>
        <v>9.9999997764825821E-3</v>
      </c>
      <c r="BQ494" s="450">
        <f t="shared" si="1766"/>
        <v>0</v>
      </c>
      <c r="BR494" s="450">
        <f t="shared" si="1766"/>
        <v>-0.16399999940767884</v>
      </c>
      <c r="BS494" s="450">
        <f t="shared" si="1766"/>
        <v>0</v>
      </c>
      <c r="BT494" s="450">
        <f>BT492-BT8</f>
        <v>0</v>
      </c>
      <c r="BU494" s="450">
        <f>BU492-BU8</f>
        <v>0</v>
      </c>
      <c r="BV494" s="450">
        <f>BV492-BV8</f>
        <v>0</v>
      </c>
      <c r="BW494" s="450">
        <f>BW492-BW8</f>
        <v>0.35899999924004078</v>
      </c>
      <c r="BX494" s="228"/>
      <c r="BY494" s="228"/>
      <c r="BZ494" s="228">
        <f>BZ492-BZ8</f>
        <v>0</v>
      </c>
      <c r="CA494" s="228"/>
    </row>
    <row r="495" spans="2:83" ht="13.5" customHeight="1"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232"/>
      <c r="R495" s="232"/>
      <c r="S495" s="232"/>
      <c r="T495" s="232"/>
      <c r="U495" s="232"/>
      <c r="V495" s="232"/>
      <c r="W495" s="232"/>
      <c r="X495" s="232"/>
      <c r="Y495" s="232"/>
      <c r="Z495" s="232"/>
      <c r="AA495" s="232"/>
      <c r="AB495" s="232"/>
      <c r="AC495" s="232"/>
      <c r="AD495" s="232"/>
      <c r="AE495" s="232"/>
      <c r="AF495" s="232"/>
      <c r="AG495" s="232"/>
      <c r="AH495" s="232"/>
      <c r="AI495" s="232"/>
      <c r="AJ495" s="232"/>
      <c r="AK495" s="232"/>
      <c r="AL495" s="232"/>
      <c r="AM495" s="232"/>
      <c r="AN495" s="232"/>
      <c r="AO495" s="232"/>
      <c r="AP495" s="232"/>
      <c r="AQ495" s="232"/>
      <c r="AR495" s="232"/>
      <c r="AS495" s="232"/>
      <c r="AT495" s="232"/>
      <c r="AU495" s="232"/>
      <c r="AV495" s="232"/>
      <c r="AW495" s="232"/>
      <c r="AX495" s="232"/>
      <c r="AY495" s="232"/>
      <c r="AZ495" s="232"/>
      <c r="BA495" s="232"/>
      <c r="BB495" s="232"/>
      <c r="BC495" s="232"/>
      <c r="BD495" s="232"/>
      <c r="BE495" s="152"/>
      <c r="BF495" s="232"/>
      <c r="BG495" s="142"/>
    </row>
    <row r="496" spans="2:83" ht="13.5" customHeight="1">
      <c r="B496" s="445" t="s">
        <v>529</v>
      </c>
      <c r="C496" s="46">
        <v>41975</v>
      </c>
      <c r="D496" s="46">
        <v>42341</v>
      </c>
      <c r="E496" s="46">
        <v>42708</v>
      </c>
      <c r="F496" s="253">
        <f t="shared" ref="F496:K496" si="1767">F3</f>
        <v>43073</v>
      </c>
      <c r="G496" s="253">
        <f t="shared" si="1767"/>
        <v>43073</v>
      </c>
      <c r="H496" s="253">
        <f t="shared" si="1767"/>
        <v>43438</v>
      </c>
      <c r="I496" s="253">
        <f t="shared" si="1767"/>
        <v>43438</v>
      </c>
      <c r="J496" s="253">
        <f t="shared" si="1767"/>
        <v>43803</v>
      </c>
      <c r="K496" s="253">
        <f t="shared" si="1767"/>
        <v>44169</v>
      </c>
      <c r="L496" s="253">
        <f>L3</f>
        <v>44534</v>
      </c>
      <c r="M496" s="253">
        <f>M3</f>
        <v>44899</v>
      </c>
      <c r="N496" s="253">
        <f>N3</f>
        <v>45264</v>
      </c>
      <c r="O496" s="253">
        <f>O3</f>
        <v>45630</v>
      </c>
      <c r="P496" s="253">
        <f>P3</f>
        <v>45995</v>
      </c>
      <c r="Q496" s="329"/>
      <c r="R496" s="46">
        <v>42437</v>
      </c>
      <c r="S496" s="46">
        <v>42527</v>
      </c>
      <c r="T496" s="46">
        <v>42622</v>
      </c>
      <c r="U496" s="46">
        <v>42714</v>
      </c>
      <c r="V496" s="46">
        <v>42801</v>
      </c>
      <c r="W496" s="46">
        <v>42892</v>
      </c>
      <c r="X496" s="46">
        <v>42987</v>
      </c>
      <c r="Y496" s="46">
        <v>43079</v>
      </c>
      <c r="Z496" s="46">
        <f t="shared" ref="Z496:AN496" si="1768">Z3</f>
        <v>43166</v>
      </c>
      <c r="AA496" s="46">
        <f t="shared" si="1768"/>
        <v>43257</v>
      </c>
      <c r="AB496" s="46">
        <f t="shared" si="1768"/>
        <v>43352</v>
      </c>
      <c r="AC496" s="46">
        <f t="shared" si="1768"/>
        <v>43444</v>
      </c>
      <c r="AD496" s="253">
        <f t="shared" si="1768"/>
        <v>43531</v>
      </c>
      <c r="AE496" s="253">
        <f t="shared" si="1768"/>
        <v>43622</v>
      </c>
      <c r="AF496" s="253">
        <f t="shared" si="1768"/>
        <v>43738</v>
      </c>
      <c r="AG496" s="120">
        <f t="shared" si="1768"/>
        <v>43809</v>
      </c>
      <c r="AH496" s="253">
        <f t="shared" si="1768"/>
        <v>43897</v>
      </c>
      <c r="AI496" s="253">
        <f t="shared" si="1768"/>
        <v>43988</v>
      </c>
      <c r="AJ496" s="253">
        <f t="shared" si="1768"/>
        <v>44104</v>
      </c>
      <c r="AK496" s="120">
        <f t="shared" si="1768"/>
        <v>44175</v>
      </c>
      <c r="AL496" s="253">
        <f t="shared" si="1768"/>
        <v>44262</v>
      </c>
      <c r="AM496" s="253">
        <f t="shared" si="1768"/>
        <v>44348</v>
      </c>
      <c r="AN496" s="253">
        <f t="shared" si="1768"/>
        <v>44469</v>
      </c>
      <c r="AO496" s="120">
        <f t="shared" ref="AO496:AT496" si="1769">AO3</f>
        <v>44540</v>
      </c>
      <c r="AP496" s="253">
        <f t="shared" si="1769"/>
        <v>44651</v>
      </c>
      <c r="AQ496" s="253">
        <f t="shared" si="1769"/>
        <v>44713</v>
      </c>
      <c r="AR496" s="253">
        <f t="shared" si="1769"/>
        <v>44834</v>
      </c>
      <c r="AS496" s="120">
        <f t="shared" si="1769"/>
        <v>44905</v>
      </c>
      <c r="AT496" s="253">
        <f t="shared" si="1769"/>
        <v>45016</v>
      </c>
      <c r="AU496" s="253">
        <f t="shared" ref="AU496:AZ496" si="1770">AU3</f>
        <v>45078</v>
      </c>
      <c r="AV496" s="253">
        <f t="shared" si="1770"/>
        <v>45199</v>
      </c>
      <c r="AW496" s="120">
        <f t="shared" si="1770"/>
        <v>45270</v>
      </c>
      <c r="AX496" s="253">
        <f t="shared" si="1770"/>
        <v>45382</v>
      </c>
      <c r="AY496" s="253">
        <f t="shared" si="1770"/>
        <v>45444</v>
      </c>
      <c r="AZ496" s="253">
        <f t="shared" si="1770"/>
        <v>45565</v>
      </c>
      <c r="BA496" s="120">
        <f t="shared" ref="BA496:BF496" si="1771">BA3</f>
        <v>45636</v>
      </c>
      <c r="BB496" s="253">
        <f t="shared" si="1771"/>
        <v>45747</v>
      </c>
      <c r="BC496" s="253">
        <f t="shared" si="1771"/>
        <v>45809</v>
      </c>
      <c r="BD496" s="253">
        <f t="shared" si="1771"/>
        <v>45930</v>
      </c>
      <c r="BE496" s="120">
        <f t="shared" si="1771"/>
        <v>46001</v>
      </c>
      <c r="BF496" s="253">
        <f t="shared" si="1771"/>
        <v>46112</v>
      </c>
      <c r="BG496" s="142"/>
      <c r="BH496" s="46"/>
      <c r="BI496" s="46"/>
      <c r="BJ496" s="46"/>
      <c r="BK496" s="46"/>
      <c r="BL496" s="253"/>
      <c r="BM496" s="329"/>
      <c r="BN496" s="46">
        <v>42530</v>
      </c>
      <c r="BO496" s="46">
        <v>42896</v>
      </c>
      <c r="BP496" s="46">
        <f t="shared" ref="BP496:BU496" si="1772">BP3</f>
        <v>43261</v>
      </c>
      <c r="BQ496" s="253">
        <f t="shared" si="1772"/>
        <v>43646</v>
      </c>
      <c r="BR496" s="253">
        <f t="shared" si="1772"/>
        <v>44012</v>
      </c>
      <c r="BS496" s="253">
        <f t="shared" si="1772"/>
        <v>44377</v>
      </c>
      <c r="BT496" s="253">
        <f t="shared" si="1772"/>
        <v>44742</v>
      </c>
      <c r="BU496" s="253">
        <f t="shared" si="1772"/>
        <v>45107</v>
      </c>
      <c r="BV496" s="253">
        <f>BV3</f>
        <v>45473</v>
      </c>
      <c r="BW496" s="253">
        <f>BW3</f>
        <v>45838</v>
      </c>
      <c r="BX496" s="62"/>
      <c r="BY496" s="329"/>
      <c r="BZ496" s="253">
        <f>BZ3</f>
        <v>43646</v>
      </c>
      <c r="CA496" s="62"/>
    </row>
    <row r="497" spans="2:79" ht="13.5" customHeight="1">
      <c r="B497" s="1" t="s">
        <v>521</v>
      </c>
      <c r="C497" s="140">
        <v>-2785279</v>
      </c>
      <c r="D497" s="140">
        <v>-3009319</v>
      </c>
      <c r="E497" s="140">
        <v>-3180313</v>
      </c>
      <c r="F497" s="140">
        <f>-1023255.418-1428050.533-555165.189-231261.739-93408.267+35235.66</f>
        <v>-3295905.4859999996</v>
      </c>
      <c r="G497" s="140">
        <f>-1009542.074-1427450.422-552297.621-231261.739-93408.267+45924.655</f>
        <v>-3268035.4680000008</v>
      </c>
      <c r="H497" s="140">
        <f>-1005152.289-1492383.885-574873.722-252789.021-107142.205+22124.904</f>
        <v>-3410216.2180000003</v>
      </c>
      <c r="I497" s="140">
        <f>-1005152.289-1492383.885-574873.722-107142.205+22124.904</f>
        <v>-3157427.1970000002</v>
      </c>
      <c r="J497" s="140">
        <f>-1015850.704-1473123.084-561726.207-111011.638-23183.701</f>
        <v>-3184895.3339999998</v>
      </c>
      <c r="K497" s="140">
        <f>-1093007.655-1576085.29-637688.276-118478.675-100834.067</f>
        <v>-3526093.963</v>
      </c>
      <c r="L497" s="140">
        <f>-1456422.1-2235217.768-720854.296-127390.352-64786.043</f>
        <v>-4604670.5589999994</v>
      </c>
      <c r="M497" s="140">
        <f>-1460343.379-2082239.782-753955.227-139611.775+379.766</f>
        <v>-4435770.3970000008</v>
      </c>
      <c r="N497" s="140">
        <f>-1210121.901-1697824.015-733839.056</f>
        <v>-3641784.9720000001</v>
      </c>
      <c r="O497" s="140">
        <f>-1220491.076-1714508.022-753018.167</f>
        <v>-3688017.2650000001</v>
      </c>
      <c r="P497" s="140">
        <f>-1358967.274-1790302.892-789182.754</f>
        <v>-3938452.92</v>
      </c>
      <c r="Q497" s="124"/>
      <c r="R497" s="140">
        <f>-230539.467-376645.699-128487.76-55754.831-21729.052+13535.221</f>
        <v>-799621.58799999999</v>
      </c>
      <c r="S497" s="151">
        <f>BN497-R497</f>
        <v>-792320.41200000001</v>
      </c>
      <c r="T497" s="124">
        <f>-697426.52-1074061.294-387012.783-163513.403-69677.613+43097.452-S497-R497</f>
        <v>-756652.16099999985</v>
      </c>
      <c r="U497" s="63">
        <f>E497-T497-S497-R497</f>
        <v>-831718.83900000015</v>
      </c>
      <c r="V497" s="124">
        <f>(-238571.9-371491.765-129310.596-61302.074-22786.038+8922.838)</f>
        <v>-814539.53500000015</v>
      </c>
      <c r="W497" s="63">
        <f>BO497-V497</f>
        <v>-795639.46499999985</v>
      </c>
      <c r="X497" s="124">
        <f>-716293.602-1052774.761-404049.131-173760.392-67331.094+23197.734-W497-V497</f>
        <v>-780832.24599999981</v>
      </c>
      <c r="Y497" s="160">
        <f>F497-X497-W497-V497</f>
        <v>-904894.23999999976</v>
      </c>
      <c r="Z497" s="124">
        <f>-240852.792-390936.513-135755.86-55271.419-24423.529+10144.718</f>
        <v>-837095.3949999999</v>
      </c>
      <c r="AA497" s="63">
        <f>BP497-Z497</f>
        <v>-851957.30900000001</v>
      </c>
      <c r="AB497" s="124">
        <f>-724500.599-1114045.311-424025.979-183525.874-74991.223+26709.057-AA497-Z497</f>
        <v>-805327.22499999974</v>
      </c>
      <c r="AC497" s="160">
        <f>H497-AB497-AA497-Z497</f>
        <v>-915836.28900000092</v>
      </c>
      <c r="AD497" s="124">
        <f>-264233.08-398430.879-139552.552-26008.323+3446.392</f>
        <v>-824778.44200000004</v>
      </c>
      <c r="AE497" s="63">
        <f>BQ497-AD497</f>
        <v>-799925.70699999994</v>
      </c>
      <c r="AF497" s="124">
        <f>-739634.649-1114710.778-428991.58-79543.584-17321.872-AE497-AD497</f>
        <v>-755498.31399999955</v>
      </c>
      <c r="AG497" s="160">
        <f>J497-AF497-AE497-AD497</f>
        <v>-804692.87100000051</v>
      </c>
      <c r="AH497" s="124">
        <f>-211912.289-371691.589-139691.213-29974.898-19066.07</f>
        <v>-772336.05900000001</v>
      </c>
      <c r="AI497" s="63">
        <f>BR497-AH497</f>
        <v>-681039.16399999976</v>
      </c>
      <c r="AJ497" s="124">
        <f>-707377.416-1093005.794-456470.615-85579.575-81523.565-AI497-AH497</f>
        <v>-970581.74200000043</v>
      </c>
      <c r="AK497" s="160">
        <f>K497-AJ497-AI497-AH497</f>
        <v>-1102136.9979999997</v>
      </c>
      <c r="AL497" s="124">
        <f>-300334.207-494314.524-162491.796-30646.712</f>
        <v>-987787.23899999983</v>
      </c>
      <c r="AM497" s="63">
        <f>BS497-AL497</f>
        <v>-1090955.1250000002</v>
      </c>
      <c r="AN497" s="124">
        <f>-1003789.167-1620262.211-521937.782-96901.773-AM497-AL497</f>
        <v>-1164148.5690000004</v>
      </c>
      <c r="AO497" s="160">
        <f>L497-AN497-AM497-AL497</f>
        <v>-1361779.6259999995</v>
      </c>
      <c r="AP497" s="124">
        <f>-348185.578-607032.071-179503.6-35706.632</f>
        <v>-1170427.8810000001</v>
      </c>
      <c r="AQ497" s="63">
        <f>BT497-AP497</f>
        <v>-1115596.872</v>
      </c>
      <c r="AR497" s="124">
        <f>-1065032.292-1610824.022-554130.862-72854.284-AQ497-AP497</f>
        <v>-1016816.7069999999</v>
      </c>
      <c r="AS497" s="160">
        <f>M497-AR497-AQ497-AP497</f>
        <v>-1132928.9370000008</v>
      </c>
      <c r="AT497" s="124">
        <f>-302692.029-478979.643-180169.404-38759.5</f>
        <v>-1000600.576</v>
      </c>
      <c r="AU497" s="63">
        <f>BU497-AT497</f>
        <v>-915830.69199999969</v>
      </c>
      <c r="AV497" s="124">
        <f>-894273.601-1271818.705-542080.403-75261.593-AU497-AT497</f>
        <v>-867003.03399999987</v>
      </c>
      <c r="AW497" s="160">
        <f t="shared" ref="AW497:AW503" si="1773">N497-AV497-AU497-AT497</f>
        <v>-858350.67000000027</v>
      </c>
      <c r="AX497" s="124">
        <f>-263648.6-448599.183-175302.843-27681.66</f>
        <v>-915232.28600000008</v>
      </c>
      <c r="AY497" s="63">
        <f>BV497-AX497</f>
        <v>-923485.86999999988</v>
      </c>
      <c r="AZ497" s="124">
        <f>-826057.523-1259713.228-546556.783-79339.418-AY497-AX497</f>
        <v>-872948.79600000009</v>
      </c>
      <c r="BA497" s="160">
        <f t="shared" ref="BA497:BA503" si="1774">O497-AZ497-AY497-AX497</f>
        <v>-976350.31300000008</v>
      </c>
      <c r="BB497" s="124">
        <f>-331531.388-474820.164-188859.018-13340.099</f>
        <v>-1008550.669</v>
      </c>
      <c r="BC497" s="63">
        <f t="shared" ref="BC497:BC503" si="1775">BW497-BB497</f>
        <v>-961069.69900000026</v>
      </c>
      <c r="BD497" s="124">
        <f>-940100.729-1332125.689-577276.097-BC497-BB497</f>
        <v>-879882.14699999988</v>
      </c>
      <c r="BE497" s="160">
        <f t="shared" ref="BE497:BE503" si="1776">P497-BD497-BC497-BB497</f>
        <v>-1088950.405</v>
      </c>
      <c r="BF497" s="124">
        <f>-311988.737-478947.523-201333.379</f>
        <v>-992269.63899999997</v>
      </c>
      <c r="BG497" s="142"/>
      <c r="BH497" s="124"/>
      <c r="BI497" s="124"/>
      <c r="BJ497" s="124"/>
      <c r="BK497" s="160"/>
      <c r="BL497" s="124"/>
      <c r="BM497" s="124"/>
      <c r="BN497" s="124">
        <v>-1591942</v>
      </c>
      <c r="BO497" s="124">
        <v>-1610179</v>
      </c>
      <c r="BP497" s="124">
        <f>-494848.644-771792.498-277383.817-118623.453-49487.899+23083.607</f>
        <v>-1689052.7039999999</v>
      </c>
      <c r="BQ497" s="124">
        <f>-507056.529-768931.436-280607.277-52343.043-15765.864</f>
        <v>-1624704.149</v>
      </c>
      <c r="BR497" s="124">
        <f>-382947.425-670709.803-286772.785-57066.169-55879.041</f>
        <v>-1453375.2229999998</v>
      </c>
      <c r="BS497" s="124">
        <f>-619168.97-1054356.405-341054.592-64162.397</f>
        <v>-2078742.3640000001</v>
      </c>
      <c r="BT497" s="124">
        <f>-726526.547-1160957.22-358605.934-39935.052</f>
        <v>-2286024.753</v>
      </c>
      <c r="BU497" s="124">
        <f>-614187.467-894549.032-358015.156-49679.613</f>
        <v>-1916431.2679999997</v>
      </c>
      <c r="BV497" s="124">
        <f>-562867.038-868882.36-352652.487-54316.271</f>
        <v>-1838718.156</v>
      </c>
      <c r="BW497" s="124">
        <f>-646260.871-924192-374224.167-24943.33</f>
        <v>-1969620.3680000002</v>
      </c>
      <c r="BX497" s="124"/>
      <c r="BY497" s="124"/>
      <c r="BZ497" s="124">
        <f>-507056.529-768931.436-280607.277-52343.043-15765.864</f>
        <v>-1624704.149</v>
      </c>
      <c r="CA497" s="124"/>
    </row>
    <row r="498" spans="2:79" ht="13.5" customHeight="1">
      <c r="B498" s="1" t="s">
        <v>522</v>
      </c>
      <c r="C498" s="140">
        <v>-1156438</v>
      </c>
      <c r="D498" s="140">
        <v>-1356805</v>
      </c>
      <c r="E498" s="140">
        <v>-1337251</v>
      </c>
      <c r="F498" s="140">
        <f>-412373.11-424716.968-532341.053-4263.82</f>
        <v>-1373694.9510000001</v>
      </c>
      <c r="G498" s="140">
        <f>-402336.694-423650.26-527490.078-4253.027</f>
        <v>-1357730.0590000001</v>
      </c>
      <c r="H498" s="140">
        <f>-414860.861-434446.539-582193.067-12670.187</f>
        <v>-1444170.6539999999</v>
      </c>
      <c r="I498" s="140">
        <f>-414860.861-434446.539-582193.067-12670.187</f>
        <v>-1444170.6539999999</v>
      </c>
      <c r="J498" s="140">
        <f>-453945.796-472236.69-659655.9-5456.561</f>
        <v>-1591294.9469999999</v>
      </c>
      <c r="K498" s="140">
        <f>-402736.209-407459.157-865744.387-21330.601</f>
        <v>-1697270.3540000001</v>
      </c>
      <c r="L498" s="140">
        <f>-496638.542-525886.755-824384.848-22317.65</f>
        <v>-1869227.7949999999</v>
      </c>
      <c r="M498" s="140">
        <f>-639129.015-593866.563-960067.077-23346.802</f>
        <v>-2216409.4570000004</v>
      </c>
      <c r="N498" s="140">
        <f>-586441.221-500561.704-898011.365-780.225</f>
        <v>-1985794.5150000001</v>
      </c>
      <c r="O498" s="140">
        <f>-663877.743-553291.248-1033367.309+2808.106</f>
        <v>-2247728.1939999997</v>
      </c>
      <c r="P498" s="140">
        <f>-741701.115-612563.364-1141978.905+15001.146</f>
        <v>-2481242.2379999994</v>
      </c>
      <c r="Q498" s="124"/>
      <c r="R498" s="140">
        <f>-89606.953-113525.209-123439.319+294.213</f>
        <v>-326277.26800000004</v>
      </c>
      <c r="S498" s="151">
        <f>BN498-R498</f>
        <v>-322383.73199999996</v>
      </c>
      <c r="T498" s="124">
        <f>-298654.6-315139.267-362720.767+2429.694-S498-R498</f>
        <v>-325423.93999999994</v>
      </c>
      <c r="U498" s="63">
        <f>E498-T498-S498-R498</f>
        <v>-363166.06000000006</v>
      </c>
      <c r="V498" s="124">
        <f>-86156.755-107642.823-128379.795+1307.787</f>
        <v>-320871.58600000001</v>
      </c>
      <c r="W498" s="63">
        <f>BO498-V498</f>
        <v>-339638.41399999999</v>
      </c>
      <c r="X498" s="124">
        <f>-295025.681-320938.749-382840.026-999.949-W498-V498</f>
        <v>-339294.40500000003</v>
      </c>
      <c r="Y498" s="160">
        <f>F498-X498-W498-V498</f>
        <v>-373890.54600000009</v>
      </c>
      <c r="Z498" s="124">
        <f>-85013.314-107233.203-131646.734-1706.823</f>
        <v>-325600.07399999996</v>
      </c>
      <c r="AA498" s="63">
        <f>BP498-Z498</f>
        <v>-349004.21899999998</v>
      </c>
      <c r="AB498" s="124">
        <f>-294033.753-321339.788-416151.699-8503.079-AA498-Z498</f>
        <v>-365424.02600000013</v>
      </c>
      <c r="AC498" s="160">
        <f>H498-AB498-AA498-Z498</f>
        <v>-404142.33499999979</v>
      </c>
      <c r="AD498" s="124">
        <f>-93086.634-115846.04-149274.908-1887.029</f>
        <v>-360094.61099999998</v>
      </c>
      <c r="AE498" s="63">
        <f>BQ498-AD498</f>
        <v>-373634.76900000003</v>
      </c>
      <c r="AF498" s="124">
        <f>-319379.894-345023.107-457970.618-4404.815-AE498-AD498</f>
        <v>-393049.05399999983</v>
      </c>
      <c r="AG498" s="160">
        <f>J498-AF498-AE498-AD498</f>
        <v>-464516.51300000009</v>
      </c>
      <c r="AH498" s="124">
        <f>-87516.592-116099.622-194066.874-1897.132</f>
        <v>-399580.22</v>
      </c>
      <c r="AI498" s="63">
        <f>BR498-AH498</f>
        <v>-270137.50900000008</v>
      </c>
      <c r="AJ498" s="124">
        <f>-255425.095-268970.877-626365.16-14054.231-AI498-AH498</f>
        <v>-495097.63399999985</v>
      </c>
      <c r="AK498" s="160">
        <f>K498-AJ498-AI498-AH498</f>
        <v>-532454.99100000015</v>
      </c>
      <c r="AL498" s="124">
        <f>-90817.499-122357.469-192717.145-2847.295</f>
        <v>-408739.408</v>
      </c>
      <c r="AM498" s="63">
        <f>BS498-AL498</f>
        <v>-410504.7460000001</v>
      </c>
      <c r="AN498" s="124">
        <f>-336245.334-372623.273-583294.219-11206.188-AM498-AL498</f>
        <v>-484124.85999999993</v>
      </c>
      <c r="AO498" s="160">
        <f>L498-AN498-AM498-AL498</f>
        <v>-565858.78099999996</v>
      </c>
      <c r="AP498" s="124">
        <f>-121357.303-151925.304-213345.633-5981.683</f>
        <v>-492609.92300000001</v>
      </c>
      <c r="AQ498" s="63">
        <f>BT498-AP498</f>
        <v>-515507.63800000009</v>
      </c>
      <c r="AR498" s="124">
        <f>-449951.635-441275.662-683529.148-9585.009-AQ498-AP498</f>
        <v>-576223.89300000016</v>
      </c>
      <c r="AS498" s="160">
        <f>M498-AR498-AQ498-AP498</f>
        <v>-632068.00300000026</v>
      </c>
      <c r="AT498" s="124">
        <f>-124462.231-136787.171-208850.806-3268.51</f>
        <v>-473368.71799999999</v>
      </c>
      <c r="AU498" s="63">
        <f>BU498-AT498</f>
        <v>-464667.00599999994</v>
      </c>
      <c r="AV498" s="124">
        <f>-424455.642-374249.425-630460.408-10056.377-AU498-AT498</f>
        <v>-501186.12800000026</v>
      </c>
      <c r="AW498" s="160">
        <f t="shared" si="1773"/>
        <v>-546572.66299999994</v>
      </c>
      <c r="AX498" s="124">
        <f>-137082.65-139122.759-242278.747+775.038</f>
        <v>-517709.11799999996</v>
      </c>
      <c r="AY498" s="63">
        <f>BV498-AX498</f>
        <v>-517803.51099999988</v>
      </c>
      <c r="AZ498" s="124">
        <f>-458416.352-405898.675-726395.348+4071.018-AY498-AX498</f>
        <v>-551126.72800000012</v>
      </c>
      <c r="BA498" s="160">
        <f t="shared" si="1774"/>
        <v>-661088.83699999959</v>
      </c>
      <c r="BB498" s="124">
        <f>-140184.601-149271.222-262836.435+6800.6</f>
        <v>-545491.65799999994</v>
      </c>
      <c r="BC498" s="63">
        <f t="shared" si="1775"/>
        <v>-570572.58500000008</v>
      </c>
      <c r="BD498" s="124">
        <f>-497561.004-445139.51-787933.054+13838.534-BC498-BB498</f>
        <v>-600730.79100000008</v>
      </c>
      <c r="BE498" s="160">
        <f t="shared" si="1776"/>
        <v>-764447.20399999933</v>
      </c>
      <c r="BF498" s="124">
        <f>-165886.39-164854.025-289138.855+5968.296</f>
        <v>-613910.97400000005</v>
      </c>
      <c r="BG498" s="142"/>
      <c r="BH498" s="124"/>
      <c r="BI498" s="124"/>
      <c r="BJ498" s="124"/>
      <c r="BK498" s="160"/>
      <c r="BL498" s="124"/>
      <c r="BM498" s="124"/>
      <c r="BN498" s="124">
        <v>-648661</v>
      </c>
      <c r="BO498" s="124">
        <v>-660510</v>
      </c>
      <c r="BP498" s="124">
        <f>-191472.466-208070.131-270222.461-4839.235</f>
        <v>-674604.29299999995</v>
      </c>
      <c r="BQ498" s="124">
        <f>-204130.436-226199.29-299153.995-4245.659</f>
        <v>-733729.38</v>
      </c>
      <c r="BR498" s="124">
        <f>-121536.103-134247.37-405042.657-8891.599</f>
        <v>-669717.72900000005</v>
      </c>
      <c r="BS498" s="124">
        <f>-199690.362-234139.102-377899.724-7514.966</f>
        <v>-819244.1540000001</v>
      </c>
      <c r="BT498" s="124">
        <f>-273562.977-289154.329-436922.021-8478.234</f>
        <v>-1008117.5610000001</v>
      </c>
      <c r="BU498" s="124">
        <f>-271620.977-249704.417-413402.25-3308.08</f>
        <v>-938035.72399999993</v>
      </c>
      <c r="BV498" s="124">
        <f>-291218.981-267349.158-480060.518+3116.028</f>
        <v>-1035512.6289999998</v>
      </c>
      <c r="BW498" s="124">
        <f>-314786.665-293191.896-518532.242+10446.56</f>
        <v>-1116064.243</v>
      </c>
      <c r="BX498" s="124"/>
      <c r="BY498" s="124"/>
      <c r="BZ498" s="124">
        <f>-204130.436-226199.29-299153.995-4245.659</f>
        <v>-733729.38</v>
      </c>
      <c r="CA498" s="124"/>
    </row>
    <row r="499" spans="2:79" ht="13.5" customHeight="1">
      <c r="B499" s="1" t="s">
        <v>523</v>
      </c>
      <c r="C499" s="140">
        <v>-303836</v>
      </c>
      <c r="D499" s="140">
        <v>-369877</v>
      </c>
      <c r="E499" s="140">
        <v>-284512</v>
      </c>
      <c r="F499" s="140">
        <f>-250637.951-43594.847+42.268</f>
        <v>-294190.53000000003</v>
      </c>
      <c r="G499" s="140">
        <f>-250637.951-43594.847+42.268</f>
        <v>-294190.53000000003</v>
      </c>
      <c r="H499" s="140">
        <f>-198025.073-62614.711+94.044</f>
        <v>-260545.74000000002</v>
      </c>
      <c r="I499" s="140">
        <f>-198025.073-62614.711+94.044</f>
        <v>-260545.74000000002</v>
      </c>
      <c r="J499" s="140">
        <f>-177530.206-34907.636+98.492</f>
        <v>-212339.35</v>
      </c>
      <c r="K499" s="140">
        <f>-113438.353-8432.304+90.718</f>
        <v>-121779.93900000001</v>
      </c>
      <c r="L499" s="140">
        <f>-103516.608-5170.714+133.157</f>
        <v>-108554.16499999998</v>
      </c>
      <c r="M499" s="140">
        <f>-71562.693+152.135</f>
        <v>-71410.558000000005</v>
      </c>
      <c r="N499" s="140">
        <v>0</v>
      </c>
      <c r="O499" s="140">
        <v>0</v>
      </c>
      <c r="P499" s="140">
        <v>0</v>
      </c>
      <c r="Q499" s="124"/>
      <c r="R499" s="140">
        <f>-52919.614-11954.682+95.408</f>
        <v>-64778.887999999999</v>
      </c>
      <c r="S499" s="151">
        <f>BN499-R499</f>
        <v>-73037.111999999994</v>
      </c>
      <c r="T499" s="124">
        <f>-168593.898-37996.842-173.318-S499-R499</f>
        <v>-68948.05799999999</v>
      </c>
      <c r="U499" s="63">
        <f>E499-T499-S499-R499</f>
        <v>-77747.94200000001</v>
      </c>
      <c r="V499" s="124">
        <f>-54559.415-10274.162+17.919</f>
        <v>-64815.658000000003</v>
      </c>
      <c r="W499" s="63">
        <f>BO499-V499</f>
        <v>-75077.342000000004</v>
      </c>
      <c r="X499" s="124">
        <f>-180267.757-30167.519+35.268-W499-V499</f>
        <v>-70507.008000000002</v>
      </c>
      <c r="Y499" s="160">
        <f>F499-X499-W499-V499</f>
        <v>-83790.522000000026</v>
      </c>
      <c r="Z499" s="124">
        <f>-54222.062-13559.935+5.708</f>
        <v>-67776.289000000004</v>
      </c>
      <c r="AA499" s="63">
        <f>BP499-Z499</f>
        <v>-68882.893999999986</v>
      </c>
      <c r="AB499" s="124">
        <f>-148988.069-45121.972+14.663-AA499-Z499</f>
        <v>-57436.195000000007</v>
      </c>
      <c r="AC499" s="160">
        <f>H499-AB499-AA499-Z499</f>
        <v>-66450.362000000008</v>
      </c>
      <c r="AD499" s="124">
        <f>-38506.852-12016.155+22.258</f>
        <v>-50500.748999999996</v>
      </c>
      <c r="AE499" s="63">
        <f>BQ499-AD499</f>
        <v>-59408.634999999995</v>
      </c>
      <c r="AF499" s="124">
        <f>-114141.05-26888.756+66.224-AE499-AD499</f>
        <v>-31054.198000000033</v>
      </c>
      <c r="AG499" s="160">
        <f>J499-AF499-AE499-AD499</f>
        <v>-71375.767999999982</v>
      </c>
      <c r="AH499" s="124">
        <f>-36559.822-3418.412+27.715</f>
        <v>-39950.519</v>
      </c>
      <c r="AI499" s="63">
        <f>BR499-AH499</f>
        <v>-22335.742000000006</v>
      </c>
      <c r="AJ499" s="124">
        <f>-86610.037-8408.577+74.331-AI499-AH499</f>
        <v>-32658.021999999997</v>
      </c>
      <c r="AK499" s="160">
        <f>K499-AJ499-AI499-AH499</f>
        <v>-26835.656000000017</v>
      </c>
      <c r="AL499" s="124">
        <f>-27796.197-1297.745+23.592</f>
        <v>-29070.35</v>
      </c>
      <c r="AM499" s="63">
        <f>BS499-AL499</f>
        <v>-25677.274000000005</v>
      </c>
      <c r="AN499" s="124">
        <f>-76042.901-3467.823+89.391-AM499-AL499</f>
        <v>-24673.708999999995</v>
      </c>
      <c r="AO499" s="160">
        <f>L499-AN499-AM499-AL499</f>
        <v>-29132.831999999973</v>
      </c>
      <c r="AP499" s="124">
        <f>-14593.255+32.844</f>
        <v>-14560.411</v>
      </c>
      <c r="AQ499" s="63">
        <f>BT499-AP499</f>
        <v>-22846.852999999996</v>
      </c>
      <c r="AR499" s="124">
        <f>-61658.477+130.894-AQ499-AP499</f>
        <v>-24120.319000000003</v>
      </c>
      <c r="AS499" s="160">
        <f>M499-AR499-AQ499-AP499</f>
        <v>-9882.9750000000058</v>
      </c>
      <c r="AT499" s="124">
        <f>-15902.732+36.181</f>
        <v>-15866.550999999999</v>
      </c>
      <c r="AU499" s="63">
        <f>BU499-AT499</f>
        <v>-17825.544999999998</v>
      </c>
      <c r="AV499" s="124">
        <f>-56654.885+120.526-AU499-AT499</f>
        <v>-22842.263000000006</v>
      </c>
      <c r="AW499" s="160">
        <f t="shared" si="1773"/>
        <v>56534.359000000004</v>
      </c>
      <c r="AX499" s="124">
        <f>-17305.158+29.63</f>
        <v>-17275.527999999998</v>
      </c>
      <c r="AY499" s="63">
        <f>BV499-AX499</f>
        <v>17275.527999999998</v>
      </c>
      <c r="AZ499" s="124">
        <v>0</v>
      </c>
      <c r="BA499" s="160">
        <f t="shared" si="1774"/>
        <v>0</v>
      </c>
      <c r="BB499" s="124"/>
      <c r="BC499" s="63">
        <f t="shared" si="1775"/>
        <v>0</v>
      </c>
      <c r="BD499" s="124">
        <v>0</v>
      </c>
      <c r="BE499" s="160">
        <f t="shared" si="1776"/>
        <v>0</v>
      </c>
      <c r="BF499" s="124">
        <v>0</v>
      </c>
      <c r="BG499" s="142"/>
      <c r="BH499" s="124"/>
      <c r="BI499" s="124"/>
      <c r="BJ499" s="124"/>
      <c r="BK499" s="160"/>
      <c r="BL499" s="124"/>
      <c r="BM499" s="124"/>
      <c r="BN499" s="124">
        <v>-137816</v>
      </c>
      <c r="BO499" s="124">
        <v>-139893</v>
      </c>
      <c r="BP499" s="124">
        <f>-107458.382-29211.512+10.711</f>
        <v>-136659.18299999999</v>
      </c>
      <c r="BQ499" s="124">
        <f>-85810.783-24148.345+49.744</f>
        <v>-109909.38399999999</v>
      </c>
      <c r="BR499" s="124">
        <f>-55662.019-6675.876+51.634</f>
        <v>-62286.261000000006</v>
      </c>
      <c r="BS499" s="124">
        <f>-52501.513-2297.65+51.539</f>
        <v>-54747.624000000003</v>
      </c>
      <c r="BT499" s="124">
        <f>-37489.261+81.997</f>
        <v>-37407.263999999996</v>
      </c>
      <c r="BU499" s="124">
        <f>-33767.022+74.926</f>
        <v>-33692.095999999998</v>
      </c>
      <c r="BV499" s="124">
        <v>0</v>
      </c>
      <c r="BW499" s="124">
        <v>0</v>
      </c>
      <c r="BX499" s="124"/>
      <c r="BY499" s="124"/>
      <c r="BZ499" s="124">
        <f>-85810.783-24148.345+49.744</f>
        <v>-109909.38399999999</v>
      </c>
      <c r="CA499" s="124"/>
    </row>
    <row r="500" spans="2:79" ht="13.5" customHeight="1">
      <c r="B500" s="1" t="s">
        <v>524</v>
      </c>
      <c r="C500" s="140">
        <v>-272248</v>
      </c>
      <c r="D500" s="140">
        <v>-250396</v>
      </c>
      <c r="E500" s="140">
        <v>-265853</v>
      </c>
      <c r="F500" s="140">
        <f>-269645.484+51.232</f>
        <v>-269594.25199999998</v>
      </c>
      <c r="G500" s="140">
        <f>-249771.309+51.232</f>
        <v>-249720.07700000002</v>
      </c>
      <c r="H500" s="140">
        <f>-274808.597+657.633</f>
        <v>-274150.96400000004</v>
      </c>
      <c r="I500" s="140">
        <f>-274808.597+657.633</f>
        <v>-274150.96400000004</v>
      </c>
      <c r="J500" s="140">
        <f>-306703.513+440.872</f>
        <v>-306262.641</v>
      </c>
      <c r="K500" s="140">
        <f>-302318.762-2722.57</f>
        <v>-305041.33199999999</v>
      </c>
      <c r="L500" s="140">
        <f>-313491.632-3269.578</f>
        <v>-316761.20999999996</v>
      </c>
      <c r="M500" s="140">
        <f>-356888.304-6727.229</f>
        <v>-363615.533</v>
      </c>
      <c r="N500" s="140">
        <f>-312134.055-11757.487</f>
        <v>-323891.54200000002</v>
      </c>
      <c r="O500" s="140">
        <f>-362260.335-50989.479</f>
        <v>-413249.81400000001</v>
      </c>
      <c r="P500" s="140">
        <f>-403304.378-69915.76</f>
        <v>-473220.13800000004</v>
      </c>
      <c r="Q500" s="124"/>
      <c r="R500" s="140">
        <f>-51043.22-542.738</f>
        <v>-51585.957999999999</v>
      </c>
      <c r="S500" s="151">
        <f>BN500-R500</f>
        <v>-63629.042000000001</v>
      </c>
      <c r="T500" s="124">
        <f>-167210.38-1924.197-S500-R500</f>
        <v>-53919.57699999999</v>
      </c>
      <c r="U500" s="63">
        <f>E500-T500-S500-R500</f>
        <v>-96718.422999999995</v>
      </c>
      <c r="V500" s="124">
        <f>-52195.622-270.661</f>
        <v>-52466.283000000003</v>
      </c>
      <c r="W500" s="63">
        <f>BO500-V500</f>
        <v>-64216.716999999997</v>
      </c>
      <c r="X500" s="124">
        <f>-172383.094-345.609-W500-V500</f>
        <v>-56045.703000000001</v>
      </c>
      <c r="Y500" s="160">
        <f>F500-X500-W500-V500</f>
        <v>-96865.54899999997</v>
      </c>
      <c r="Z500" s="124">
        <f>-48520.633-62.508</f>
        <v>-48583.141000000003</v>
      </c>
      <c r="AA500" s="63">
        <f>BP500-Z500</f>
        <v>-64028.452000000005</v>
      </c>
      <c r="AB500" s="124">
        <f>-172500.186+117.589-AA500-Z500</f>
        <v>-59771.003999999972</v>
      </c>
      <c r="AC500" s="160">
        <f>H500-AB500-AA500-Z500</f>
        <v>-101768.36700000009</v>
      </c>
      <c r="AD500" s="124">
        <f>-56386.163-384.706</f>
        <v>-56770.868999999999</v>
      </c>
      <c r="AE500" s="63">
        <f>BQ500-AD500</f>
        <v>-66742</v>
      </c>
      <c r="AF500" s="124">
        <f>-186927.286-101.711-AE500-AD500</f>
        <v>-63516.128000000004</v>
      </c>
      <c r="AG500" s="160">
        <f>J500-AF500-AE500-AD500</f>
        <v>-119233.644</v>
      </c>
      <c r="AH500" s="124">
        <f>-57646.752-2.55</f>
        <v>-57649.302000000003</v>
      </c>
      <c r="AI500" s="63">
        <f>BR500-AH500</f>
        <v>-56556.353999999999</v>
      </c>
      <c r="AJ500" s="124">
        <f>-189361.077-1778.447-AI500-AH500</f>
        <v>-76933.867999999988</v>
      </c>
      <c r="AK500" s="160">
        <f>K500-AJ500-AI500-AH500</f>
        <v>-113901.80800000002</v>
      </c>
      <c r="AL500" s="124">
        <f>-57781.234-1681.659</f>
        <v>-59462.892999999996</v>
      </c>
      <c r="AM500" s="63">
        <f>BS500-AL500</f>
        <v>-56622.123000000007</v>
      </c>
      <c r="AN500" s="124">
        <f>-183957.037-2819.18-AM500-AL500</f>
        <v>-70691.201000000001</v>
      </c>
      <c r="AO500" s="160">
        <f>L500-AN500-AM500-AL500</f>
        <v>-129984.99299999994</v>
      </c>
      <c r="AP500" s="124">
        <f>-78053.232-1542.981</f>
        <v>-79596.213000000003</v>
      </c>
      <c r="AQ500" s="63">
        <f>BT500-AP500</f>
        <v>-93220.825999999986</v>
      </c>
      <c r="AR500" s="124">
        <f>-248339.401-14981.586-AQ500-AP500</f>
        <v>-90503.948000000019</v>
      </c>
      <c r="AS500" s="160">
        <f>M500-AR500-AQ500-AP500</f>
        <v>-100294.54599999996</v>
      </c>
      <c r="AT500" s="124">
        <f>-57105.338-2033.143</f>
        <v>-59138.481</v>
      </c>
      <c r="AU500" s="63">
        <f>BU500-AT500</f>
        <v>-63433.34</v>
      </c>
      <c r="AV500" s="124">
        <f>-191408.169-816.121-AU500-AT500</f>
        <v>-69652.469000000012</v>
      </c>
      <c r="AW500" s="160">
        <f t="shared" si="1773"/>
        <v>-131667.25200000001</v>
      </c>
      <c r="AX500" s="124">
        <f>-75207.289-11631.15</f>
        <v>-86838.438999999998</v>
      </c>
      <c r="AY500" s="63">
        <f>BV500-AX500</f>
        <v>-90524.153000000006</v>
      </c>
      <c r="AZ500" s="124">
        <f>-233069.137-33508.834-AY500-AX500</f>
        <v>-89215.37900000003</v>
      </c>
      <c r="BA500" s="160">
        <f t="shared" si="1774"/>
        <v>-146671.84299999999</v>
      </c>
      <c r="BB500" s="124">
        <f>-76727.85-16398.966</f>
        <v>-93126.816000000006</v>
      </c>
      <c r="BC500" s="63">
        <f t="shared" si="1775"/>
        <v>-101438.03799999999</v>
      </c>
      <c r="BD500" s="124">
        <f>-252464.116-49111.759-BC500-BB500</f>
        <v>-107011.02099999999</v>
      </c>
      <c r="BE500" s="160">
        <f t="shared" si="1776"/>
        <v>-171644.26300000004</v>
      </c>
      <c r="BF500" s="124">
        <f>-86413.474-19348.077</f>
        <v>-105761.55100000001</v>
      </c>
      <c r="BG500" s="142"/>
      <c r="BH500" s="124"/>
      <c r="BI500" s="124"/>
      <c r="BJ500" s="124"/>
      <c r="BK500" s="160"/>
      <c r="BL500" s="124"/>
      <c r="BM500" s="124"/>
      <c r="BN500" s="124">
        <v>-115215</v>
      </c>
      <c r="BO500" s="124">
        <v>-116683</v>
      </c>
      <c r="BP500" s="124">
        <f>-112854.1+242.507</f>
        <v>-112611.59300000001</v>
      </c>
      <c r="BQ500" s="124">
        <f>-123577.299+64.43</f>
        <v>-123512.86900000001</v>
      </c>
      <c r="BR500" s="124">
        <f>-113432.471-773.185</f>
        <v>-114205.656</v>
      </c>
      <c r="BS500" s="124">
        <f>-114743.822-1341.194</f>
        <v>-116085.016</v>
      </c>
      <c r="BT500" s="124">
        <f>-167867.061-4949.978</f>
        <v>-172817.03899999999</v>
      </c>
      <c r="BU500" s="124">
        <f>-118459.129-4112.692</f>
        <v>-122571.821</v>
      </c>
      <c r="BV500" s="124">
        <f>-155079.915-22282.677</f>
        <v>-177362.592</v>
      </c>
      <c r="BW500" s="124">
        <f>-162788.193-31776.661</f>
        <v>-194564.85399999999</v>
      </c>
      <c r="BX500" s="124"/>
      <c r="BY500" s="124"/>
      <c r="BZ500" s="124">
        <f>-123577.299+64.43</f>
        <v>-123512.86900000001</v>
      </c>
      <c r="CA500" s="124"/>
    </row>
    <row r="501" spans="2:79" ht="13.5" customHeight="1">
      <c r="B501" s="1" t="s">
        <v>525</v>
      </c>
      <c r="C501" s="140">
        <v>-137188</v>
      </c>
      <c r="D501" s="140">
        <v>-111735</v>
      </c>
      <c r="E501" s="140">
        <v>-112791</v>
      </c>
      <c r="F501" s="140">
        <v>-126966.83100000001</v>
      </c>
      <c r="G501" s="140">
        <v>-126966.83100000001</v>
      </c>
      <c r="H501" s="140">
        <v>-119461.798</v>
      </c>
      <c r="I501" s="140">
        <v>-119461.798</v>
      </c>
      <c r="J501" s="140">
        <v>-138277.978</v>
      </c>
      <c r="K501" s="140">
        <v>-140548.10200000001</v>
      </c>
      <c r="L501" s="140">
        <v>-148646.516</v>
      </c>
      <c r="M501" s="140">
        <v>-177517.348</v>
      </c>
      <c r="N501" s="140">
        <f>-166454.589</f>
        <v>-166454.58900000001</v>
      </c>
      <c r="O501" s="140">
        <f>-174957.467</f>
        <v>-174957.467</v>
      </c>
      <c r="P501" s="140">
        <v>-166961.9</v>
      </c>
      <c r="Q501" s="124"/>
      <c r="R501" s="140">
        <f>-24090.088</f>
        <v>-24090.088</v>
      </c>
      <c r="S501" s="151">
        <f>BN501-R501</f>
        <v>-27646.912</v>
      </c>
      <c r="T501" s="124">
        <f>-81066.372-S501-R501</f>
        <v>-29329.372000000007</v>
      </c>
      <c r="U501" s="63">
        <f>E501-T501-S501-R501</f>
        <v>-31724.628000000001</v>
      </c>
      <c r="V501" s="124">
        <f>-28378.681</f>
        <v>-28378.681</v>
      </c>
      <c r="W501" s="63">
        <f>BO501-V501</f>
        <v>-30645.319</v>
      </c>
      <c r="X501" s="124">
        <f>-93401.944-W501-V501</f>
        <v>-34377.944000000003</v>
      </c>
      <c r="Y501" s="160">
        <f>F501-X501-W501-V501</f>
        <v>-33564.887000000002</v>
      </c>
      <c r="Z501" s="124">
        <v>-29619.873</v>
      </c>
      <c r="AA501" s="63">
        <f>BP501-Z501</f>
        <v>-26671.309000000001</v>
      </c>
      <c r="AB501" s="124">
        <f>-85525.402-AA501-Z501</f>
        <v>-29234.22</v>
      </c>
      <c r="AC501" s="160">
        <f>H501-AB501-AA501-Z501</f>
        <v>-33936.395999999993</v>
      </c>
      <c r="AD501" s="124">
        <v>-30874.591</v>
      </c>
      <c r="AE501" s="63">
        <f>BQ501-AD501</f>
        <v>-31204.233</v>
      </c>
      <c r="AF501" s="124">
        <f>-96166.477-AE501-AD501</f>
        <v>-34087.652999999998</v>
      </c>
      <c r="AG501" s="160">
        <f>J501-AF501-AE501-AD501</f>
        <v>-42111.501000000004</v>
      </c>
      <c r="AH501" s="124">
        <v>-31514.55</v>
      </c>
      <c r="AI501" s="63">
        <f>BR501-AH501</f>
        <v>-33840.312999999995</v>
      </c>
      <c r="AJ501" s="124">
        <f>-103494.668-AI501-AH501</f>
        <v>-38139.805000000008</v>
      </c>
      <c r="AK501" s="160">
        <f>K501-AJ501-AI501-AH501</f>
        <v>-37053.434000000008</v>
      </c>
      <c r="AL501" s="124">
        <v>-30473.754000000001</v>
      </c>
      <c r="AM501" s="63">
        <f>BS501-AL501</f>
        <v>-35456.486999999994</v>
      </c>
      <c r="AN501" s="124">
        <f>-109307.685-AM501-AL501</f>
        <v>-43377.444000000003</v>
      </c>
      <c r="AO501" s="160">
        <f>L501-AN501-AM501-AL501</f>
        <v>-39338.831000000006</v>
      </c>
      <c r="AP501" s="124">
        <f>-40473.09+0</f>
        <v>-40473.089999999997</v>
      </c>
      <c r="AQ501" s="63">
        <f>BT501-AP501</f>
        <v>-46033.975000000006</v>
      </c>
      <c r="AR501" s="124">
        <f>-133740.643-AQ501-AP501</f>
        <v>-47233.578000000009</v>
      </c>
      <c r="AS501" s="160">
        <f>M501-AR501-AQ501-AP501</f>
        <v>-43776.704999999987</v>
      </c>
      <c r="AT501" s="124">
        <f>-37026.909+0</f>
        <v>-37026.909</v>
      </c>
      <c r="AU501" s="63">
        <f>BU501-AT501</f>
        <v>-37130.726999999999</v>
      </c>
      <c r="AV501" s="124">
        <f>-117837.922-AU501-AT501</f>
        <v>-43680.286000000007</v>
      </c>
      <c r="AW501" s="160">
        <f t="shared" si="1773"/>
        <v>-48616.667000000001</v>
      </c>
      <c r="AX501" s="124">
        <f>-45265.422+0</f>
        <v>-45265.421999999999</v>
      </c>
      <c r="AY501" s="63">
        <f>BV501-AX501</f>
        <v>-42963.669000000002</v>
      </c>
      <c r="AZ501" s="124">
        <f>-130371.364-AY501-AX501</f>
        <v>-42142.273000000008</v>
      </c>
      <c r="BA501" s="160">
        <f t="shared" si="1774"/>
        <v>-44586.102999999996</v>
      </c>
      <c r="BB501" s="124">
        <v>-39711.832000000002</v>
      </c>
      <c r="BC501" s="63">
        <f t="shared" si="1775"/>
        <v>-39197.175999999999</v>
      </c>
      <c r="BD501" s="124">
        <f>-121926.438-BC501-BB501</f>
        <v>-43017.429999999986</v>
      </c>
      <c r="BE501" s="160">
        <f t="shared" si="1776"/>
        <v>-45035.461999999992</v>
      </c>
      <c r="BF501" s="124">
        <v>-36533.692000000003</v>
      </c>
      <c r="BG501" s="142"/>
      <c r="BH501" s="124"/>
      <c r="BI501" s="124"/>
      <c r="BJ501" s="124"/>
      <c r="BK501" s="160"/>
      <c r="BL501" s="124"/>
      <c r="BM501" s="124"/>
      <c r="BN501" s="124">
        <v>-51737</v>
      </c>
      <c r="BO501" s="124">
        <v>-59024</v>
      </c>
      <c r="BP501" s="124">
        <v>-56291.182000000001</v>
      </c>
      <c r="BQ501" s="124">
        <v>-62078.824000000001</v>
      </c>
      <c r="BR501" s="124">
        <f>-65354.863</f>
        <v>-65354.862999999998</v>
      </c>
      <c r="BS501" s="124">
        <f>-65930.241</f>
        <v>-65930.240999999995</v>
      </c>
      <c r="BT501" s="124">
        <v>-86507.065000000002</v>
      </c>
      <c r="BU501" s="124">
        <v>-74157.635999999999</v>
      </c>
      <c r="BV501" s="124">
        <v>-88229.091</v>
      </c>
      <c r="BW501" s="124">
        <v>-78909.008000000002</v>
      </c>
      <c r="BX501" s="124"/>
      <c r="BY501" s="124"/>
      <c r="BZ501" s="124">
        <v>-62078.824000000001</v>
      </c>
      <c r="CA501" s="124"/>
    </row>
    <row r="502" spans="2:79" ht="13.5" customHeight="1">
      <c r="B502" s="1" t="s">
        <v>526</v>
      </c>
      <c r="C502" s="140"/>
      <c r="D502" s="140"/>
      <c r="E502" s="140"/>
      <c r="F502" s="140"/>
      <c r="G502" s="140"/>
      <c r="H502" s="140"/>
      <c r="I502" s="140"/>
      <c r="J502" s="140"/>
      <c r="K502" s="140"/>
      <c r="L502" s="140"/>
      <c r="M502" s="140"/>
      <c r="N502" s="140">
        <f>-57427.14</f>
        <v>-57427.14</v>
      </c>
      <c r="O502" s="140">
        <v>-60789.705999999998</v>
      </c>
      <c r="P502" s="140">
        <v>-39055.588000000003</v>
      </c>
      <c r="Q502" s="124"/>
      <c r="R502" s="140"/>
      <c r="S502" s="151"/>
      <c r="T502" s="124"/>
      <c r="U502" s="63"/>
      <c r="V502" s="124"/>
      <c r="W502" s="63"/>
      <c r="X502" s="124"/>
      <c r="Y502" s="160"/>
      <c r="Z502" s="124"/>
      <c r="AA502" s="63"/>
      <c r="AB502" s="124"/>
      <c r="AC502" s="160"/>
      <c r="AD502" s="124"/>
      <c r="AE502" s="63"/>
      <c r="AF502" s="124"/>
      <c r="AG502" s="160"/>
      <c r="AH502" s="124"/>
      <c r="AI502" s="63"/>
      <c r="AJ502" s="124"/>
      <c r="AK502" s="160"/>
      <c r="AL502" s="124"/>
      <c r="AM502" s="63"/>
      <c r="AN502" s="124"/>
      <c r="AO502" s="160"/>
      <c r="AP502" s="124"/>
      <c r="AQ502" s="63"/>
      <c r="AR502" s="124"/>
      <c r="AS502" s="160"/>
      <c r="AT502" s="124"/>
      <c r="AU502" s="63"/>
      <c r="AV502" s="124"/>
      <c r="AW502" s="160">
        <f t="shared" si="1773"/>
        <v>-57427.14</v>
      </c>
      <c r="AX502" s="124"/>
      <c r="AY502" s="63"/>
      <c r="AZ502" s="124"/>
      <c r="BA502" s="160">
        <f t="shared" si="1774"/>
        <v>-60789.705999999998</v>
      </c>
      <c r="BB502" s="124"/>
      <c r="BC502" s="63">
        <f t="shared" si="1775"/>
        <v>0</v>
      </c>
      <c r="BD502" s="124">
        <f>-33207.529-BC502-BB502</f>
        <v>-33207.529000000002</v>
      </c>
      <c r="BE502" s="160">
        <f t="shared" si="1776"/>
        <v>-5848.0590000000011</v>
      </c>
      <c r="BF502" s="124">
        <v>-10688.141</v>
      </c>
      <c r="BG502" s="142"/>
      <c r="BH502" s="124"/>
      <c r="BI502" s="124"/>
      <c r="BJ502" s="124"/>
      <c r="BK502" s="160"/>
      <c r="BL502" s="124"/>
      <c r="BM502" s="124"/>
      <c r="BN502" s="124"/>
      <c r="BO502" s="124"/>
      <c r="BP502" s="124"/>
      <c r="BQ502" s="124"/>
      <c r="BR502" s="124"/>
      <c r="BS502" s="124"/>
      <c r="BT502" s="124"/>
      <c r="BU502" s="124"/>
      <c r="BV502" s="124"/>
      <c r="BW502" s="124"/>
      <c r="BX502" s="124"/>
      <c r="BY502" s="124"/>
      <c r="BZ502" s="124"/>
      <c r="CA502" s="124"/>
    </row>
    <row r="503" spans="2:79" ht="13.5" customHeight="1">
      <c r="B503" s="1" t="s">
        <v>530</v>
      </c>
      <c r="C503" s="140"/>
      <c r="D503" s="140"/>
      <c r="E503" s="140"/>
      <c r="F503" s="140"/>
      <c r="G503" s="140"/>
      <c r="H503" s="140"/>
      <c r="I503" s="140"/>
      <c r="J503" s="140"/>
      <c r="K503" s="140"/>
      <c r="L503" s="140"/>
      <c r="M503" s="140"/>
      <c r="N503" s="140">
        <f>-248214.386</f>
        <v>-248214.386</v>
      </c>
      <c r="O503" s="140">
        <f>-260002.662</f>
        <v>-260002.66200000001</v>
      </c>
      <c r="P503" s="140">
        <v>-271695.84399999998</v>
      </c>
      <c r="Q503" s="124"/>
      <c r="R503" s="140"/>
      <c r="S503" s="151"/>
      <c r="T503" s="124"/>
      <c r="U503" s="63"/>
      <c r="V503" s="124"/>
      <c r="W503" s="63"/>
      <c r="X503" s="124"/>
      <c r="Y503" s="160"/>
      <c r="Z503" s="124"/>
      <c r="AA503" s="63"/>
      <c r="AB503" s="124"/>
      <c r="AC503" s="160"/>
      <c r="AD503" s="124"/>
      <c r="AE503" s="63"/>
      <c r="AF503" s="124"/>
      <c r="AG503" s="160"/>
      <c r="AH503" s="124"/>
      <c r="AI503" s="63"/>
      <c r="AJ503" s="124"/>
      <c r="AK503" s="160"/>
      <c r="AL503" s="124">
        <v>-18667.669999999998</v>
      </c>
      <c r="AM503" s="63">
        <f>BS503-AL503</f>
        <v>-34157.016000000003</v>
      </c>
      <c r="AN503" s="124">
        <f>-58419.795-AM503-AL503</f>
        <v>-5595.1089999999967</v>
      </c>
      <c r="AO503" s="160">
        <f>L503-AN503-AM503-AL503</f>
        <v>58419.794999999998</v>
      </c>
      <c r="AP503" s="124">
        <v>1066.6969999999999</v>
      </c>
      <c r="AQ503" s="63">
        <f>BT503-AP503</f>
        <v>-6257.0540000000001</v>
      </c>
      <c r="AR503" s="124">
        <f>12905.733-AQ503-AP503</f>
        <v>18096.09</v>
      </c>
      <c r="AS503" s="160">
        <f>M503-AR503-AQ503-AP503</f>
        <v>-12905.733</v>
      </c>
      <c r="AT503" s="124">
        <v>-28200.511999999999</v>
      </c>
      <c r="AU503" s="63">
        <f>BU503-AT503</f>
        <v>-20579.914000000001</v>
      </c>
      <c r="AV503" s="124">
        <f>-67378.811-AU503-AT503</f>
        <v>-18598.384999999998</v>
      </c>
      <c r="AW503" s="160">
        <f t="shared" si="1773"/>
        <v>-180835.57500000001</v>
      </c>
      <c r="AX503" s="124">
        <v>-38501.894</v>
      </c>
      <c r="AY503" s="63">
        <f>BV503-AX503</f>
        <v>-64427.909</v>
      </c>
      <c r="AZ503" s="124">
        <f>-140502.774-AY503-AX503</f>
        <v>-37572.971000000005</v>
      </c>
      <c r="BA503" s="160">
        <f t="shared" si="1774"/>
        <v>-119499.88800000001</v>
      </c>
      <c r="BB503" s="124">
        <v>-50132.063999999998</v>
      </c>
      <c r="BC503" s="63">
        <f t="shared" si="1775"/>
        <v>-77088.09</v>
      </c>
      <c r="BD503" s="124">
        <f>-185700.613-BC503-BB503</f>
        <v>-58480.459000000017</v>
      </c>
      <c r="BE503" s="160">
        <f t="shared" si="1776"/>
        <v>-85995.230999999956</v>
      </c>
      <c r="BF503" s="124">
        <v>-42987.461000000003</v>
      </c>
      <c r="BG503" s="142"/>
      <c r="BH503" s="124"/>
      <c r="BI503" s="124"/>
      <c r="BJ503" s="124"/>
      <c r="BK503" s="160"/>
      <c r="BL503" s="124"/>
      <c r="BM503" s="124"/>
      <c r="BN503" s="124"/>
      <c r="BO503" s="124"/>
      <c r="BP503" s="124"/>
      <c r="BQ503" s="124"/>
      <c r="BR503" s="124"/>
      <c r="BS503" s="124">
        <v>-52824.686000000002</v>
      </c>
      <c r="BT503" s="124">
        <v>-5190.357</v>
      </c>
      <c r="BU503" s="124">
        <v>-48780.425999999999</v>
      </c>
      <c r="BV503" s="124">
        <v>-102929.803</v>
      </c>
      <c r="BW503" s="124">
        <v>-127220.15399999999</v>
      </c>
      <c r="BX503" s="124"/>
      <c r="BY503" s="124"/>
      <c r="BZ503" s="124"/>
      <c r="CA503" s="124"/>
    </row>
    <row r="504" spans="2:79" ht="13.5" customHeight="1">
      <c r="B504" s="5" t="s">
        <v>531</v>
      </c>
      <c r="C504" s="150">
        <f t="shared" ref="C504:M504" si="1777">SUM(C497:C503)</f>
        <v>-4654989</v>
      </c>
      <c r="D504" s="150">
        <f t="shared" si="1777"/>
        <v>-5098132</v>
      </c>
      <c r="E504" s="150">
        <f t="shared" si="1777"/>
        <v>-5180720</v>
      </c>
      <c r="F504" s="150">
        <f t="shared" si="1777"/>
        <v>-5360352.0500000007</v>
      </c>
      <c r="G504" s="150">
        <f t="shared" si="1777"/>
        <v>-5296642.9650000008</v>
      </c>
      <c r="H504" s="150">
        <f t="shared" si="1777"/>
        <v>-5508545.3740000008</v>
      </c>
      <c r="I504" s="150">
        <f t="shared" si="1777"/>
        <v>-5255756.3530000001</v>
      </c>
      <c r="J504" s="150">
        <f t="shared" si="1777"/>
        <v>-5433070.2499999991</v>
      </c>
      <c r="K504" s="150">
        <f t="shared" si="1777"/>
        <v>-5790733.6900000004</v>
      </c>
      <c r="L504" s="150">
        <f t="shared" si="1777"/>
        <v>-7047860.2449999992</v>
      </c>
      <c r="M504" s="150">
        <f t="shared" si="1777"/>
        <v>-7264723.2930000015</v>
      </c>
      <c r="N504" s="150">
        <f>SUM(N497:N503)</f>
        <v>-6423567.1439999994</v>
      </c>
      <c r="O504" s="150">
        <f>SUM(O497:O503)</f>
        <v>-6844745.1080000009</v>
      </c>
      <c r="P504" s="150">
        <f>SUM(P497:P503)</f>
        <v>-7370628.6280000005</v>
      </c>
      <c r="Q504" s="121"/>
      <c r="R504" s="150">
        <f t="shared" ref="R504:BA504" si="1778">SUM(R497:R503)</f>
        <v>-1266353.7900000003</v>
      </c>
      <c r="S504" s="150">
        <f t="shared" si="1778"/>
        <v>-1279017.2099999997</v>
      </c>
      <c r="T504" s="150">
        <f t="shared" si="1778"/>
        <v>-1234273.1079999998</v>
      </c>
      <c r="U504" s="150">
        <f t="shared" si="1778"/>
        <v>-1401075.8920000002</v>
      </c>
      <c r="V504" s="150">
        <f t="shared" si="1778"/>
        <v>-1281071.7430000005</v>
      </c>
      <c r="W504" s="150">
        <f t="shared" si="1778"/>
        <v>-1305217.2569999995</v>
      </c>
      <c r="X504" s="150">
        <f t="shared" si="1778"/>
        <v>-1281057.3059999996</v>
      </c>
      <c r="Y504" s="150">
        <f t="shared" si="1778"/>
        <v>-1493005.7439999999</v>
      </c>
      <c r="Z504" s="150">
        <f t="shared" si="1778"/>
        <v>-1308674.7719999999</v>
      </c>
      <c r="AA504" s="150">
        <f t="shared" si="1778"/>
        <v>-1360544.183</v>
      </c>
      <c r="AB504" s="150">
        <f t="shared" si="1778"/>
        <v>-1317192.67</v>
      </c>
      <c r="AC504" s="150">
        <f t="shared" si="1778"/>
        <v>-1522133.7490000008</v>
      </c>
      <c r="AD504" s="150">
        <f t="shared" si="1778"/>
        <v>-1323019.2620000001</v>
      </c>
      <c r="AE504" s="150">
        <f t="shared" si="1778"/>
        <v>-1330915.344</v>
      </c>
      <c r="AF504" s="150">
        <f t="shared" si="1778"/>
        <v>-1277205.3469999994</v>
      </c>
      <c r="AG504" s="150">
        <f t="shared" si="1778"/>
        <v>-1501930.2970000005</v>
      </c>
      <c r="AH504" s="150">
        <f t="shared" si="1778"/>
        <v>-1301030.6500000001</v>
      </c>
      <c r="AI504" s="150">
        <f t="shared" si="1778"/>
        <v>-1063909.0819999999</v>
      </c>
      <c r="AJ504" s="150">
        <f t="shared" si="1778"/>
        <v>-1613411.071</v>
      </c>
      <c r="AK504" s="150">
        <f t="shared" si="1778"/>
        <v>-1812382.8869999996</v>
      </c>
      <c r="AL504" s="150">
        <f t="shared" si="1778"/>
        <v>-1534201.3139999998</v>
      </c>
      <c r="AM504" s="150">
        <f t="shared" si="1778"/>
        <v>-1653372.7710000002</v>
      </c>
      <c r="AN504" s="150">
        <f t="shared" si="1778"/>
        <v>-1792610.892</v>
      </c>
      <c r="AO504" s="150">
        <f t="shared" si="1778"/>
        <v>-2067675.2679999992</v>
      </c>
      <c r="AP504" s="150">
        <f t="shared" si="1778"/>
        <v>-1796600.8210000002</v>
      </c>
      <c r="AQ504" s="150">
        <f t="shared" si="1778"/>
        <v>-1799463.2179999999</v>
      </c>
      <c r="AR504" s="150">
        <f t="shared" si="1778"/>
        <v>-1736802.355</v>
      </c>
      <c r="AS504" s="150">
        <f t="shared" si="1778"/>
        <v>-1931856.8990000011</v>
      </c>
      <c r="AT504" s="150">
        <f t="shared" si="1778"/>
        <v>-1614201.747</v>
      </c>
      <c r="AU504" s="150">
        <f t="shared" si="1778"/>
        <v>-1519467.2239999997</v>
      </c>
      <c r="AV504" s="150">
        <f t="shared" si="1778"/>
        <v>-1522962.5650000002</v>
      </c>
      <c r="AW504" s="150">
        <f t="shared" si="1778"/>
        <v>-1766935.608</v>
      </c>
      <c r="AX504" s="150">
        <f t="shared" si="1778"/>
        <v>-1620822.6870000002</v>
      </c>
      <c r="AY504" s="150">
        <f t="shared" si="1778"/>
        <v>-1621929.5839999998</v>
      </c>
      <c r="AZ504" s="150">
        <f t="shared" si="1778"/>
        <v>-1593006.1470000001</v>
      </c>
      <c r="BA504" s="150">
        <f t="shared" si="1778"/>
        <v>-2008986.6899999997</v>
      </c>
      <c r="BB504" s="150">
        <f>SUM(BB497:BB503)</f>
        <v>-1737013.0390000001</v>
      </c>
      <c r="BC504" s="150">
        <f>SUM(BC497:BC503)</f>
        <v>-1749365.5880000005</v>
      </c>
      <c r="BD504" s="150">
        <f>SUM(BD497:BD503)</f>
        <v>-1722329.3770000001</v>
      </c>
      <c r="BE504" s="150">
        <f>SUM(BE497:BE503)</f>
        <v>-2161920.6239999994</v>
      </c>
      <c r="BF504" s="150">
        <f>SUM(BF497:BF503)</f>
        <v>-1802151.4579999999</v>
      </c>
      <c r="BG504" s="142"/>
      <c r="BH504" s="150"/>
      <c r="BI504" s="150"/>
      <c r="BJ504" s="150"/>
      <c r="BK504" s="150"/>
      <c r="BL504" s="150"/>
      <c r="BM504" s="121"/>
      <c r="BN504" s="150">
        <f>SUM(BN497:BN501)</f>
        <v>-2545371</v>
      </c>
      <c r="BO504" s="150">
        <f>SUM(BO497:BO501)</f>
        <v>-2586289</v>
      </c>
      <c r="BP504" s="150">
        <f>SUM(BP497:BP501)</f>
        <v>-2669218.9550000001</v>
      </c>
      <c r="BQ504" s="150">
        <f>SUM(BQ497:BQ501)</f>
        <v>-2653934.6060000001</v>
      </c>
      <c r="BR504" s="150">
        <f>SUM(BR497:BR501)</f>
        <v>-2364939.7319999994</v>
      </c>
      <c r="BS504" s="150">
        <f>SUM(BS497:BS503)</f>
        <v>-3187574.085</v>
      </c>
      <c r="BT504" s="150">
        <f>SUM(BT497:BT503)</f>
        <v>-3596064.0389999999</v>
      </c>
      <c r="BU504" s="150">
        <f>SUM(BU497:BU503)</f>
        <v>-3133668.9709999994</v>
      </c>
      <c r="BV504" s="150">
        <f>SUM(BV497:BV503)</f>
        <v>-3242752.2709999997</v>
      </c>
      <c r="BW504" s="150">
        <f>SUM(BW497:BW503)</f>
        <v>-3486378.6270000003</v>
      </c>
      <c r="BX504" s="121"/>
      <c r="BY504" s="121"/>
      <c r="BZ504" s="150">
        <f>SUM(BZ497:BZ501)</f>
        <v>-2653934.6060000001</v>
      </c>
      <c r="CA504" s="121"/>
    </row>
    <row r="505" spans="2:79" s="54" customFormat="1" ht="13.5" customHeight="1">
      <c r="B505" s="229" t="s">
        <v>386</v>
      </c>
      <c r="C505" s="228">
        <f t="shared" ref="C505:K505" si="1779">C504-C11</f>
        <v>-7.6999999582767487E-2</v>
      </c>
      <c r="D505" s="228">
        <f t="shared" si="1779"/>
        <v>-0.36899999994784594</v>
      </c>
      <c r="E505" s="228">
        <f t="shared" si="1779"/>
        <v>-5.5999999865889549E-2</v>
      </c>
      <c r="F505" s="228">
        <f t="shared" si="1779"/>
        <v>0</v>
      </c>
      <c r="G505" s="228">
        <f t="shared" si="1779"/>
        <v>0</v>
      </c>
      <c r="H505" s="228">
        <f t="shared" si="1779"/>
        <v>0</v>
      </c>
      <c r="I505" s="228">
        <f t="shared" si="1779"/>
        <v>0</v>
      </c>
      <c r="J505" s="228">
        <f t="shared" si="1779"/>
        <v>0</v>
      </c>
      <c r="K505" s="228">
        <f t="shared" si="1779"/>
        <v>0</v>
      </c>
      <c r="L505" s="228">
        <f>L504-L11</f>
        <v>0</v>
      </c>
      <c r="M505" s="228">
        <f>M504-M11</f>
        <v>0</v>
      </c>
      <c r="N505" s="228">
        <f>N504-N11</f>
        <v>0</v>
      </c>
      <c r="O505" s="228">
        <f>O504-O11</f>
        <v>0</v>
      </c>
      <c r="P505" s="228">
        <f>P504-P11</f>
        <v>0</v>
      </c>
      <c r="Q505" s="228"/>
      <c r="R505" s="228">
        <f t="shared" ref="R505:AN505" si="1780">R504-R11</f>
        <v>0</v>
      </c>
      <c r="S505" s="228">
        <f t="shared" si="1780"/>
        <v>-0.56799999973736703</v>
      </c>
      <c r="T505" s="228">
        <f t="shared" si="1780"/>
        <v>0.56800000020302832</v>
      </c>
      <c r="U505" s="228">
        <f t="shared" si="1780"/>
        <v>-5.6000000098720193E-2</v>
      </c>
      <c r="V505" s="228">
        <f t="shared" si="1780"/>
        <v>0</v>
      </c>
      <c r="W505" s="228">
        <f t="shared" si="1780"/>
        <v>-0.14999999944120646</v>
      </c>
      <c r="X505" s="228">
        <f t="shared" si="1780"/>
        <v>0.15000000037252903</v>
      </c>
      <c r="Y505" s="228">
        <f t="shared" si="1780"/>
        <v>0</v>
      </c>
      <c r="Z505" s="228">
        <f t="shared" si="1780"/>
        <v>0</v>
      </c>
      <c r="AA505" s="228">
        <f t="shared" si="1780"/>
        <v>0</v>
      </c>
      <c r="AB505" s="228">
        <f t="shared" si="1780"/>
        <v>0</v>
      </c>
      <c r="AC505" s="228">
        <f t="shared" si="1780"/>
        <v>0</v>
      </c>
      <c r="AD505" s="228">
        <f t="shared" si="1780"/>
        <v>0</v>
      </c>
      <c r="AE505" s="228">
        <f t="shared" si="1780"/>
        <v>0</v>
      </c>
      <c r="AF505" s="228">
        <f t="shared" si="1780"/>
        <v>0</v>
      </c>
      <c r="AG505" s="228">
        <f t="shared" si="1780"/>
        <v>0</v>
      </c>
      <c r="AH505" s="228">
        <f t="shared" si="1780"/>
        <v>0</v>
      </c>
      <c r="AI505" s="228">
        <f t="shared" si="1780"/>
        <v>0</v>
      </c>
      <c r="AJ505" s="228">
        <f t="shared" si="1780"/>
        <v>0</v>
      </c>
      <c r="AK505" s="228">
        <f t="shared" si="1780"/>
        <v>0</v>
      </c>
      <c r="AL505" s="228">
        <f t="shared" si="1780"/>
        <v>0</v>
      </c>
      <c r="AM505" s="228">
        <f t="shared" si="1780"/>
        <v>0</v>
      </c>
      <c r="AN505" s="228">
        <f t="shared" si="1780"/>
        <v>0</v>
      </c>
      <c r="AO505" s="228">
        <f t="shared" ref="AO505:AT505" si="1781">AO504-AO11</f>
        <v>0</v>
      </c>
      <c r="AP505" s="228">
        <f t="shared" si="1781"/>
        <v>0</v>
      </c>
      <c r="AQ505" s="228">
        <f t="shared" si="1781"/>
        <v>0</v>
      </c>
      <c r="AR505" s="228">
        <f t="shared" si="1781"/>
        <v>0</v>
      </c>
      <c r="AS505" s="228">
        <f t="shared" si="1781"/>
        <v>-1.862645149230957E-9</v>
      </c>
      <c r="AT505" s="228">
        <f t="shared" si="1781"/>
        <v>0</v>
      </c>
      <c r="AU505" s="228">
        <f t="shared" ref="AU505:AZ505" si="1782">AU504-AU11</f>
        <v>0</v>
      </c>
      <c r="AV505" s="228">
        <f t="shared" si="1782"/>
        <v>0</v>
      </c>
      <c r="AW505" s="228">
        <f t="shared" si="1782"/>
        <v>0</v>
      </c>
      <c r="AX505" s="228">
        <f t="shared" si="1782"/>
        <v>-3153.5180000001565</v>
      </c>
      <c r="AY505" s="228">
        <f t="shared" si="1782"/>
        <v>3153.5180000003893</v>
      </c>
      <c r="AZ505" s="228">
        <f t="shared" si="1782"/>
        <v>0</v>
      </c>
      <c r="BA505" s="228">
        <f t="shared" ref="BA505:BF505" si="1783">BA504-BA11</f>
        <v>0</v>
      </c>
      <c r="BB505" s="228">
        <f t="shared" si="1783"/>
        <v>0</v>
      </c>
      <c r="BC505" s="228">
        <f t="shared" si="1783"/>
        <v>0</v>
      </c>
      <c r="BD505" s="228">
        <f t="shared" si="1783"/>
        <v>0</v>
      </c>
      <c r="BE505" s="228">
        <f t="shared" si="1783"/>
        <v>0</v>
      </c>
      <c r="BF505" s="228">
        <f t="shared" si="1783"/>
        <v>0</v>
      </c>
      <c r="BG505" s="142"/>
      <c r="BH505" s="228"/>
      <c r="BI505" s="228"/>
      <c r="BJ505" s="228"/>
      <c r="BK505" s="228"/>
      <c r="BL505" s="228"/>
      <c r="BM505" s="228"/>
      <c r="BN505" s="228">
        <f t="shared" ref="BN505:BS505" si="1784">BN504-BN11</f>
        <v>-0.56799999997019768</v>
      </c>
      <c r="BO505" s="228">
        <f t="shared" si="1784"/>
        <v>-0.14999999990686774</v>
      </c>
      <c r="BP505" s="228">
        <f t="shared" si="1784"/>
        <v>0</v>
      </c>
      <c r="BQ505" s="228">
        <f t="shared" si="1784"/>
        <v>0</v>
      </c>
      <c r="BR505" s="228">
        <f t="shared" si="1784"/>
        <v>0</v>
      </c>
      <c r="BS505" s="228">
        <f t="shared" si="1784"/>
        <v>0</v>
      </c>
      <c r="BT505" s="228">
        <f>BT504-BT11</f>
        <v>0</v>
      </c>
      <c r="BU505" s="228">
        <f>BU504-BU11</f>
        <v>0</v>
      </c>
      <c r="BV505" s="228">
        <f>BV504-BV11</f>
        <v>0</v>
      </c>
      <c r="BW505" s="228">
        <f>BW504-BW11</f>
        <v>0</v>
      </c>
      <c r="BX505" s="228"/>
      <c r="BY505" s="228"/>
      <c r="BZ505" s="228">
        <f>BZ504-BZ11</f>
        <v>0</v>
      </c>
      <c r="CA505" s="228"/>
    </row>
    <row r="506" spans="2:79" ht="13.5" customHeight="1"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V506" s="5"/>
      <c r="W506" s="5"/>
      <c r="AA506" s="5"/>
      <c r="AE506" s="5"/>
      <c r="AI506" s="5"/>
      <c r="AM506" s="5"/>
      <c r="AQ506" s="5"/>
      <c r="AU506" s="5"/>
      <c r="AY506" s="5"/>
      <c r="BC506" s="5"/>
      <c r="BG506" s="142"/>
      <c r="BQ506" s="181">
        <f t="shared" ref="BQ506:BV506" si="1785">-BQ505</f>
        <v>0</v>
      </c>
      <c r="BR506" s="181">
        <f t="shared" si="1785"/>
        <v>0</v>
      </c>
      <c r="BS506" s="181">
        <f t="shared" si="1785"/>
        <v>0</v>
      </c>
      <c r="BT506" s="181">
        <f t="shared" si="1785"/>
        <v>0</v>
      </c>
      <c r="BU506" s="181">
        <f t="shared" si="1785"/>
        <v>0</v>
      </c>
      <c r="BV506" s="181">
        <f t="shared" si="1785"/>
        <v>0</v>
      </c>
      <c r="BW506" s="181">
        <f>-BW505</f>
        <v>0</v>
      </c>
    </row>
    <row r="507" spans="2:79" ht="13.5" customHeight="1">
      <c r="B507" s="445" t="s">
        <v>532</v>
      </c>
      <c r="C507" s="46">
        <v>41975</v>
      </c>
      <c r="D507" s="46">
        <v>42341</v>
      </c>
      <c r="E507" s="46">
        <v>42708</v>
      </c>
      <c r="F507" s="253">
        <f t="shared" ref="F507:K507" si="1786">F3</f>
        <v>43073</v>
      </c>
      <c r="G507" s="253">
        <f t="shared" si="1786"/>
        <v>43073</v>
      </c>
      <c r="H507" s="253">
        <f t="shared" si="1786"/>
        <v>43438</v>
      </c>
      <c r="I507" s="253">
        <f t="shared" si="1786"/>
        <v>43438</v>
      </c>
      <c r="J507" s="253">
        <f t="shared" si="1786"/>
        <v>43803</v>
      </c>
      <c r="K507" s="253">
        <f t="shared" si="1786"/>
        <v>44169</v>
      </c>
      <c r="L507" s="253">
        <f>L3</f>
        <v>44534</v>
      </c>
      <c r="M507" s="253">
        <f>M3</f>
        <v>44899</v>
      </c>
      <c r="N507" s="253">
        <f>N3</f>
        <v>45264</v>
      </c>
      <c r="O507" s="253">
        <f>O3</f>
        <v>45630</v>
      </c>
      <c r="P507" s="253">
        <f>P3</f>
        <v>45995</v>
      </c>
      <c r="Q507" s="329"/>
      <c r="R507" s="46">
        <v>42437</v>
      </c>
      <c r="S507" s="46">
        <v>42527</v>
      </c>
      <c r="T507" s="46">
        <v>42622</v>
      </c>
      <c r="U507" s="46">
        <v>42714</v>
      </c>
      <c r="V507" s="46">
        <v>42801</v>
      </c>
      <c r="W507" s="46">
        <v>42892</v>
      </c>
      <c r="X507" s="46">
        <v>42987</v>
      </c>
      <c r="Y507" s="46">
        <v>43079</v>
      </c>
      <c r="Z507" s="46">
        <f t="shared" ref="Z507:AN507" si="1787">Z3</f>
        <v>43166</v>
      </c>
      <c r="AA507" s="46">
        <f t="shared" si="1787"/>
        <v>43257</v>
      </c>
      <c r="AB507" s="46">
        <f t="shared" si="1787"/>
        <v>43352</v>
      </c>
      <c r="AC507" s="46">
        <f t="shared" si="1787"/>
        <v>43444</v>
      </c>
      <c r="AD507" s="253">
        <f t="shared" si="1787"/>
        <v>43531</v>
      </c>
      <c r="AE507" s="253">
        <f t="shared" si="1787"/>
        <v>43622</v>
      </c>
      <c r="AF507" s="253">
        <f t="shared" si="1787"/>
        <v>43738</v>
      </c>
      <c r="AG507" s="120">
        <f t="shared" si="1787"/>
        <v>43809</v>
      </c>
      <c r="AH507" s="253">
        <f t="shared" si="1787"/>
        <v>43897</v>
      </c>
      <c r="AI507" s="253">
        <f t="shared" si="1787"/>
        <v>43988</v>
      </c>
      <c r="AJ507" s="253">
        <f t="shared" si="1787"/>
        <v>44104</v>
      </c>
      <c r="AK507" s="120">
        <f t="shared" si="1787"/>
        <v>44175</v>
      </c>
      <c r="AL507" s="253">
        <f t="shared" si="1787"/>
        <v>44262</v>
      </c>
      <c r="AM507" s="253">
        <f t="shared" si="1787"/>
        <v>44348</v>
      </c>
      <c r="AN507" s="253">
        <f t="shared" si="1787"/>
        <v>44469</v>
      </c>
      <c r="AO507" s="120">
        <f t="shared" ref="AO507:AT507" si="1788">AO3</f>
        <v>44540</v>
      </c>
      <c r="AP507" s="253">
        <f t="shared" si="1788"/>
        <v>44651</v>
      </c>
      <c r="AQ507" s="253">
        <f t="shared" si="1788"/>
        <v>44713</v>
      </c>
      <c r="AR507" s="253">
        <f t="shared" si="1788"/>
        <v>44834</v>
      </c>
      <c r="AS507" s="120">
        <f t="shared" si="1788"/>
        <v>44905</v>
      </c>
      <c r="AT507" s="253">
        <f t="shared" si="1788"/>
        <v>45016</v>
      </c>
      <c r="AU507" s="253">
        <f t="shared" ref="AU507:AZ507" si="1789">AU3</f>
        <v>45078</v>
      </c>
      <c r="AV507" s="253">
        <f t="shared" si="1789"/>
        <v>45199</v>
      </c>
      <c r="AW507" s="120">
        <f t="shared" si="1789"/>
        <v>45270</v>
      </c>
      <c r="AX507" s="253">
        <f t="shared" si="1789"/>
        <v>45382</v>
      </c>
      <c r="AY507" s="253">
        <f t="shared" si="1789"/>
        <v>45444</v>
      </c>
      <c r="AZ507" s="253">
        <f t="shared" si="1789"/>
        <v>45565</v>
      </c>
      <c r="BA507" s="120">
        <f t="shared" ref="BA507:BF507" si="1790">BA3</f>
        <v>45636</v>
      </c>
      <c r="BB507" s="253">
        <f t="shared" si="1790"/>
        <v>45747</v>
      </c>
      <c r="BC507" s="253">
        <f t="shared" si="1790"/>
        <v>45809</v>
      </c>
      <c r="BD507" s="253">
        <f t="shared" si="1790"/>
        <v>45930</v>
      </c>
      <c r="BE507" s="120">
        <f t="shared" si="1790"/>
        <v>46001</v>
      </c>
      <c r="BF507" s="253">
        <f t="shared" si="1790"/>
        <v>46112</v>
      </c>
      <c r="BG507" s="142"/>
      <c r="BH507" s="46"/>
      <c r="BI507" s="46"/>
      <c r="BJ507" s="46"/>
      <c r="BK507" s="46"/>
      <c r="BL507" s="253"/>
      <c r="BM507" s="329"/>
      <c r="BN507" s="46">
        <v>42530</v>
      </c>
      <c r="BO507" s="46">
        <v>42896</v>
      </c>
      <c r="BP507" s="46">
        <f t="shared" ref="BP507:BU507" si="1791">BP3</f>
        <v>43261</v>
      </c>
      <c r="BQ507" s="253">
        <f t="shared" si="1791"/>
        <v>43646</v>
      </c>
      <c r="BR507" s="253">
        <f t="shared" si="1791"/>
        <v>44012</v>
      </c>
      <c r="BS507" s="253">
        <f t="shared" si="1791"/>
        <v>44377</v>
      </c>
      <c r="BT507" s="253">
        <f t="shared" si="1791"/>
        <v>44742</v>
      </c>
      <c r="BU507" s="253">
        <f t="shared" si="1791"/>
        <v>45107</v>
      </c>
      <c r="BV507" s="253">
        <f>BV3</f>
        <v>45473</v>
      </c>
      <c r="BW507" s="253">
        <f>BW3</f>
        <v>45838</v>
      </c>
      <c r="BX507" s="62"/>
      <c r="BY507" s="329"/>
      <c r="BZ507" s="253">
        <f>BZ3</f>
        <v>43646</v>
      </c>
      <c r="CA507" s="62"/>
    </row>
    <row r="508" spans="2:79" ht="13.5" customHeight="1">
      <c r="B508" s="1" t="s">
        <v>521</v>
      </c>
      <c r="C508" s="151">
        <f t="shared" ref="C508:K508" si="1792">C485+C497</f>
        <v>1499313</v>
      </c>
      <c r="D508" s="151">
        <f t="shared" si="1792"/>
        <v>1622204</v>
      </c>
      <c r="E508" s="151">
        <f t="shared" si="1792"/>
        <v>1747751</v>
      </c>
      <c r="F508" s="151">
        <f t="shared" si="1792"/>
        <v>1843345.029000001</v>
      </c>
      <c r="G508" s="151">
        <f t="shared" si="1792"/>
        <v>1860119.2109999997</v>
      </c>
      <c r="H508" s="151">
        <f t="shared" si="1792"/>
        <v>1976746.6920000007</v>
      </c>
      <c r="I508" s="151">
        <f t="shared" si="1792"/>
        <v>1722856.7850000006</v>
      </c>
      <c r="J508" s="151">
        <f t="shared" si="1792"/>
        <v>1558497.6750000007</v>
      </c>
      <c r="K508" s="151">
        <f t="shared" si="1792"/>
        <v>1538008.433999999</v>
      </c>
      <c r="L508" s="151">
        <f>L485+L497</f>
        <v>2203812.8290000008</v>
      </c>
      <c r="M508" s="151">
        <f>M485+M497</f>
        <v>2007830.8509999989</v>
      </c>
      <c r="N508" s="151">
        <f>N485+N497</f>
        <v>1567392.0619999999</v>
      </c>
      <c r="O508" s="151">
        <f>O485+O497</f>
        <v>1718541.2340000006</v>
      </c>
      <c r="P508" s="151">
        <f>P485+P497</f>
        <v>1941014.5799999991</v>
      </c>
      <c r="Q508" s="63"/>
      <c r="R508" s="63">
        <f t="shared" ref="R508:AN508" si="1793">R485+R497</f>
        <v>416381.03</v>
      </c>
      <c r="S508" s="63">
        <f t="shared" si="1793"/>
        <v>428972.14899999998</v>
      </c>
      <c r="T508" s="63">
        <f t="shared" si="1793"/>
        <v>408753.64899999998</v>
      </c>
      <c r="U508" s="63">
        <f t="shared" si="1793"/>
        <v>493644.07199999993</v>
      </c>
      <c r="V508" s="63">
        <f t="shared" si="1793"/>
        <v>443912.49799999967</v>
      </c>
      <c r="W508" s="63">
        <f t="shared" si="1793"/>
        <v>449591.2760000003</v>
      </c>
      <c r="X508" s="63">
        <f t="shared" si="1793"/>
        <v>422241.07400000026</v>
      </c>
      <c r="Y508" s="63">
        <f t="shared" si="1793"/>
        <v>527600.18100000033</v>
      </c>
      <c r="Z508" s="63">
        <f t="shared" si="1793"/>
        <v>472796.27300000016</v>
      </c>
      <c r="AA508" s="63">
        <f t="shared" si="1793"/>
        <v>490043.74000000011</v>
      </c>
      <c r="AB508" s="63">
        <f t="shared" si="1793"/>
        <v>448192.68900000036</v>
      </c>
      <c r="AC508" s="63">
        <f t="shared" si="1793"/>
        <v>565713.99000000011</v>
      </c>
      <c r="AD508" s="63">
        <f t="shared" si="1793"/>
        <v>384965.03600000031</v>
      </c>
      <c r="AE508" s="63">
        <f t="shared" si="1793"/>
        <v>407139.19800000009</v>
      </c>
      <c r="AF508" s="63">
        <f t="shared" si="1793"/>
        <v>368901.9430000002</v>
      </c>
      <c r="AG508" s="63">
        <f t="shared" si="1793"/>
        <v>397491.49800000014</v>
      </c>
      <c r="AH508" s="63">
        <f t="shared" si="1793"/>
        <v>348859.96000000008</v>
      </c>
      <c r="AI508" s="63">
        <f t="shared" si="1793"/>
        <v>248662.58800000022</v>
      </c>
      <c r="AJ508" s="63">
        <f t="shared" si="1793"/>
        <v>363326.8539999997</v>
      </c>
      <c r="AK508" s="63">
        <f t="shared" si="1793"/>
        <v>577159.03199999942</v>
      </c>
      <c r="AL508" s="63">
        <f t="shared" si="1793"/>
        <v>475877.46600000025</v>
      </c>
      <c r="AM508" s="63">
        <f t="shared" si="1793"/>
        <v>538131.40599999996</v>
      </c>
      <c r="AN508" s="63">
        <f t="shared" si="1793"/>
        <v>569418.71999999951</v>
      </c>
      <c r="AO508" s="63">
        <f t="shared" ref="AO508:BA508" si="1794">AO485+AO497</f>
        <v>620385.23700000043</v>
      </c>
      <c r="AP508" s="63">
        <f t="shared" si="1794"/>
        <v>498985.52399999998</v>
      </c>
      <c r="AQ508" s="63">
        <f t="shared" si="1794"/>
        <v>523370.571</v>
      </c>
      <c r="AR508" s="63">
        <f t="shared" si="1794"/>
        <v>446639.15199999977</v>
      </c>
      <c r="AS508" s="63">
        <f t="shared" si="1794"/>
        <v>538835.60399999958</v>
      </c>
      <c r="AT508" s="63">
        <f t="shared" si="1794"/>
        <v>458098.98399999982</v>
      </c>
      <c r="AU508" s="63">
        <f t="shared" si="1794"/>
        <v>524471.88700000045</v>
      </c>
      <c r="AV508" s="63">
        <f t="shared" si="1794"/>
        <v>406227.9360000001</v>
      </c>
      <c r="AW508" s="63">
        <f t="shared" si="1794"/>
        <v>178593.25500000024</v>
      </c>
      <c r="AX508" s="63">
        <f t="shared" si="1794"/>
        <v>522497.54300000006</v>
      </c>
      <c r="AY508" s="63">
        <f t="shared" si="1794"/>
        <v>569629.73</v>
      </c>
      <c r="AZ508" s="63">
        <f t="shared" si="1794"/>
        <v>527312.66900000023</v>
      </c>
      <c r="BA508" s="63">
        <f t="shared" si="1794"/>
        <v>99101.292000000132</v>
      </c>
      <c r="BB508" s="63">
        <f>BB485+BB497</f>
        <v>603281.64899999998</v>
      </c>
      <c r="BC508" s="63">
        <f>BC485+BC497</f>
        <v>614994.48799999966</v>
      </c>
      <c r="BD508" s="63">
        <f>BD485+BD497</f>
        <v>129353.32299999997</v>
      </c>
      <c r="BE508" s="63">
        <f>BE485+BE497</f>
        <v>593385.11999999941</v>
      </c>
      <c r="BF508" s="63">
        <f>BF485+BF497</f>
        <v>471031.21499999985</v>
      </c>
      <c r="BG508" s="142"/>
      <c r="BH508" s="63"/>
      <c r="BI508" s="63"/>
      <c r="BJ508" s="63"/>
      <c r="BK508" s="63"/>
      <c r="BL508" s="63"/>
      <c r="BM508" s="63"/>
      <c r="BN508" s="63">
        <f t="shared" ref="BN508:BV508" si="1795">BN485+BN497</f>
        <v>845353</v>
      </c>
      <c r="BO508" s="63">
        <f t="shared" si="1795"/>
        <v>893504</v>
      </c>
      <c r="BP508" s="63">
        <f t="shared" si="1795"/>
        <v>962840.01300000027</v>
      </c>
      <c r="BQ508" s="63">
        <f t="shared" si="1795"/>
        <v>792104.2340000004</v>
      </c>
      <c r="BR508" s="63">
        <f t="shared" si="1795"/>
        <v>597522.54800000042</v>
      </c>
      <c r="BS508" s="63">
        <f t="shared" si="1795"/>
        <v>1014008.872</v>
      </c>
      <c r="BT508" s="63">
        <f t="shared" si="1795"/>
        <v>1022356.0949999997</v>
      </c>
      <c r="BU508" s="63">
        <f t="shared" si="1795"/>
        <v>982570.87100000028</v>
      </c>
      <c r="BV508" s="63">
        <f t="shared" si="1795"/>
        <v>1092127.2729999996</v>
      </c>
      <c r="BW508" s="63">
        <f>BW485+BW497</f>
        <v>1218276.1369999996</v>
      </c>
      <c r="BX508" s="63"/>
      <c r="BY508" s="63"/>
      <c r="BZ508" s="63">
        <f>BZ485+BZ497</f>
        <v>792104.2340000004</v>
      </c>
      <c r="CA508" s="63"/>
    </row>
    <row r="509" spans="2:79" ht="13.5" customHeight="1">
      <c r="B509" s="1" t="s">
        <v>522</v>
      </c>
      <c r="C509" s="151">
        <f t="shared" ref="C509:K509" si="1796">C486+C498</f>
        <v>451063</v>
      </c>
      <c r="D509" s="151">
        <f t="shared" si="1796"/>
        <v>551161</v>
      </c>
      <c r="E509" s="151">
        <f t="shared" si="1796"/>
        <v>553583</v>
      </c>
      <c r="F509" s="151">
        <f t="shared" si="1796"/>
        <v>567583.75599999982</v>
      </c>
      <c r="G509" s="151">
        <f t="shared" si="1796"/>
        <v>574748.81400000001</v>
      </c>
      <c r="H509" s="151">
        <f t="shared" si="1796"/>
        <v>599574.9850000001</v>
      </c>
      <c r="I509" s="151">
        <f t="shared" si="1796"/>
        <v>599574.9850000001</v>
      </c>
      <c r="J509" s="151">
        <f t="shared" si="1796"/>
        <v>664012.61499999999</v>
      </c>
      <c r="K509" s="151">
        <f t="shared" si="1796"/>
        <v>626216.20299999951</v>
      </c>
      <c r="L509" s="151">
        <f t="shared" ref="L509:M512" si="1797">L486+L498</f>
        <v>737762.82400000002</v>
      </c>
      <c r="M509" s="151">
        <f t="shared" si="1797"/>
        <v>852945.63699999964</v>
      </c>
      <c r="N509" s="151">
        <f t="shared" ref="N509:O514" si="1798">N486+N498</f>
        <v>819065.35299999965</v>
      </c>
      <c r="O509" s="151">
        <f t="shared" si="1798"/>
        <v>997593.65800000029</v>
      </c>
      <c r="P509" s="151">
        <f t="shared" ref="P509:P514" si="1799">P486+P498</f>
        <v>1092382.4440000006</v>
      </c>
      <c r="Q509" s="63"/>
      <c r="R509" s="63">
        <f t="shared" ref="R509:AN509" si="1800">R486+R498</f>
        <v>123685.26199999993</v>
      </c>
      <c r="S509" s="63">
        <f t="shared" si="1800"/>
        <v>137378.66500000004</v>
      </c>
      <c r="T509" s="63">
        <f t="shared" si="1800"/>
        <v>129715.78300000005</v>
      </c>
      <c r="U509" s="63">
        <f t="shared" si="1800"/>
        <v>162803.72199999995</v>
      </c>
      <c r="V509" s="63">
        <f t="shared" si="1800"/>
        <v>128890.19400000002</v>
      </c>
      <c r="W509" s="63">
        <f t="shared" si="1800"/>
        <v>141597.74100000004</v>
      </c>
      <c r="X509" s="63">
        <f t="shared" si="1800"/>
        <v>131252.17099999997</v>
      </c>
      <c r="Y509" s="63">
        <f t="shared" si="1800"/>
        <v>165843.64999999991</v>
      </c>
      <c r="Z509" s="63">
        <f t="shared" si="1800"/>
        <v>128511.58600000007</v>
      </c>
      <c r="AA509" s="63">
        <f t="shared" si="1800"/>
        <v>145885.12800000003</v>
      </c>
      <c r="AB509" s="63">
        <f t="shared" si="1800"/>
        <v>143265.53499999992</v>
      </c>
      <c r="AC509" s="63">
        <f t="shared" si="1800"/>
        <v>181912.73600000009</v>
      </c>
      <c r="AD509" s="63">
        <f t="shared" si="1800"/>
        <v>141027.24400000006</v>
      </c>
      <c r="AE509" s="63">
        <f t="shared" si="1800"/>
        <v>158670.01900000003</v>
      </c>
      <c r="AF509" s="63">
        <f t="shared" si="1800"/>
        <v>157008.20800000028</v>
      </c>
      <c r="AG509" s="63">
        <f t="shared" si="1800"/>
        <v>207307.14399999956</v>
      </c>
      <c r="AH509" s="63">
        <f t="shared" si="1800"/>
        <v>153490.26300000004</v>
      </c>
      <c r="AI509" s="63">
        <f t="shared" si="1800"/>
        <v>88547.360999999917</v>
      </c>
      <c r="AJ509" s="63">
        <f t="shared" si="1800"/>
        <v>166886.45000000007</v>
      </c>
      <c r="AK509" s="63">
        <f t="shared" si="1800"/>
        <v>217292.12899999949</v>
      </c>
      <c r="AL509" s="63">
        <f t="shared" si="1800"/>
        <v>152368.30600000004</v>
      </c>
      <c r="AM509" s="63">
        <f t="shared" si="1800"/>
        <v>163416.76799999987</v>
      </c>
      <c r="AN509" s="63">
        <f t="shared" si="1800"/>
        <v>183969.25000000017</v>
      </c>
      <c r="AO509" s="63">
        <f t="shared" ref="AO509:AV512" si="1801">AO486+AO498</f>
        <v>238008.49999999988</v>
      </c>
      <c r="AP509" s="63">
        <f t="shared" si="1801"/>
        <v>175399.37900000002</v>
      </c>
      <c r="AQ509" s="63">
        <f t="shared" si="1801"/>
        <v>211130.04899999982</v>
      </c>
      <c r="AR509" s="63">
        <f t="shared" si="1801"/>
        <v>220638.93799999973</v>
      </c>
      <c r="AS509" s="63">
        <f t="shared" si="1801"/>
        <v>245777.27100000007</v>
      </c>
      <c r="AT509" s="63">
        <f t="shared" si="1801"/>
        <v>175496.30900000001</v>
      </c>
      <c r="AU509" s="63">
        <f t="shared" si="1801"/>
        <v>186735.62700000021</v>
      </c>
      <c r="AV509" s="63">
        <f t="shared" si="1801"/>
        <v>169291.73499999964</v>
      </c>
      <c r="AW509" s="63">
        <f t="shared" ref="AW509:AW514" si="1802">AW486+AW498</f>
        <v>287541.6819999998</v>
      </c>
      <c r="AX509" s="63">
        <f t="shared" ref="AX509:AZ512" si="1803">AX486+AX498</f>
        <v>210265.98799999995</v>
      </c>
      <c r="AY509" s="63">
        <f t="shared" si="1803"/>
        <v>241961.61700000038</v>
      </c>
      <c r="AZ509" s="63">
        <f t="shared" si="1803"/>
        <v>245726.37999999989</v>
      </c>
      <c r="BA509" s="63">
        <f t="shared" ref="BA509:BD514" si="1804">BA486+BA498</f>
        <v>299639.67300000018</v>
      </c>
      <c r="BB509" s="63">
        <f t="shared" si="1804"/>
        <v>236192.18700000015</v>
      </c>
      <c r="BC509" s="63">
        <f t="shared" si="1804"/>
        <v>253798.51899999985</v>
      </c>
      <c r="BD509" s="63">
        <f t="shared" si="1804"/>
        <v>255717.01699999988</v>
      </c>
      <c r="BE509" s="63">
        <f t="shared" ref="BE509:BF514" si="1805">BE486+BE498</f>
        <v>346674.72100000049</v>
      </c>
      <c r="BF509" s="63">
        <f t="shared" si="1805"/>
        <v>273418.04099999997</v>
      </c>
      <c r="BG509" s="142"/>
      <c r="BH509" s="63"/>
      <c r="BI509" s="63"/>
      <c r="BJ509" s="63"/>
      <c r="BK509" s="63"/>
      <c r="BL509" s="63"/>
      <c r="BM509" s="63"/>
      <c r="BN509" s="63">
        <f t="shared" ref="BN509:BV509" si="1806">BN486+BN498</f>
        <v>261064</v>
      </c>
      <c r="BO509" s="63">
        <f t="shared" si="1806"/>
        <v>270488</v>
      </c>
      <c r="BP509" s="63">
        <f t="shared" si="1806"/>
        <v>274396.71400000004</v>
      </c>
      <c r="BQ509" s="63">
        <f t="shared" si="1806"/>
        <v>299697.26299999992</v>
      </c>
      <c r="BR509" s="63">
        <f t="shared" si="1806"/>
        <v>242037.62399999995</v>
      </c>
      <c r="BS509" s="63">
        <f t="shared" si="1806"/>
        <v>315785.07399999979</v>
      </c>
      <c r="BT509" s="63">
        <f t="shared" si="1806"/>
        <v>386529.42799999972</v>
      </c>
      <c r="BU509" s="63">
        <f t="shared" si="1806"/>
        <v>362231.93600000022</v>
      </c>
      <c r="BV509" s="63">
        <f t="shared" si="1806"/>
        <v>452227.60500000033</v>
      </c>
      <c r="BW509" s="63">
        <f>BW486+BW498</f>
        <v>489990.70600000001</v>
      </c>
      <c r="BX509" s="63"/>
      <c r="BY509" s="63"/>
      <c r="BZ509" s="63">
        <f>BZ486+BZ498</f>
        <v>299697.26299999992</v>
      </c>
      <c r="CA509" s="63"/>
    </row>
    <row r="510" spans="2:79" ht="13.5" customHeight="1">
      <c r="B510" s="1" t="s">
        <v>523</v>
      </c>
      <c r="C510" s="151">
        <f t="shared" ref="C510:K510" si="1807">C487+C499</f>
        <v>245677</v>
      </c>
      <c r="D510" s="151">
        <f t="shared" si="1807"/>
        <v>315402</v>
      </c>
      <c r="E510" s="151">
        <f t="shared" si="1807"/>
        <v>253498</v>
      </c>
      <c r="F510" s="151">
        <f t="shared" si="1807"/>
        <v>276725.79499999993</v>
      </c>
      <c r="G510" s="151">
        <f t="shared" si="1807"/>
        <v>277148.16299999994</v>
      </c>
      <c r="H510" s="151">
        <f t="shared" si="1807"/>
        <v>181801.09699999998</v>
      </c>
      <c r="I510" s="151">
        <f t="shared" si="1807"/>
        <v>181801.09699999998</v>
      </c>
      <c r="J510" s="151">
        <f t="shared" si="1807"/>
        <v>174344.67499999996</v>
      </c>
      <c r="K510" s="151">
        <f t="shared" si="1807"/>
        <v>121231.451</v>
      </c>
      <c r="L510" s="151">
        <f t="shared" si="1797"/>
        <v>96112.434000000008</v>
      </c>
      <c r="M510" s="151">
        <f t="shared" si="1797"/>
        <v>63273.164999999994</v>
      </c>
      <c r="N510" s="151">
        <f t="shared" si="1798"/>
        <v>0</v>
      </c>
      <c r="O510" s="151">
        <f t="shared" si="1798"/>
        <v>0</v>
      </c>
      <c r="P510" s="151">
        <f t="shared" si="1799"/>
        <v>0</v>
      </c>
      <c r="Q510" s="63"/>
      <c r="R510" s="63">
        <f t="shared" ref="R510:AN510" si="1808">R487+R499</f>
        <v>56291.318999999996</v>
      </c>
      <c r="S510" s="63">
        <f t="shared" si="1808"/>
        <v>65816.562999999995</v>
      </c>
      <c r="T510" s="63">
        <f t="shared" si="1808"/>
        <v>59079.474000000017</v>
      </c>
      <c r="U510" s="63">
        <f t="shared" si="1808"/>
        <v>72310.963999999949</v>
      </c>
      <c r="V510" s="63">
        <f t="shared" si="1808"/>
        <v>58959.076999999983</v>
      </c>
      <c r="W510" s="63">
        <f t="shared" si="1808"/>
        <v>73965.533999999985</v>
      </c>
      <c r="X510" s="63">
        <f t="shared" si="1808"/>
        <v>63803.854000000021</v>
      </c>
      <c r="Y510" s="63">
        <f t="shared" si="1808"/>
        <v>79997.329999999929</v>
      </c>
      <c r="Z510" s="63">
        <f t="shared" si="1808"/>
        <v>56882.334999999992</v>
      </c>
      <c r="AA510" s="63">
        <f t="shared" si="1808"/>
        <v>60828.100000000006</v>
      </c>
      <c r="AB510" s="63">
        <f t="shared" si="1808"/>
        <v>46872.442999999985</v>
      </c>
      <c r="AC510" s="63">
        <f t="shared" si="1808"/>
        <v>17218.219000000012</v>
      </c>
      <c r="AD510" s="63">
        <f t="shared" si="1808"/>
        <v>33475.78</v>
      </c>
      <c r="AE510" s="63">
        <f t="shared" si="1808"/>
        <v>45985.35500000001</v>
      </c>
      <c r="AF510" s="63">
        <f t="shared" si="1808"/>
        <v>29198.807999999946</v>
      </c>
      <c r="AG510" s="63">
        <f t="shared" si="1808"/>
        <v>65684.732000000018</v>
      </c>
      <c r="AH510" s="63">
        <f t="shared" si="1808"/>
        <v>39739.611999999994</v>
      </c>
      <c r="AI510" s="63">
        <f t="shared" si="1808"/>
        <v>20951.333000000021</v>
      </c>
      <c r="AJ510" s="63">
        <f t="shared" si="1808"/>
        <v>29304.978999999992</v>
      </c>
      <c r="AK510" s="63">
        <f t="shared" si="1808"/>
        <v>31235.527000000002</v>
      </c>
      <c r="AL510" s="63">
        <f t="shared" si="1808"/>
        <v>30305.903000000006</v>
      </c>
      <c r="AM510" s="63">
        <f t="shared" si="1808"/>
        <v>19844.905999999995</v>
      </c>
      <c r="AN510" s="63">
        <f t="shared" si="1808"/>
        <v>22541.77800000002</v>
      </c>
      <c r="AO510" s="63">
        <f t="shared" si="1801"/>
        <v>23419.846999999994</v>
      </c>
      <c r="AP510" s="63">
        <f t="shared" si="1801"/>
        <v>15074.553</v>
      </c>
      <c r="AQ510" s="63">
        <f t="shared" si="1801"/>
        <v>19683.589000000007</v>
      </c>
      <c r="AR510" s="63">
        <f t="shared" si="1801"/>
        <v>20040.752</v>
      </c>
      <c r="AS510" s="63">
        <f t="shared" si="1801"/>
        <v>8474.2709999999934</v>
      </c>
      <c r="AT510" s="63">
        <f t="shared" si="1801"/>
        <v>11844.07</v>
      </c>
      <c r="AU510" s="63">
        <f t="shared" si="1801"/>
        <v>-45536.165999999997</v>
      </c>
      <c r="AV510" s="63">
        <f t="shared" si="1801"/>
        <v>71596.736999999994</v>
      </c>
      <c r="AW510" s="63">
        <f t="shared" si="1802"/>
        <v>-37904.640999999996</v>
      </c>
      <c r="AX510" s="63">
        <f t="shared" si="1803"/>
        <v>10323.479000000003</v>
      </c>
      <c r="AY510" s="63">
        <f t="shared" si="1803"/>
        <v>-10323.479000000003</v>
      </c>
      <c r="AZ510" s="63">
        <f t="shared" si="1803"/>
        <v>0</v>
      </c>
      <c r="BA510" s="63">
        <f t="shared" si="1804"/>
        <v>0</v>
      </c>
      <c r="BB510" s="63">
        <f t="shared" si="1804"/>
        <v>0</v>
      </c>
      <c r="BC510" s="63">
        <f t="shared" si="1804"/>
        <v>0</v>
      </c>
      <c r="BD510" s="63">
        <f t="shared" si="1804"/>
        <v>0</v>
      </c>
      <c r="BE510" s="63">
        <f t="shared" si="1805"/>
        <v>0</v>
      </c>
      <c r="BF510" s="63">
        <f t="shared" si="1805"/>
        <v>0</v>
      </c>
      <c r="BG510" s="142"/>
      <c r="BH510" s="63"/>
      <c r="BI510" s="63"/>
      <c r="BJ510" s="63"/>
      <c r="BK510" s="63"/>
      <c r="BL510" s="63"/>
      <c r="BM510" s="63"/>
      <c r="BN510" s="63">
        <f t="shared" ref="BN510:BV510" si="1809">BN487+BN499</f>
        <v>122108</v>
      </c>
      <c r="BO510" s="63">
        <f t="shared" si="1809"/>
        <v>132925</v>
      </c>
      <c r="BP510" s="63">
        <f t="shared" si="1809"/>
        <v>117710.435</v>
      </c>
      <c r="BQ510" s="63">
        <f t="shared" si="1809"/>
        <v>79461.135000000009</v>
      </c>
      <c r="BR510" s="63">
        <f t="shared" si="1809"/>
        <v>60690.945000000014</v>
      </c>
      <c r="BS510" s="63">
        <f t="shared" si="1809"/>
        <v>50150.809000000001</v>
      </c>
      <c r="BT510" s="63">
        <f t="shared" si="1809"/>
        <v>34758.142000000007</v>
      </c>
      <c r="BU510" s="63">
        <f t="shared" si="1809"/>
        <v>-33692.095999999998</v>
      </c>
      <c r="BV510" s="63">
        <f t="shared" si="1809"/>
        <v>0</v>
      </c>
      <c r="BW510" s="63">
        <f>BW487+BW499</f>
        <v>0</v>
      </c>
      <c r="BX510" s="63"/>
      <c r="BY510" s="63"/>
      <c r="BZ510" s="63">
        <f>BZ487+BZ499</f>
        <v>79461.135000000009</v>
      </c>
      <c r="CA510" s="63"/>
    </row>
    <row r="511" spans="2:79" ht="13.5" customHeight="1">
      <c r="B511" s="1" t="s">
        <v>524</v>
      </c>
      <c r="C511" s="151">
        <f t="shared" ref="C511:K511" si="1810">C488+C500</f>
        <v>124454</v>
      </c>
      <c r="D511" s="151">
        <f t="shared" si="1810"/>
        <v>113233</v>
      </c>
      <c r="E511" s="151">
        <f t="shared" si="1810"/>
        <v>108036</v>
      </c>
      <c r="F511" s="151">
        <f t="shared" si="1810"/>
        <v>132845.43199999997</v>
      </c>
      <c r="G511" s="151">
        <f t="shared" si="1810"/>
        <v>133222.39799999996</v>
      </c>
      <c r="H511" s="151">
        <f t="shared" si="1810"/>
        <v>153581.01999999996</v>
      </c>
      <c r="I511" s="151">
        <f t="shared" si="1810"/>
        <v>153581.01999999996</v>
      </c>
      <c r="J511" s="151">
        <f t="shared" si="1810"/>
        <v>152816.52899999998</v>
      </c>
      <c r="K511" s="151">
        <f t="shared" si="1810"/>
        <v>126529.81800000003</v>
      </c>
      <c r="L511" s="151">
        <f t="shared" si="1797"/>
        <v>164439.74000000005</v>
      </c>
      <c r="M511" s="151">
        <f t="shared" si="1797"/>
        <v>171724.01999999996</v>
      </c>
      <c r="N511" s="151">
        <f t="shared" si="1798"/>
        <v>189181.212</v>
      </c>
      <c r="O511" s="151">
        <f t="shared" si="1798"/>
        <v>252446.79099999997</v>
      </c>
      <c r="P511" s="151">
        <f t="shared" si="1799"/>
        <v>303274.68599999999</v>
      </c>
      <c r="Q511" s="63"/>
      <c r="R511" s="63">
        <f t="shared" ref="R511:AA511" si="1811">R488+R500</f>
        <v>15226.646999999997</v>
      </c>
      <c r="S511" s="63">
        <f t="shared" si="1811"/>
        <v>24131.000999999989</v>
      </c>
      <c r="T511" s="63">
        <f t="shared" si="1811"/>
        <v>22637.160000000018</v>
      </c>
      <c r="U511" s="63">
        <f t="shared" si="1811"/>
        <v>46041.044999999998</v>
      </c>
      <c r="V511" s="63">
        <f t="shared" si="1811"/>
        <v>26011.642999999989</v>
      </c>
      <c r="W511" s="63">
        <f t="shared" si="1811"/>
        <v>29605.648000000008</v>
      </c>
      <c r="X511" s="63">
        <f t="shared" si="1811"/>
        <v>26651.572000000007</v>
      </c>
      <c r="Y511" s="63">
        <f t="shared" si="1811"/>
        <v>50576.568999999989</v>
      </c>
      <c r="Z511" s="63">
        <f t="shared" si="1811"/>
        <v>27230.180999999997</v>
      </c>
      <c r="AA511" s="63">
        <f t="shared" si="1811"/>
        <v>35107.210999999981</v>
      </c>
      <c r="AB511" s="63">
        <f t="shared" ref="AB511:AM511" si="1812">AB488+AB500</f>
        <v>34005.641000000032</v>
      </c>
      <c r="AC511" s="63">
        <f t="shared" si="1812"/>
        <v>57237.986999999906</v>
      </c>
      <c r="AD511" s="63">
        <f t="shared" si="1812"/>
        <v>27122.391000000011</v>
      </c>
      <c r="AE511" s="63">
        <f t="shared" si="1812"/>
        <v>34399.902999999991</v>
      </c>
      <c r="AF511" s="63">
        <f t="shared" si="1812"/>
        <v>29765.278000000013</v>
      </c>
      <c r="AG511" s="63">
        <f t="shared" si="1812"/>
        <v>61528.956999999966</v>
      </c>
      <c r="AH511" s="63">
        <f t="shared" si="1812"/>
        <v>26902.358</v>
      </c>
      <c r="AI511" s="63">
        <f t="shared" si="1812"/>
        <v>19229.198999999986</v>
      </c>
      <c r="AJ511" s="63">
        <f t="shared" si="1812"/>
        <v>23044.232000000047</v>
      </c>
      <c r="AK511" s="63">
        <f t="shared" si="1812"/>
        <v>57354.02899999998</v>
      </c>
      <c r="AL511" s="63">
        <f t="shared" si="1812"/>
        <v>25836.455000000002</v>
      </c>
      <c r="AM511" s="63">
        <f t="shared" si="1812"/>
        <v>29830.743000000002</v>
      </c>
      <c r="AN511" s="63">
        <f>AN488+AN500</f>
        <v>34155.282999999967</v>
      </c>
      <c r="AO511" s="63">
        <f t="shared" si="1801"/>
        <v>74617.259000000035</v>
      </c>
      <c r="AP511" s="63">
        <f t="shared" si="1801"/>
        <v>36656.687000000005</v>
      </c>
      <c r="AQ511" s="63">
        <f t="shared" si="1801"/>
        <v>46106.42</v>
      </c>
      <c r="AR511" s="63">
        <f t="shared" si="1801"/>
        <v>23485.515999999974</v>
      </c>
      <c r="AS511" s="63">
        <f t="shared" si="1801"/>
        <v>65475.397000000012</v>
      </c>
      <c r="AT511" s="63">
        <f t="shared" si="1801"/>
        <v>24132.885999999999</v>
      </c>
      <c r="AU511" s="63">
        <f t="shared" si="1801"/>
        <v>35883.012000000017</v>
      </c>
      <c r="AV511" s="63">
        <f t="shared" si="1801"/>
        <v>31612.811999999976</v>
      </c>
      <c r="AW511" s="63">
        <f t="shared" si="1802"/>
        <v>97552.501999999979</v>
      </c>
      <c r="AX511" s="63">
        <f t="shared" si="1803"/>
        <v>40667.895000000004</v>
      </c>
      <c r="AY511" s="63">
        <f t="shared" si="1803"/>
        <v>62319.468000000008</v>
      </c>
      <c r="AZ511" s="63">
        <f t="shared" si="1803"/>
        <v>50014.676999999981</v>
      </c>
      <c r="BA511" s="63">
        <f t="shared" si="1804"/>
        <v>99444.75099999996</v>
      </c>
      <c r="BB511" s="63">
        <f t="shared" si="1804"/>
        <v>58773.89</v>
      </c>
      <c r="BC511" s="63">
        <f t="shared" si="1804"/>
        <v>64414.124000000025</v>
      </c>
      <c r="BD511" s="63">
        <f t="shared" si="1804"/>
        <v>64769.02499999998</v>
      </c>
      <c r="BE511" s="63">
        <f t="shared" si="1805"/>
        <v>115317.647</v>
      </c>
      <c r="BF511" s="63">
        <f t="shared" si="1805"/>
        <v>70205.094000000012</v>
      </c>
      <c r="BG511" s="142"/>
      <c r="BH511" s="63"/>
      <c r="BI511" s="63"/>
      <c r="BJ511" s="63"/>
      <c r="BK511" s="63"/>
      <c r="BL511" s="63"/>
      <c r="BM511" s="63"/>
      <c r="BN511" s="63">
        <f t="shared" ref="BN511:BV511" si="1813">BN488+BN500</f>
        <v>39358</v>
      </c>
      <c r="BO511" s="63">
        <f t="shared" si="1813"/>
        <v>55617</v>
      </c>
      <c r="BP511" s="63">
        <f t="shared" si="1813"/>
        <v>62337.391999999978</v>
      </c>
      <c r="BQ511" s="63">
        <f t="shared" si="1813"/>
        <v>61522.293999999994</v>
      </c>
      <c r="BR511" s="63">
        <f t="shared" si="1813"/>
        <v>46131.556999999986</v>
      </c>
      <c r="BS511" s="63">
        <f t="shared" si="1813"/>
        <v>55667.198000000004</v>
      </c>
      <c r="BT511" s="63">
        <f t="shared" si="1813"/>
        <v>82763.107000000018</v>
      </c>
      <c r="BU511" s="63">
        <f t="shared" si="1813"/>
        <v>60015.898000000016</v>
      </c>
      <c r="BV511" s="63">
        <f t="shared" si="1813"/>
        <v>102987.36300000001</v>
      </c>
      <c r="BW511" s="63">
        <f>BW488+BW500</f>
        <v>123188.01400000002</v>
      </c>
      <c r="BX511" s="63"/>
      <c r="BY511" s="63"/>
      <c r="BZ511" s="63">
        <f>BZ488+BZ500</f>
        <v>61522.293999999994</v>
      </c>
      <c r="CA511" s="63"/>
    </row>
    <row r="512" spans="2:79" ht="13.5" customHeight="1">
      <c r="B512" s="1" t="s">
        <v>525</v>
      </c>
      <c r="C512" s="151">
        <f t="shared" ref="C512:K512" si="1814">C489+C501</f>
        <v>62883</v>
      </c>
      <c r="D512" s="151">
        <f t="shared" si="1814"/>
        <v>53077</v>
      </c>
      <c r="E512" s="151">
        <f t="shared" si="1814"/>
        <v>54713</v>
      </c>
      <c r="F512" s="151">
        <f t="shared" si="1814"/>
        <v>61793.201000000001</v>
      </c>
      <c r="G512" s="151">
        <f t="shared" si="1814"/>
        <v>67969.959000000003</v>
      </c>
      <c r="H512" s="151">
        <f t="shared" si="1814"/>
        <v>63328.164999999994</v>
      </c>
      <c r="I512" s="151">
        <f t="shared" si="1814"/>
        <v>63328.164999999994</v>
      </c>
      <c r="J512" s="151">
        <f t="shared" si="1814"/>
        <v>70841.090999999986</v>
      </c>
      <c r="K512" s="151">
        <f t="shared" si="1814"/>
        <v>78330.352999999974</v>
      </c>
      <c r="L512" s="151">
        <f t="shared" si="1797"/>
        <v>85395.668000000005</v>
      </c>
      <c r="M512" s="151">
        <f t="shared" si="1797"/>
        <v>100169.43200000003</v>
      </c>
      <c r="N512" s="151">
        <f t="shared" si="1798"/>
        <v>88851.639999999985</v>
      </c>
      <c r="O512" s="151">
        <f t="shared" si="1798"/>
        <v>99733.014000000025</v>
      </c>
      <c r="P512" s="151">
        <f t="shared" si="1799"/>
        <v>89373.853999999992</v>
      </c>
      <c r="Q512" s="63"/>
      <c r="R512" s="63">
        <f t="shared" ref="R512:AA512" si="1815">R489+R501</f>
        <v>11657.762999999995</v>
      </c>
      <c r="S512" s="63">
        <f t="shared" si="1815"/>
        <v>13472.088</v>
      </c>
      <c r="T512" s="63">
        <f t="shared" si="1815"/>
        <v>15098.55</v>
      </c>
      <c r="U512" s="63">
        <f t="shared" si="1815"/>
        <v>14484.878000000008</v>
      </c>
      <c r="V512" s="63">
        <f t="shared" si="1815"/>
        <v>13188.726000000006</v>
      </c>
      <c r="W512" s="63">
        <f t="shared" si="1815"/>
        <v>15184.681</v>
      </c>
      <c r="X512" s="63">
        <f t="shared" si="1815"/>
        <v>16987.619999999981</v>
      </c>
      <c r="Y512" s="63">
        <f t="shared" si="1815"/>
        <v>16432.174000000014</v>
      </c>
      <c r="Z512" s="63">
        <f t="shared" si="1815"/>
        <v>16162.538</v>
      </c>
      <c r="AA512" s="63">
        <f t="shared" si="1815"/>
        <v>14128.434999999998</v>
      </c>
      <c r="AB512" s="63">
        <f t="shared" ref="AB512:AM512" si="1816">AB489+AB501</f>
        <v>15081.78100000001</v>
      </c>
      <c r="AC512" s="63">
        <f t="shared" si="1816"/>
        <v>17955.410999999971</v>
      </c>
      <c r="AD512" s="63">
        <f t="shared" si="1816"/>
        <v>17290.798999999999</v>
      </c>
      <c r="AE512" s="63">
        <f t="shared" si="1816"/>
        <v>16971.185000000005</v>
      </c>
      <c r="AF512" s="63">
        <f t="shared" si="1816"/>
        <v>19376.666000000005</v>
      </c>
      <c r="AG512" s="63">
        <f t="shared" si="1816"/>
        <v>17202.440999999992</v>
      </c>
      <c r="AH512" s="63">
        <f t="shared" si="1816"/>
        <v>17675.45</v>
      </c>
      <c r="AI512" s="63">
        <f t="shared" si="1816"/>
        <v>17064.687000000005</v>
      </c>
      <c r="AJ512" s="63">
        <f t="shared" si="1816"/>
        <v>21432.230999999985</v>
      </c>
      <c r="AK512" s="63">
        <f t="shared" si="1816"/>
        <v>22157.984999999986</v>
      </c>
      <c r="AL512" s="63">
        <f t="shared" si="1816"/>
        <v>18156.680999999997</v>
      </c>
      <c r="AM512" s="63">
        <f t="shared" si="1816"/>
        <v>20149.166000000012</v>
      </c>
      <c r="AN512" s="63">
        <f>AN489+AN501</f>
        <v>23791.627999999997</v>
      </c>
      <c r="AO512" s="63">
        <f t="shared" si="1801"/>
        <v>23298.193000000014</v>
      </c>
      <c r="AP512" s="63">
        <f t="shared" si="1801"/>
        <v>22362.926000000007</v>
      </c>
      <c r="AQ512" s="63">
        <f t="shared" si="1801"/>
        <v>25691.108999999997</v>
      </c>
      <c r="AR512" s="63">
        <f t="shared" si="1801"/>
        <v>26455.938999999984</v>
      </c>
      <c r="AS512" s="63">
        <f t="shared" si="1801"/>
        <v>25659.458000000042</v>
      </c>
      <c r="AT512" s="63">
        <f t="shared" si="1801"/>
        <v>19152.781000000003</v>
      </c>
      <c r="AU512" s="63">
        <f t="shared" si="1801"/>
        <v>19475.712</v>
      </c>
      <c r="AV512" s="63">
        <f t="shared" si="1801"/>
        <v>23343.584999999992</v>
      </c>
      <c r="AW512" s="63">
        <f t="shared" si="1802"/>
        <v>26879.561999999991</v>
      </c>
      <c r="AX512" s="63">
        <f t="shared" si="1803"/>
        <v>26449.988000000005</v>
      </c>
      <c r="AY512" s="63">
        <f t="shared" si="1803"/>
        <v>24199.113000000005</v>
      </c>
      <c r="AZ512" s="63">
        <f t="shared" si="1803"/>
        <v>24466.96899999999</v>
      </c>
      <c r="BA512" s="63">
        <f t="shared" si="1804"/>
        <v>24616.944000000025</v>
      </c>
      <c r="BB512" s="63">
        <f t="shared" si="1804"/>
        <v>22765.180999999997</v>
      </c>
      <c r="BC512" s="63">
        <f t="shared" si="1804"/>
        <v>22070.811000000002</v>
      </c>
      <c r="BD512" s="63">
        <f t="shared" si="1804"/>
        <v>22297.413000000015</v>
      </c>
      <c r="BE512" s="63">
        <f t="shared" si="1805"/>
        <v>22240.449000000001</v>
      </c>
      <c r="BF512" s="63">
        <f t="shared" si="1805"/>
        <v>20378.502999999997</v>
      </c>
      <c r="BG512" s="142"/>
      <c r="BH512" s="63"/>
      <c r="BI512" s="63"/>
      <c r="BJ512" s="63"/>
      <c r="BK512" s="63"/>
      <c r="BL512" s="63"/>
      <c r="BM512" s="63"/>
      <c r="BN512" s="63">
        <f t="shared" ref="BN512:BV512" si="1817">BN489+BN501</f>
        <v>25130</v>
      </c>
      <c r="BO512" s="63">
        <f t="shared" si="1817"/>
        <v>28373</v>
      </c>
      <c r="BP512" s="63">
        <f t="shared" si="1817"/>
        <v>30290.972999999998</v>
      </c>
      <c r="BQ512" s="63">
        <f t="shared" si="1817"/>
        <v>34261.984000000004</v>
      </c>
      <c r="BR512" s="63">
        <f t="shared" si="1817"/>
        <v>34740.137000000002</v>
      </c>
      <c r="BS512" s="63">
        <f t="shared" si="1817"/>
        <v>38305.847000000009</v>
      </c>
      <c r="BT512" s="63">
        <f t="shared" si="1817"/>
        <v>48054.035000000003</v>
      </c>
      <c r="BU512" s="63">
        <f t="shared" si="1817"/>
        <v>38628.493000000002</v>
      </c>
      <c r="BV512" s="63">
        <f t="shared" si="1817"/>
        <v>50649.10100000001</v>
      </c>
      <c r="BW512" s="63">
        <f>BW489+BW501</f>
        <v>44835.991999999998</v>
      </c>
      <c r="BX512" s="63"/>
      <c r="BY512" s="63"/>
      <c r="BZ512" s="63">
        <f>BZ489+BZ501</f>
        <v>34261.984000000004</v>
      </c>
      <c r="CA512" s="63"/>
    </row>
    <row r="513" spans="2:79" ht="13.5" customHeight="1">
      <c r="B513" s="1" t="s">
        <v>526</v>
      </c>
      <c r="C513" s="151"/>
      <c r="D513" s="151"/>
      <c r="E513" s="151"/>
      <c r="F513" s="151"/>
      <c r="G513" s="151"/>
      <c r="H513" s="151"/>
      <c r="I513" s="151"/>
      <c r="J513" s="151"/>
      <c r="K513" s="151"/>
      <c r="L513" s="151"/>
      <c r="M513" s="151"/>
      <c r="N513" s="151">
        <f t="shared" si="1798"/>
        <v>362476.63799999998</v>
      </c>
      <c r="O513" s="151">
        <f t="shared" si="1798"/>
        <v>433815.533</v>
      </c>
      <c r="P513" s="151">
        <f t="shared" si="1799"/>
        <v>614855.50300000003</v>
      </c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AW513" s="63">
        <f t="shared" si="1802"/>
        <v>362476.63799999998</v>
      </c>
      <c r="AX513" s="63"/>
      <c r="AY513" s="63"/>
      <c r="AZ513" s="63"/>
      <c r="BA513" s="63">
        <f t="shared" si="1804"/>
        <v>433815.533</v>
      </c>
      <c r="BB513" s="63"/>
      <c r="BC513" s="63"/>
      <c r="BD513" s="63">
        <f t="shared" si="1804"/>
        <v>446998.61200000002</v>
      </c>
      <c r="BE513" s="63">
        <f t="shared" si="1805"/>
        <v>167856.891</v>
      </c>
      <c r="BF513" s="63">
        <f t="shared" si="1805"/>
        <v>154780.83199999999</v>
      </c>
      <c r="BG513" s="142"/>
      <c r="BH513" s="63"/>
      <c r="BI513" s="63"/>
      <c r="BJ513" s="63"/>
      <c r="BK513" s="63"/>
      <c r="BL513" s="63"/>
      <c r="BM513" s="63"/>
      <c r="BN513" s="63"/>
      <c r="BO513" s="63"/>
      <c r="BP513" s="63"/>
      <c r="BQ513" s="63"/>
      <c r="BR513" s="63"/>
      <c r="BS513" s="63"/>
      <c r="BT513" s="63"/>
      <c r="BU513" s="63"/>
      <c r="BV513" s="63"/>
      <c r="BW513" s="63"/>
      <c r="BX513" s="63"/>
      <c r="BY513" s="63"/>
      <c r="BZ513" s="63"/>
      <c r="CA513" s="63"/>
    </row>
    <row r="514" spans="2:79" ht="13.5" customHeight="1">
      <c r="B514" s="1" t="s">
        <v>530</v>
      </c>
      <c r="C514" s="151"/>
      <c r="D514" s="151"/>
      <c r="E514" s="151"/>
      <c r="F514" s="151"/>
      <c r="G514" s="151"/>
      <c r="H514" s="151"/>
      <c r="I514" s="151"/>
      <c r="J514" s="151"/>
      <c r="K514" s="151"/>
      <c r="L514" s="151"/>
      <c r="M514" s="151"/>
      <c r="N514" s="151">
        <f t="shared" si="1798"/>
        <v>-95419.391999999993</v>
      </c>
      <c r="O514" s="151">
        <f t="shared" si="1798"/>
        <v>-24770.860000000015</v>
      </c>
      <c r="P514" s="151">
        <f t="shared" si="1799"/>
        <v>-69143.800999999978</v>
      </c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  <c r="AL514" s="63">
        <f t="shared" ref="AL514:AV514" si="1818">AL491+AL503</f>
        <v>-18667.669999999998</v>
      </c>
      <c r="AM514" s="63">
        <f t="shared" si="1818"/>
        <v>-34157.016000000003</v>
      </c>
      <c r="AN514" s="63">
        <f t="shared" si="1818"/>
        <v>-5595.1089999999967</v>
      </c>
      <c r="AO514" s="63">
        <f t="shared" si="1818"/>
        <v>58419.794999999998</v>
      </c>
      <c r="AP514" s="63">
        <f t="shared" si="1818"/>
        <v>1066.6969999999999</v>
      </c>
      <c r="AQ514" s="63">
        <f t="shared" si="1818"/>
        <v>-6257.0540000000001</v>
      </c>
      <c r="AR514" s="63">
        <f t="shared" si="1818"/>
        <v>18096.09</v>
      </c>
      <c r="AS514" s="63">
        <f t="shared" si="1818"/>
        <v>-12905.733</v>
      </c>
      <c r="AT514" s="63">
        <f t="shared" si="1818"/>
        <v>-28200.511999999999</v>
      </c>
      <c r="AU514" s="63">
        <f t="shared" si="1818"/>
        <v>-20579.914000000001</v>
      </c>
      <c r="AV514" s="63">
        <f t="shared" si="1818"/>
        <v>-18598.384999999998</v>
      </c>
      <c r="AW514" s="63">
        <f t="shared" si="1802"/>
        <v>-28040.581000000006</v>
      </c>
      <c r="AX514" s="63">
        <f>AX491+AX503</f>
        <v>-38501.894</v>
      </c>
      <c r="AY514" s="63">
        <f>AY491+AY503</f>
        <v>-64427.909</v>
      </c>
      <c r="AZ514" s="63">
        <f>AZ491+AZ503</f>
        <v>-37572.971000000005</v>
      </c>
      <c r="BA514" s="63">
        <f t="shared" si="1804"/>
        <v>115731.91399999999</v>
      </c>
      <c r="BB514" s="63">
        <f>BB491+BB503</f>
        <v>-4846.6990000000005</v>
      </c>
      <c r="BC514" s="63">
        <f>BC491+BC503</f>
        <v>-11174.55799999999</v>
      </c>
      <c r="BD514" s="63">
        <f>BD491+BD503</f>
        <v>-11165.068000000021</v>
      </c>
      <c r="BE514" s="63">
        <f t="shared" si="1805"/>
        <v>-41957.475999999959</v>
      </c>
      <c r="BF514" s="63">
        <f>BF491+BF503</f>
        <v>-25939.197000000004</v>
      </c>
      <c r="BG514" s="142"/>
      <c r="BH514" s="63"/>
      <c r="BI514" s="63"/>
      <c r="BJ514" s="63"/>
      <c r="BK514" s="63"/>
      <c r="BL514" s="63"/>
      <c r="BM514" s="63"/>
      <c r="BN514" s="63"/>
      <c r="BO514" s="63"/>
      <c r="BP514" s="63"/>
      <c r="BQ514" s="63"/>
      <c r="BR514" s="63"/>
      <c r="BS514" s="63">
        <f>BS491+BS503</f>
        <v>-52824.686000000002</v>
      </c>
      <c r="BT514" s="63">
        <f>BT491+BT503</f>
        <v>-5190.357</v>
      </c>
      <c r="BU514" s="63">
        <f>BU491+BU503</f>
        <v>-48780.425999999999</v>
      </c>
      <c r="BV514" s="63">
        <f>BV491+BV503</f>
        <v>-102929.803</v>
      </c>
      <c r="BW514" s="63">
        <f>BW491+BW503</f>
        <v>-16021.256999999998</v>
      </c>
      <c r="BX514" s="63"/>
      <c r="BY514" s="63"/>
      <c r="BZ514" s="63"/>
      <c r="CA514" s="63"/>
    </row>
    <row r="515" spans="2:79" ht="13.5" customHeight="1">
      <c r="B515" s="5" t="s">
        <v>531</v>
      </c>
      <c r="C515" s="150">
        <f t="shared" ref="C515:N515" si="1819">SUM(C508:C514)</f>
        <v>2383390</v>
      </c>
      <c r="D515" s="150">
        <f t="shared" si="1819"/>
        <v>2655077</v>
      </c>
      <c r="E515" s="150">
        <f t="shared" si="1819"/>
        <v>2717581</v>
      </c>
      <c r="F515" s="150">
        <f t="shared" si="1819"/>
        <v>2882293.2130000009</v>
      </c>
      <c r="G515" s="150">
        <f t="shared" si="1819"/>
        <v>2913208.544999999</v>
      </c>
      <c r="H515" s="150">
        <f t="shared" si="1819"/>
        <v>2975031.9590000012</v>
      </c>
      <c r="I515" s="150">
        <f t="shared" si="1819"/>
        <v>2721142.0520000006</v>
      </c>
      <c r="J515" s="150">
        <f t="shared" si="1819"/>
        <v>2620512.5850000009</v>
      </c>
      <c r="K515" s="150">
        <f t="shared" si="1819"/>
        <v>2490316.2589999982</v>
      </c>
      <c r="L515" s="150">
        <f t="shared" si="1819"/>
        <v>3287523.495000001</v>
      </c>
      <c r="M515" s="150">
        <f t="shared" si="1819"/>
        <v>3195943.1049999986</v>
      </c>
      <c r="N515" s="150">
        <f t="shared" si="1819"/>
        <v>2931547.5129999993</v>
      </c>
      <c r="O515" s="150">
        <f>SUM(O508:O514)</f>
        <v>3477359.370000001</v>
      </c>
      <c r="P515" s="150">
        <f>SUM(P508:P514)</f>
        <v>3971757.2659999998</v>
      </c>
      <c r="Q515" s="121"/>
      <c r="R515" s="150">
        <f t="shared" ref="R515:BA515" si="1820">SUM(R508:R514)</f>
        <v>623242.02099999995</v>
      </c>
      <c r="S515" s="150">
        <f t="shared" si="1820"/>
        <v>669770.46600000001</v>
      </c>
      <c r="T515" s="150">
        <f t="shared" si="1820"/>
        <v>635284.61600000015</v>
      </c>
      <c r="U515" s="150">
        <f t="shared" si="1820"/>
        <v>789284.68099999987</v>
      </c>
      <c r="V515" s="150">
        <f t="shared" si="1820"/>
        <v>670962.13799999969</v>
      </c>
      <c r="W515" s="150">
        <f t="shared" si="1820"/>
        <v>709944.88000000035</v>
      </c>
      <c r="X515" s="150">
        <f t="shared" si="1820"/>
        <v>660936.29100000032</v>
      </c>
      <c r="Y515" s="150">
        <f t="shared" si="1820"/>
        <v>840449.90400000021</v>
      </c>
      <c r="Z515" s="150">
        <f t="shared" si="1820"/>
        <v>701582.91300000018</v>
      </c>
      <c r="AA515" s="150">
        <f t="shared" si="1820"/>
        <v>745992.61400000006</v>
      </c>
      <c r="AB515" s="150">
        <f t="shared" si="1820"/>
        <v>687418.08900000027</v>
      </c>
      <c r="AC515" s="150">
        <f t="shared" si="1820"/>
        <v>840038.34300000023</v>
      </c>
      <c r="AD515" s="150">
        <f t="shared" si="1820"/>
        <v>603881.25000000047</v>
      </c>
      <c r="AE515" s="150">
        <f t="shared" si="1820"/>
        <v>663165.66000000015</v>
      </c>
      <c r="AF515" s="150">
        <f t="shared" si="1820"/>
        <v>604250.90300000052</v>
      </c>
      <c r="AG515" s="150">
        <f t="shared" si="1820"/>
        <v>749214.77199999976</v>
      </c>
      <c r="AH515" s="150">
        <f t="shared" si="1820"/>
        <v>586667.64300000004</v>
      </c>
      <c r="AI515" s="150">
        <f t="shared" si="1820"/>
        <v>394455.16800000018</v>
      </c>
      <c r="AJ515" s="150">
        <f t="shared" si="1820"/>
        <v>603994.74599999993</v>
      </c>
      <c r="AK515" s="150">
        <f t="shared" si="1820"/>
        <v>905198.70199999888</v>
      </c>
      <c r="AL515" s="150">
        <f t="shared" si="1820"/>
        <v>683877.14100000029</v>
      </c>
      <c r="AM515" s="150">
        <f t="shared" si="1820"/>
        <v>737215.97299999977</v>
      </c>
      <c r="AN515" s="150">
        <f t="shared" si="1820"/>
        <v>828281.54999999981</v>
      </c>
      <c r="AO515" s="150">
        <f t="shared" si="1820"/>
        <v>1038148.8310000004</v>
      </c>
      <c r="AP515" s="150">
        <f t="shared" si="1820"/>
        <v>749545.76599999995</v>
      </c>
      <c r="AQ515" s="150">
        <f t="shared" si="1820"/>
        <v>819724.68399999989</v>
      </c>
      <c r="AR515" s="150">
        <f t="shared" si="1820"/>
        <v>755356.38699999941</v>
      </c>
      <c r="AS515" s="150">
        <f t="shared" si="1820"/>
        <v>871316.26799999969</v>
      </c>
      <c r="AT515" s="150">
        <f t="shared" si="1820"/>
        <v>660524.51799999981</v>
      </c>
      <c r="AU515" s="150">
        <f t="shared" si="1820"/>
        <v>700450.15800000064</v>
      </c>
      <c r="AV515" s="150">
        <f t="shared" si="1820"/>
        <v>683474.41999999969</v>
      </c>
      <c r="AW515" s="150">
        <f t="shared" si="1820"/>
        <v>887098.4169999999</v>
      </c>
      <c r="AX515" s="150">
        <f t="shared" si="1820"/>
        <v>771702.99900000007</v>
      </c>
      <c r="AY515" s="150">
        <f t="shared" si="1820"/>
        <v>823358.54000000027</v>
      </c>
      <c r="AZ515" s="150">
        <f t="shared" si="1820"/>
        <v>809947.72400000016</v>
      </c>
      <c r="BA515" s="150">
        <f t="shared" si="1820"/>
        <v>1072350.1070000003</v>
      </c>
      <c r="BB515" s="150">
        <f>SUM(BB508:BB514)</f>
        <v>916166.2080000001</v>
      </c>
      <c r="BC515" s="150">
        <f>SUM(BC508:BC514)</f>
        <v>944103.38399999961</v>
      </c>
      <c r="BD515" s="150">
        <f>SUM(BD508:BD514)</f>
        <v>907970.32199999993</v>
      </c>
      <c r="BE515" s="150">
        <f>SUM(BE508:BE514)</f>
        <v>1203517.352</v>
      </c>
      <c r="BF515" s="150">
        <f>SUM(BF508:BF514)</f>
        <v>963874.48799999978</v>
      </c>
      <c r="BG515" s="142"/>
      <c r="BH515" s="121"/>
      <c r="BI515" s="121"/>
      <c r="BJ515" s="121"/>
      <c r="BK515" s="121"/>
      <c r="BL515" s="121"/>
      <c r="BM515" s="121"/>
      <c r="BN515" s="150">
        <f>SUM(BN508:BN512)</f>
        <v>1293013</v>
      </c>
      <c r="BO515" s="150">
        <f>SUM(BO508:BO512)</f>
        <v>1380907</v>
      </c>
      <c r="BP515" s="150">
        <f>SUM(BP508:BP512)</f>
        <v>1447575.5270000005</v>
      </c>
      <c r="BQ515" s="150">
        <f>SUM(BQ508:BQ512)</f>
        <v>1267046.9100000004</v>
      </c>
      <c r="BR515" s="150">
        <f>SUM(BR508:BR512)</f>
        <v>981122.81100000045</v>
      </c>
      <c r="BS515" s="150">
        <f>SUM(BS508:BS514)</f>
        <v>1421093.1139999998</v>
      </c>
      <c r="BT515" s="150">
        <f>SUM(BT508:BT514)</f>
        <v>1569270.4499999995</v>
      </c>
      <c r="BU515" s="150">
        <f>SUM(BU508:BU514)</f>
        <v>1360974.6760000007</v>
      </c>
      <c r="BV515" s="150">
        <f>SUM(BV508:BV514)</f>
        <v>1595061.5389999999</v>
      </c>
      <c r="BW515" s="150">
        <f>SUM(BW508:BW514)</f>
        <v>1860269.5919999997</v>
      </c>
      <c r="BX515" s="121"/>
      <c r="BY515" s="121"/>
      <c r="BZ515" s="150">
        <f>SUM(BZ508:BZ512)</f>
        <v>1267046.9100000004</v>
      </c>
      <c r="CA515" s="121"/>
    </row>
    <row r="516" spans="2:79" s="54" customFormat="1" ht="13.5" customHeight="1">
      <c r="B516" s="229" t="s">
        <v>386</v>
      </c>
      <c r="C516" s="228">
        <f t="shared" ref="C516:K516" si="1821">C515-C12</f>
        <v>-0.86499999929219484</v>
      </c>
      <c r="D516" s="228">
        <f t="shared" si="1821"/>
        <v>-0.94099999964237213</v>
      </c>
      <c r="E516" s="228">
        <f t="shared" si="1821"/>
        <v>-0.83999999985098839</v>
      </c>
      <c r="F516" s="228">
        <f t="shared" si="1821"/>
        <v>0</v>
      </c>
      <c r="G516" s="228">
        <f t="shared" si="1821"/>
        <v>0</v>
      </c>
      <c r="H516" s="228">
        <f t="shared" si="1821"/>
        <v>0</v>
      </c>
      <c r="I516" s="228">
        <f t="shared" si="1821"/>
        <v>0</v>
      </c>
      <c r="J516" s="228">
        <f t="shared" si="1821"/>
        <v>0</v>
      </c>
      <c r="K516" s="228">
        <f t="shared" si="1821"/>
        <v>0</v>
      </c>
      <c r="L516" s="228">
        <f>L515-L12</f>
        <v>0</v>
      </c>
      <c r="M516" s="228">
        <f>M515-M12</f>
        <v>0</v>
      </c>
      <c r="N516" s="228">
        <f>N515-N12</f>
        <v>0</v>
      </c>
      <c r="O516" s="228">
        <f>O515-O12</f>
        <v>0</v>
      </c>
      <c r="P516" s="228">
        <f>P515-P12</f>
        <v>-2.0000003278255463E-3</v>
      </c>
      <c r="Q516" s="228"/>
      <c r="R516" s="228">
        <f t="shared" ref="R516:AN516" si="1822">R515-R12</f>
        <v>-0.41400000010617077</v>
      </c>
      <c r="S516" s="228">
        <f t="shared" si="1822"/>
        <v>-0.15400000009685755</v>
      </c>
      <c r="T516" s="228">
        <f t="shared" si="1822"/>
        <v>0.56800000020302832</v>
      </c>
      <c r="U516" s="228">
        <f t="shared" si="1822"/>
        <v>-5.6000000331550837E-2</v>
      </c>
      <c r="V516" s="228">
        <f t="shared" si="1822"/>
        <v>0.76799999980721623</v>
      </c>
      <c r="W516" s="228">
        <f t="shared" si="1822"/>
        <v>-0.91799999983049929</v>
      </c>
      <c r="X516" s="228">
        <f t="shared" si="1822"/>
        <v>0.15000000025611371</v>
      </c>
      <c r="Y516" s="228">
        <f t="shared" si="1822"/>
        <v>0</v>
      </c>
      <c r="Z516" s="228">
        <f t="shared" si="1822"/>
        <v>0</v>
      </c>
      <c r="AA516" s="228">
        <f t="shared" si="1822"/>
        <v>1.0000000009313226E-2</v>
      </c>
      <c r="AB516" s="228">
        <f t="shared" si="1822"/>
        <v>-1.0000000358559191E-2</v>
      </c>
      <c r="AC516" s="228">
        <f t="shared" si="1822"/>
        <v>0</v>
      </c>
      <c r="AD516" s="228">
        <f t="shared" si="1822"/>
        <v>0</v>
      </c>
      <c r="AE516" s="228">
        <f t="shared" si="1822"/>
        <v>0</v>
      </c>
      <c r="AF516" s="228">
        <f t="shared" si="1822"/>
        <v>0</v>
      </c>
      <c r="AG516" s="228">
        <f t="shared" si="1822"/>
        <v>0</v>
      </c>
      <c r="AH516" s="228">
        <f t="shared" si="1822"/>
        <v>-0.31900000001769513</v>
      </c>
      <c r="AI516" s="228">
        <f t="shared" si="1822"/>
        <v>0.155000000144355</v>
      </c>
      <c r="AJ516" s="228">
        <f t="shared" si="1822"/>
        <v>0.16399999905843288</v>
      </c>
      <c r="AK516" s="228">
        <f t="shared" si="1822"/>
        <v>0</v>
      </c>
      <c r="AL516" s="228">
        <f t="shared" si="1822"/>
        <v>0</v>
      </c>
      <c r="AM516" s="228">
        <f t="shared" si="1822"/>
        <v>0</v>
      </c>
      <c r="AN516" s="228">
        <f t="shared" si="1822"/>
        <v>0</v>
      </c>
      <c r="AO516" s="228">
        <f t="shared" ref="AO516:AT516" si="1823">AO515-AO12</f>
        <v>0</v>
      </c>
      <c r="AP516" s="228">
        <f t="shared" si="1823"/>
        <v>0</v>
      </c>
      <c r="AQ516" s="228">
        <f t="shared" si="1823"/>
        <v>0</v>
      </c>
      <c r="AR516" s="228">
        <f t="shared" si="1823"/>
        <v>0</v>
      </c>
      <c r="AS516" s="228">
        <f t="shared" si="1823"/>
        <v>0</v>
      </c>
      <c r="AT516" s="228">
        <f t="shared" si="1823"/>
        <v>0</v>
      </c>
      <c r="AU516" s="228">
        <f t="shared" ref="AU516:AZ516" si="1824">AU515-AU12</f>
        <v>0</v>
      </c>
      <c r="AV516" s="228">
        <f t="shared" si="1824"/>
        <v>0.368999999249354</v>
      </c>
      <c r="AW516" s="228">
        <f t="shared" si="1824"/>
        <v>-0.36899999994784594</v>
      </c>
      <c r="AX516" s="228">
        <f t="shared" si="1824"/>
        <v>-3153.4810000001453</v>
      </c>
      <c r="AY516" s="450">
        <f t="shared" si="1824"/>
        <v>3153.4810000010766</v>
      </c>
      <c r="AZ516" s="450">
        <f t="shared" si="1824"/>
        <v>0</v>
      </c>
      <c r="BA516" s="450">
        <f t="shared" ref="BA516:BF516" si="1825">BA515-BA12</f>
        <v>0</v>
      </c>
      <c r="BB516" s="450">
        <f t="shared" si="1825"/>
        <v>0</v>
      </c>
      <c r="BC516" s="450">
        <f t="shared" si="1825"/>
        <v>0.35899999900721014</v>
      </c>
      <c r="BD516" s="450">
        <f t="shared" si="1825"/>
        <v>-0.35899999970570207</v>
      </c>
      <c r="BE516" s="450">
        <f t="shared" si="1825"/>
        <v>-1.999999862164259E-3</v>
      </c>
      <c r="BF516" s="450">
        <f t="shared" si="1825"/>
        <v>0</v>
      </c>
      <c r="BG516" s="451"/>
      <c r="BH516" s="450"/>
      <c r="BI516" s="450"/>
      <c r="BJ516" s="450"/>
      <c r="BK516" s="450"/>
      <c r="BL516" s="450"/>
      <c r="BM516" s="450"/>
      <c r="BN516" s="450">
        <f t="shared" ref="BN516:BS516" si="1826">BN515-BN12</f>
        <v>-5.5000000167638063E-2</v>
      </c>
      <c r="BO516" s="450">
        <f t="shared" si="1826"/>
        <v>-0.16800000006332994</v>
      </c>
      <c r="BP516" s="450">
        <f t="shared" si="1826"/>
        <v>1.0000000474974513E-2</v>
      </c>
      <c r="BQ516" s="450">
        <f t="shared" si="1826"/>
        <v>0</v>
      </c>
      <c r="BR516" s="450">
        <f t="shared" si="1826"/>
        <v>-0.16399999964050949</v>
      </c>
      <c r="BS516" s="450">
        <f t="shared" si="1826"/>
        <v>0</v>
      </c>
      <c r="BT516" s="450">
        <f>BT515-BT12</f>
        <v>0</v>
      </c>
      <c r="BU516" s="450">
        <f>BU515-BU12</f>
        <v>0</v>
      </c>
      <c r="BV516" s="450">
        <f>BV515-BV12</f>
        <v>0</v>
      </c>
      <c r="BW516" s="450">
        <f>BW515-BW12</f>
        <v>0.35899999924004078</v>
      </c>
      <c r="BX516" s="228"/>
      <c r="BY516" s="228"/>
      <c r="BZ516" s="228">
        <f>BZ515-BZ12</f>
        <v>0</v>
      </c>
      <c r="CA516" s="228"/>
    </row>
    <row r="517" spans="2:79" ht="13.5" customHeight="1">
      <c r="B517" s="5"/>
      <c r="C517" s="150"/>
      <c r="D517" s="150"/>
      <c r="E517" s="150"/>
      <c r="F517" s="150"/>
      <c r="G517" s="150"/>
      <c r="H517" s="150"/>
      <c r="I517" s="150"/>
      <c r="J517" s="150"/>
      <c r="K517" s="150"/>
      <c r="L517" s="150"/>
      <c r="M517" s="150"/>
      <c r="N517" s="150"/>
      <c r="O517" s="150"/>
      <c r="P517" s="150"/>
      <c r="Q517" s="121"/>
      <c r="R517" s="150"/>
      <c r="S517" s="150"/>
      <c r="T517" s="150"/>
      <c r="U517" s="150"/>
      <c r="V517" s="121"/>
      <c r="W517" s="121"/>
      <c r="X517" s="121"/>
      <c r="Y517" s="150"/>
      <c r="Z517" s="121"/>
      <c r="AA517" s="121"/>
      <c r="AB517" s="121"/>
      <c r="AC517" s="150"/>
      <c r="AD517" s="121"/>
      <c r="AE517" s="121"/>
      <c r="AF517" s="121"/>
      <c r="AG517" s="150"/>
      <c r="AH517" s="121"/>
      <c r="AI517" s="121"/>
      <c r="AJ517" s="121"/>
      <c r="AK517" s="150"/>
      <c r="AL517" s="121"/>
      <c r="AM517" s="121"/>
      <c r="AN517" s="121"/>
      <c r="AO517" s="150"/>
      <c r="AP517" s="121"/>
      <c r="AQ517" s="121"/>
      <c r="AR517" s="121"/>
      <c r="AS517" s="150"/>
      <c r="AT517" s="121"/>
      <c r="AU517" s="121"/>
      <c r="AV517" s="121"/>
      <c r="AW517" s="150"/>
      <c r="AX517" s="121"/>
      <c r="AY517" s="121"/>
      <c r="AZ517" s="121"/>
      <c r="BA517" s="150"/>
      <c r="BB517" s="121"/>
      <c r="BC517" s="121"/>
      <c r="BD517" s="121"/>
      <c r="BE517" s="150"/>
      <c r="BF517" s="121"/>
      <c r="BG517" s="142"/>
      <c r="BH517" s="121"/>
      <c r="BI517" s="121"/>
      <c r="BJ517" s="121"/>
      <c r="BK517" s="150"/>
      <c r="BL517" s="121"/>
      <c r="BM517" s="121"/>
      <c r="BN517" s="150"/>
      <c r="BO517" s="150"/>
      <c r="BP517" s="150"/>
      <c r="BQ517" s="150"/>
      <c r="BR517" s="150"/>
      <c r="BS517" s="150"/>
      <c r="BT517" s="150"/>
      <c r="BU517" s="150"/>
      <c r="BV517" s="150"/>
      <c r="BW517" s="150"/>
      <c r="BX517" s="121"/>
      <c r="BY517" s="121"/>
      <c r="BZ517" s="121"/>
      <c r="CA517" s="121"/>
    </row>
    <row r="518" spans="2:79" ht="13.5" customHeight="1">
      <c r="B518" s="445" t="s">
        <v>533</v>
      </c>
      <c r="C518" s="46">
        <v>41975</v>
      </c>
      <c r="D518" s="46">
        <v>42341</v>
      </c>
      <c r="E518" s="46">
        <v>42708</v>
      </c>
      <c r="F518" s="253">
        <f t="shared" ref="F518:K518" si="1827">F3</f>
        <v>43073</v>
      </c>
      <c r="G518" s="253">
        <f t="shared" si="1827"/>
        <v>43073</v>
      </c>
      <c r="H518" s="253">
        <f t="shared" si="1827"/>
        <v>43438</v>
      </c>
      <c r="I518" s="253">
        <f t="shared" si="1827"/>
        <v>43438</v>
      </c>
      <c r="J518" s="253">
        <f t="shared" si="1827"/>
        <v>43803</v>
      </c>
      <c r="K518" s="253">
        <f t="shared" si="1827"/>
        <v>44169</v>
      </c>
      <c r="L518" s="253">
        <f>L3</f>
        <v>44534</v>
      </c>
      <c r="M518" s="253">
        <f>M3</f>
        <v>44899</v>
      </c>
      <c r="N518" s="253">
        <f>N3</f>
        <v>45264</v>
      </c>
      <c r="O518" s="253">
        <f>O3</f>
        <v>45630</v>
      </c>
      <c r="P518" s="253">
        <f>P3</f>
        <v>45995</v>
      </c>
      <c r="Q518" s="329"/>
      <c r="R518" s="46">
        <v>42437</v>
      </c>
      <c r="S518" s="46">
        <v>42527</v>
      </c>
      <c r="T518" s="46">
        <v>42622</v>
      </c>
      <c r="U518" s="46">
        <v>42714</v>
      </c>
      <c r="V518" s="46">
        <v>42801</v>
      </c>
      <c r="W518" s="46">
        <v>42892</v>
      </c>
      <c r="X518" s="46">
        <v>42987</v>
      </c>
      <c r="Y518" s="46">
        <v>43079</v>
      </c>
      <c r="Z518" s="46">
        <f t="shared" ref="Z518:AN518" si="1828">Z3</f>
        <v>43166</v>
      </c>
      <c r="AA518" s="46">
        <f t="shared" si="1828"/>
        <v>43257</v>
      </c>
      <c r="AB518" s="46">
        <f t="shared" si="1828"/>
        <v>43352</v>
      </c>
      <c r="AC518" s="46">
        <f t="shared" si="1828"/>
        <v>43444</v>
      </c>
      <c r="AD518" s="253">
        <f t="shared" si="1828"/>
        <v>43531</v>
      </c>
      <c r="AE518" s="253">
        <f t="shared" si="1828"/>
        <v>43622</v>
      </c>
      <c r="AF518" s="253">
        <f t="shared" si="1828"/>
        <v>43738</v>
      </c>
      <c r="AG518" s="120">
        <f t="shared" si="1828"/>
        <v>43809</v>
      </c>
      <c r="AH518" s="253">
        <f t="shared" si="1828"/>
        <v>43897</v>
      </c>
      <c r="AI518" s="253">
        <f t="shared" si="1828"/>
        <v>43988</v>
      </c>
      <c r="AJ518" s="253">
        <f t="shared" si="1828"/>
        <v>44104</v>
      </c>
      <c r="AK518" s="120">
        <f t="shared" si="1828"/>
        <v>44175</v>
      </c>
      <c r="AL518" s="253">
        <f t="shared" si="1828"/>
        <v>44262</v>
      </c>
      <c r="AM518" s="253">
        <f t="shared" si="1828"/>
        <v>44348</v>
      </c>
      <c r="AN518" s="253">
        <f t="shared" si="1828"/>
        <v>44469</v>
      </c>
      <c r="AO518" s="120">
        <f t="shared" ref="AO518:AT518" si="1829">AO3</f>
        <v>44540</v>
      </c>
      <c r="AP518" s="253">
        <f t="shared" si="1829"/>
        <v>44651</v>
      </c>
      <c r="AQ518" s="253">
        <f t="shared" si="1829"/>
        <v>44713</v>
      </c>
      <c r="AR518" s="253">
        <f t="shared" si="1829"/>
        <v>44834</v>
      </c>
      <c r="AS518" s="120">
        <f t="shared" si="1829"/>
        <v>44905</v>
      </c>
      <c r="AT518" s="253">
        <f t="shared" si="1829"/>
        <v>45016</v>
      </c>
      <c r="AU518" s="253">
        <f t="shared" ref="AU518:AZ518" si="1830">AU3</f>
        <v>45078</v>
      </c>
      <c r="AV518" s="253">
        <f t="shared" si="1830"/>
        <v>45199</v>
      </c>
      <c r="AW518" s="120">
        <f t="shared" si="1830"/>
        <v>45270</v>
      </c>
      <c r="AX518" s="253">
        <f t="shared" si="1830"/>
        <v>45382</v>
      </c>
      <c r="AY518" s="253">
        <f t="shared" si="1830"/>
        <v>45444</v>
      </c>
      <c r="AZ518" s="253">
        <f t="shared" si="1830"/>
        <v>45565</v>
      </c>
      <c r="BA518" s="120">
        <f t="shared" ref="BA518:BF518" si="1831">BA3</f>
        <v>45636</v>
      </c>
      <c r="BB518" s="253">
        <f t="shared" si="1831"/>
        <v>45747</v>
      </c>
      <c r="BC518" s="253">
        <f t="shared" si="1831"/>
        <v>45809</v>
      </c>
      <c r="BD518" s="253">
        <f t="shared" si="1831"/>
        <v>45930</v>
      </c>
      <c r="BE518" s="120">
        <f t="shared" si="1831"/>
        <v>46001</v>
      </c>
      <c r="BF518" s="253">
        <f t="shared" si="1831"/>
        <v>46112</v>
      </c>
      <c r="BG518" s="142"/>
      <c r="BH518" s="46"/>
      <c r="BI518" s="46"/>
      <c r="BJ518" s="46"/>
      <c r="BK518" s="46"/>
      <c r="BL518" s="253"/>
      <c r="BM518" s="329"/>
      <c r="BN518" s="46">
        <v>42530</v>
      </c>
      <c r="BO518" s="46">
        <v>42896</v>
      </c>
      <c r="BP518" s="46">
        <f t="shared" ref="BP518:BU518" si="1832">BP3</f>
        <v>43261</v>
      </c>
      <c r="BQ518" s="253">
        <f t="shared" si="1832"/>
        <v>43646</v>
      </c>
      <c r="BR518" s="253">
        <f t="shared" si="1832"/>
        <v>44012</v>
      </c>
      <c r="BS518" s="253">
        <f t="shared" si="1832"/>
        <v>44377</v>
      </c>
      <c r="BT518" s="253">
        <f t="shared" si="1832"/>
        <v>44742</v>
      </c>
      <c r="BU518" s="253">
        <f t="shared" si="1832"/>
        <v>45107</v>
      </c>
      <c r="BV518" s="253">
        <f>BV3</f>
        <v>45473</v>
      </c>
      <c r="BW518" s="253">
        <f>BW3</f>
        <v>45838</v>
      </c>
      <c r="BX518" s="62"/>
      <c r="BY518" s="329"/>
      <c r="BZ518" s="253">
        <f>BZ3</f>
        <v>43646</v>
      </c>
      <c r="CA518" s="62"/>
    </row>
    <row r="519" spans="2:79" ht="13.5" customHeight="1">
      <c r="B519" s="1" t="s">
        <v>534</v>
      </c>
      <c r="C519" s="151">
        <f t="shared" ref="C519:K519" si="1833">C31</f>
        <v>315666.92200000002</v>
      </c>
      <c r="D519" s="151">
        <f t="shared" si="1833"/>
        <v>351949.21299999999</v>
      </c>
      <c r="E519" s="151">
        <f t="shared" si="1833"/>
        <v>374519.73300000001</v>
      </c>
      <c r="F519" s="151">
        <f t="shared" si="1833"/>
        <v>425571.63199999998</v>
      </c>
      <c r="G519" s="151">
        <f t="shared" si="1833"/>
        <v>448714.266</v>
      </c>
      <c r="H519" s="151">
        <f t="shared" si="1833"/>
        <v>475375.43599999999</v>
      </c>
      <c r="I519" s="151">
        <f t="shared" si="1833"/>
        <v>871179.34299999999</v>
      </c>
      <c r="J519" s="151">
        <f t="shared" si="1833"/>
        <v>925626.22399999993</v>
      </c>
      <c r="K519" s="151">
        <f t="shared" si="1833"/>
        <v>840671.15500000003</v>
      </c>
      <c r="L519" s="151">
        <f>L31</f>
        <v>785252.01799999992</v>
      </c>
      <c r="M519" s="151">
        <f>M31</f>
        <v>1102148.3419999999</v>
      </c>
      <c r="N519" s="151">
        <f>N31</f>
        <v>1044424.5269999999</v>
      </c>
      <c r="O519" s="151">
        <f>O31</f>
        <v>1058093.321</v>
      </c>
      <c r="P519" s="151">
        <f>P31</f>
        <v>1233618.6170000001</v>
      </c>
      <c r="Q519" s="63"/>
      <c r="R519" s="151">
        <f t="shared" ref="R519:AN519" si="1834">R31</f>
        <v>89546.331000000006</v>
      </c>
      <c r="S519" s="151">
        <f t="shared" si="1834"/>
        <v>92321.713000000018</v>
      </c>
      <c r="T519" s="63">
        <f t="shared" si="1834"/>
        <v>94534.698999999993</v>
      </c>
      <c r="U519" s="63">
        <f t="shared" si="1834"/>
        <v>98116.990000000049</v>
      </c>
      <c r="V519" s="63">
        <f t="shared" si="1834"/>
        <v>99960.428000000014</v>
      </c>
      <c r="W519" s="63">
        <f t="shared" si="1834"/>
        <v>110446.71299999996</v>
      </c>
      <c r="X519" s="63">
        <f t="shared" si="1834"/>
        <v>106443.34899999999</v>
      </c>
      <c r="Y519" s="63">
        <f t="shared" si="1834"/>
        <v>108721.14199999999</v>
      </c>
      <c r="Z519" s="63">
        <f t="shared" si="1834"/>
        <v>112998.66099999999</v>
      </c>
      <c r="AA519" s="63">
        <f t="shared" si="1834"/>
        <v>117687.95999999998</v>
      </c>
      <c r="AB519" s="63">
        <f t="shared" si="1834"/>
        <v>120979.67200000004</v>
      </c>
      <c r="AC519" s="63">
        <f t="shared" si="1834"/>
        <v>123709.14299999997</v>
      </c>
      <c r="AD519" s="63">
        <f t="shared" si="1834"/>
        <v>224533.87099999998</v>
      </c>
      <c r="AE519" s="63">
        <f t="shared" si="1834"/>
        <v>230428.19500000007</v>
      </c>
      <c r="AF519" s="63">
        <f t="shared" si="1834"/>
        <v>233795.29200000004</v>
      </c>
      <c r="AG519" s="63">
        <f t="shared" si="1834"/>
        <v>236868.86599999989</v>
      </c>
      <c r="AH519" s="63">
        <f t="shared" si="1834"/>
        <v>243001.505</v>
      </c>
      <c r="AI519" s="63">
        <f t="shared" si="1834"/>
        <v>215488.28699999998</v>
      </c>
      <c r="AJ519" s="63">
        <f t="shared" si="1834"/>
        <v>193094.44100000002</v>
      </c>
      <c r="AK519" s="63">
        <f t="shared" si="1834"/>
        <v>189086.92199999996</v>
      </c>
      <c r="AL519" s="63">
        <f t="shared" si="1834"/>
        <v>182467.06100000002</v>
      </c>
      <c r="AM519" s="63">
        <f t="shared" si="1834"/>
        <v>185489.00599999996</v>
      </c>
      <c r="AN519" s="63">
        <f t="shared" si="1834"/>
        <v>193653.04100000006</v>
      </c>
      <c r="AO519" s="63">
        <f t="shared" ref="AO519:AT519" si="1835">AO31</f>
        <v>223642.90999999992</v>
      </c>
      <c r="AP519" s="63">
        <f t="shared" si="1835"/>
        <v>250941.04799999998</v>
      </c>
      <c r="AQ519" s="63">
        <f t="shared" si="1835"/>
        <v>281834.14100000006</v>
      </c>
      <c r="AR519" s="63">
        <f t="shared" si="1835"/>
        <v>285708.89699999988</v>
      </c>
      <c r="AS519" s="63">
        <f t="shared" si="1835"/>
        <v>283664.25600000011</v>
      </c>
      <c r="AT519" s="63">
        <f t="shared" si="1835"/>
        <v>265309.06900000002</v>
      </c>
      <c r="AU519" s="63">
        <f t="shared" ref="AU519:AZ519" si="1836">AU31</f>
        <v>260304.98299999995</v>
      </c>
      <c r="AV519" s="63">
        <f t="shared" si="1836"/>
        <v>266738.35099999997</v>
      </c>
      <c r="AW519" s="63">
        <f t="shared" si="1836"/>
        <v>252072.12399999995</v>
      </c>
      <c r="AX519" s="63">
        <f t="shared" si="1836"/>
        <v>254727.34299999999</v>
      </c>
      <c r="AY519" s="63">
        <f t="shared" si="1836"/>
        <v>263686.87599999999</v>
      </c>
      <c r="AZ519" s="63">
        <f t="shared" si="1836"/>
        <v>263382.08499999996</v>
      </c>
      <c r="BA519" s="63">
        <f t="shared" ref="BA519:BF519" si="1837">BA31</f>
        <v>276297.01699999999</v>
      </c>
      <c r="BB519" s="63">
        <f t="shared" si="1837"/>
        <v>292917.22599999997</v>
      </c>
      <c r="BC519" s="63">
        <f t="shared" si="1837"/>
        <v>305513.12099999998</v>
      </c>
      <c r="BD519" s="63">
        <f t="shared" si="1837"/>
        <v>310376.38400000014</v>
      </c>
      <c r="BE519" s="63">
        <f t="shared" si="1837"/>
        <v>324811.88600000006</v>
      </c>
      <c r="BF519" s="63">
        <f t="shared" si="1837"/>
        <v>337215.58400000003</v>
      </c>
      <c r="BG519" s="142"/>
      <c r="BH519" s="63"/>
      <c r="BI519" s="63"/>
      <c r="BJ519" s="63"/>
      <c r="BK519" s="63"/>
      <c r="BL519" s="63"/>
      <c r="BM519" s="63"/>
      <c r="BN519" s="63">
        <f t="shared" ref="BN519:BS519" si="1838">BN31</f>
        <v>181868.04399999999</v>
      </c>
      <c r="BO519" s="63">
        <f t="shared" si="1838"/>
        <v>210407.14099999997</v>
      </c>
      <c r="BP519" s="63">
        <f t="shared" si="1838"/>
        <v>230686.62099999998</v>
      </c>
      <c r="BQ519" s="63">
        <f t="shared" si="1838"/>
        <v>454962.06599999999</v>
      </c>
      <c r="BR519" s="63">
        <f t="shared" si="1838"/>
        <v>458489.79199999996</v>
      </c>
      <c r="BS519" s="63">
        <f t="shared" si="1838"/>
        <v>367956.06699999998</v>
      </c>
      <c r="BT519" s="63">
        <f>BT31</f>
        <v>532775.18900000001</v>
      </c>
      <c r="BU519" s="63">
        <f>BU31</f>
        <v>525614.05199999991</v>
      </c>
      <c r="BV519" s="63">
        <f>BV31</f>
        <v>518414.21899999992</v>
      </c>
      <c r="BW519" s="63">
        <f>BW31</f>
        <v>598430.34699999995</v>
      </c>
      <c r="BX519" s="63"/>
      <c r="BY519" s="63"/>
      <c r="BZ519" s="63">
        <f>BZ31</f>
        <v>454962.06599999999</v>
      </c>
      <c r="CA519" s="63"/>
    </row>
    <row r="520" spans="2:79" ht="13.5" customHeight="1">
      <c r="B520" s="1" t="s">
        <v>535</v>
      </c>
      <c r="C520" s="151">
        <f t="shared" ref="C520:K520" si="1839">C34</f>
        <v>77656.817999999999</v>
      </c>
      <c r="D520" s="151">
        <f t="shared" si="1839"/>
        <v>102308.12899999999</v>
      </c>
      <c r="E520" s="151">
        <f t="shared" si="1839"/>
        <v>123348.05900000001</v>
      </c>
      <c r="F520" s="151">
        <f t="shared" si="1839"/>
        <v>126035.26599999999</v>
      </c>
      <c r="G520" s="151">
        <f t="shared" si="1839"/>
        <v>103771.47499999999</v>
      </c>
      <c r="H520" s="151">
        <f t="shared" si="1839"/>
        <v>104675.46500000001</v>
      </c>
      <c r="I520" s="151">
        <f t="shared" si="1839"/>
        <v>105715.239</v>
      </c>
      <c r="J520" s="151">
        <f t="shared" si="1839"/>
        <v>128986.378</v>
      </c>
      <c r="K520" s="151">
        <f t="shared" si="1839"/>
        <v>120146.54100000001</v>
      </c>
      <c r="L520" s="151">
        <f>L34</f>
        <v>143551.56100000002</v>
      </c>
      <c r="M520" s="151">
        <f>M34</f>
        <v>188718.52899999998</v>
      </c>
      <c r="N520" s="151">
        <f>N34</f>
        <v>246017.258</v>
      </c>
      <c r="O520" s="151">
        <f>O34</f>
        <v>252923.11800000002</v>
      </c>
      <c r="P520" s="151">
        <f>P34</f>
        <v>295778.64800000004</v>
      </c>
      <c r="Q520" s="63"/>
      <c r="R520" s="151">
        <f t="shared" ref="R520:AN520" si="1840">R34</f>
        <v>29623.712999999996</v>
      </c>
      <c r="S520" s="151">
        <f t="shared" si="1840"/>
        <v>29389.896000000004</v>
      </c>
      <c r="T520" s="63">
        <f t="shared" si="1840"/>
        <v>31596.343000000001</v>
      </c>
      <c r="U520" s="63">
        <f t="shared" si="1840"/>
        <v>32738.107000000007</v>
      </c>
      <c r="V520" s="63">
        <f t="shared" si="1840"/>
        <v>32024.792999999998</v>
      </c>
      <c r="W520" s="63">
        <f t="shared" si="1840"/>
        <v>32027.754000000004</v>
      </c>
      <c r="X520" s="63">
        <f t="shared" si="1840"/>
        <v>30807.279999999992</v>
      </c>
      <c r="Y520" s="63">
        <f t="shared" si="1840"/>
        <v>31175.43899999998</v>
      </c>
      <c r="Z520" s="63">
        <f t="shared" si="1840"/>
        <v>24655.161999999997</v>
      </c>
      <c r="AA520" s="63">
        <f t="shared" si="1840"/>
        <v>24733.333999999995</v>
      </c>
      <c r="AB520" s="63">
        <f t="shared" si="1840"/>
        <v>27141.341999999997</v>
      </c>
      <c r="AC520" s="63">
        <f t="shared" si="1840"/>
        <v>28145.627000000037</v>
      </c>
      <c r="AD520" s="63">
        <f t="shared" si="1840"/>
        <v>30188.954000000002</v>
      </c>
      <c r="AE520" s="63">
        <f t="shared" si="1840"/>
        <v>30739.042000000005</v>
      </c>
      <c r="AF520" s="63">
        <f t="shared" si="1840"/>
        <v>34407.292999999976</v>
      </c>
      <c r="AG520" s="63">
        <f t="shared" si="1840"/>
        <v>33651.089000000022</v>
      </c>
      <c r="AH520" s="63">
        <f t="shared" si="1840"/>
        <v>35635.807000000001</v>
      </c>
      <c r="AI520" s="63">
        <f t="shared" si="1840"/>
        <v>25236.088</v>
      </c>
      <c r="AJ520" s="63">
        <f t="shared" si="1840"/>
        <v>29911.433000000023</v>
      </c>
      <c r="AK520" s="63">
        <f t="shared" si="1840"/>
        <v>29363.212999999992</v>
      </c>
      <c r="AL520" s="63">
        <f t="shared" si="1840"/>
        <v>32660.811999999998</v>
      </c>
      <c r="AM520" s="63">
        <f t="shared" si="1840"/>
        <v>30735.811999999998</v>
      </c>
      <c r="AN520" s="63">
        <f t="shared" si="1840"/>
        <v>36695.114000000001</v>
      </c>
      <c r="AO520" s="63">
        <f t="shared" ref="AO520:AT520" si="1841">AO34</f>
        <v>43459.823000000019</v>
      </c>
      <c r="AP520" s="63">
        <f t="shared" si="1841"/>
        <v>51371.660999999993</v>
      </c>
      <c r="AQ520" s="63">
        <f t="shared" si="1841"/>
        <v>43452.341000000008</v>
      </c>
      <c r="AR520" s="63">
        <f t="shared" si="1841"/>
        <v>46777.170000000006</v>
      </c>
      <c r="AS520" s="63">
        <f t="shared" si="1841"/>
        <v>47117.357000000011</v>
      </c>
      <c r="AT520" s="63">
        <f t="shared" si="1841"/>
        <v>63669.865000000005</v>
      </c>
      <c r="AU520" s="63">
        <f t="shared" ref="AU520:AZ520" si="1842">AU34</f>
        <v>56993.247999999992</v>
      </c>
      <c r="AV520" s="63">
        <f t="shared" si="1842"/>
        <v>71938.991999999998</v>
      </c>
      <c r="AW520" s="63">
        <f t="shared" si="1842"/>
        <v>53415.153000000006</v>
      </c>
      <c r="AX520" s="63">
        <f t="shared" si="1842"/>
        <v>61650.871999999996</v>
      </c>
      <c r="AY520" s="63">
        <f t="shared" si="1842"/>
        <v>61541.444000000018</v>
      </c>
      <c r="AZ520" s="63">
        <f t="shared" si="1842"/>
        <v>65364.841999999997</v>
      </c>
      <c r="BA520" s="63">
        <f t="shared" ref="BA520:BF520" si="1843">BA34</f>
        <v>64365.960000000028</v>
      </c>
      <c r="BB520" s="63">
        <f t="shared" si="1843"/>
        <v>72566.041999999987</v>
      </c>
      <c r="BC520" s="63">
        <f t="shared" si="1843"/>
        <v>70919.562999999995</v>
      </c>
      <c r="BD520" s="63">
        <f t="shared" si="1843"/>
        <v>74713.335000000021</v>
      </c>
      <c r="BE520" s="63">
        <f t="shared" si="1843"/>
        <v>77579.707999999984</v>
      </c>
      <c r="BF520" s="63">
        <f t="shared" si="1843"/>
        <v>98688.697</v>
      </c>
      <c r="BG520" s="142"/>
      <c r="BH520" s="63"/>
      <c r="BI520" s="63"/>
      <c r="BJ520" s="63"/>
      <c r="BK520" s="63"/>
      <c r="BL520" s="63"/>
      <c r="BM520" s="63"/>
      <c r="BN520" s="63">
        <f t="shared" ref="BN520:BS520" si="1844">BN34</f>
        <v>59013.608999999997</v>
      </c>
      <c r="BO520" s="63">
        <f t="shared" si="1844"/>
        <v>64052.547000000006</v>
      </c>
      <c r="BP520" s="63">
        <f t="shared" si="1844"/>
        <v>49388.495999999992</v>
      </c>
      <c r="BQ520" s="63">
        <f t="shared" si="1844"/>
        <v>60927.996000000006</v>
      </c>
      <c r="BR520" s="63">
        <f t="shared" si="1844"/>
        <v>60871.894999999997</v>
      </c>
      <c r="BS520" s="63">
        <f t="shared" si="1844"/>
        <v>63396.623999999996</v>
      </c>
      <c r="BT520" s="63">
        <f>BT34</f>
        <v>94824.002000000008</v>
      </c>
      <c r="BU520" s="63">
        <f>BU34</f>
        <v>120663.113</v>
      </c>
      <c r="BV520" s="63">
        <f>BV34</f>
        <v>123192.31600000002</v>
      </c>
      <c r="BW520" s="63">
        <f>BW34</f>
        <v>143485.60499999998</v>
      </c>
      <c r="BX520" s="63"/>
      <c r="BY520" s="63"/>
      <c r="BZ520" s="63">
        <f>BZ34</f>
        <v>60927.996000000006</v>
      </c>
      <c r="CA520" s="63"/>
    </row>
    <row r="521" spans="2:79" ht="13.5" customHeight="1">
      <c r="B521" s="1" t="s">
        <v>536</v>
      </c>
      <c r="C521" s="151">
        <f t="shared" ref="C521:K521" si="1845">C37</f>
        <v>827.14599999999996</v>
      </c>
      <c r="D521" s="151">
        <f t="shared" si="1845"/>
        <v>2147.7939999999999</v>
      </c>
      <c r="E521" s="151">
        <f t="shared" si="1845"/>
        <v>-69.539000000000001</v>
      </c>
      <c r="F521" s="151">
        <f t="shared" si="1845"/>
        <v>-1278.595</v>
      </c>
      <c r="G521" s="151">
        <f t="shared" si="1845"/>
        <v>1377.03</v>
      </c>
      <c r="H521" s="151">
        <f t="shared" si="1845"/>
        <v>2128.723</v>
      </c>
      <c r="I521" s="151">
        <f t="shared" si="1845"/>
        <v>7139.46</v>
      </c>
      <c r="J521" s="151">
        <f t="shared" si="1845"/>
        <v>3402.0239999999999</v>
      </c>
      <c r="K521" s="151">
        <f t="shared" si="1845"/>
        <v>2125.4769999999999</v>
      </c>
      <c r="L521" s="151">
        <f>L37</f>
        <v>3320.4340000000002</v>
      </c>
      <c r="M521" s="151">
        <f>M37</f>
        <v>17219.311000000002</v>
      </c>
      <c r="N521" s="151">
        <f>N37</f>
        <v>22017.938999999998</v>
      </c>
      <c r="O521" s="151">
        <f>O37</f>
        <v>26509.757000000001</v>
      </c>
      <c r="P521" s="151">
        <f>P37</f>
        <v>11324.466</v>
      </c>
      <c r="Q521" s="63"/>
      <c r="R521" s="151">
        <f t="shared" ref="R521:AN521" si="1846">R37</f>
        <v>72.427000000000007</v>
      </c>
      <c r="S521" s="151">
        <f t="shared" si="1846"/>
        <v>178.83299999999997</v>
      </c>
      <c r="T521" s="63">
        <f t="shared" si="1846"/>
        <v>-367.358</v>
      </c>
      <c r="U521" s="63">
        <f t="shared" si="1846"/>
        <v>46.55900000000004</v>
      </c>
      <c r="V521" s="63">
        <f t="shared" si="1846"/>
        <v>-329.38299999999998</v>
      </c>
      <c r="W521" s="63">
        <f t="shared" si="1846"/>
        <v>-145.96700000000004</v>
      </c>
      <c r="X521" s="63">
        <f t="shared" si="1846"/>
        <v>-20.250999999999976</v>
      </c>
      <c r="Y521" s="63">
        <f t="shared" si="1846"/>
        <v>-782.99399999999991</v>
      </c>
      <c r="Z521" s="63">
        <f t="shared" si="1846"/>
        <v>464.65899999999999</v>
      </c>
      <c r="AA521" s="63">
        <f t="shared" si="1846"/>
        <v>339.02200000000005</v>
      </c>
      <c r="AB521" s="63">
        <f t="shared" si="1846"/>
        <v>647.20399999999984</v>
      </c>
      <c r="AC521" s="63">
        <f t="shared" si="1846"/>
        <v>677.83800000000031</v>
      </c>
      <c r="AD521" s="63">
        <f t="shared" si="1846"/>
        <v>302.83499999999998</v>
      </c>
      <c r="AE521" s="63">
        <f t="shared" si="1846"/>
        <v>1032.999</v>
      </c>
      <c r="AF521" s="63">
        <f t="shared" si="1846"/>
        <v>1047.4869999999999</v>
      </c>
      <c r="AG521" s="63">
        <f t="shared" si="1846"/>
        <v>1018.7030000000002</v>
      </c>
      <c r="AH521" s="63">
        <f t="shared" si="1846"/>
        <v>297.166</v>
      </c>
      <c r="AI521" s="63">
        <f t="shared" si="1846"/>
        <v>668.77299999999991</v>
      </c>
      <c r="AJ521" s="63">
        <f t="shared" si="1846"/>
        <v>164.34700000000015</v>
      </c>
      <c r="AK521" s="63">
        <f t="shared" si="1846"/>
        <v>995.1909999999998</v>
      </c>
      <c r="AL521" s="63">
        <f t="shared" si="1846"/>
        <v>852.08799999999997</v>
      </c>
      <c r="AM521" s="63">
        <f t="shared" si="1846"/>
        <v>1461.99</v>
      </c>
      <c r="AN521" s="63">
        <f t="shared" si="1846"/>
        <v>467.44399999999996</v>
      </c>
      <c r="AO521" s="63">
        <f t="shared" ref="AO521:AT521" si="1847">AO37</f>
        <v>538.91200000000026</v>
      </c>
      <c r="AP521" s="63">
        <f t="shared" si="1847"/>
        <v>2825.3330000000001</v>
      </c>
      <c r="AQ521" s="63">
        <f t="shared" si="1847"/>
        <v>3357.5319999999997</v>
      </c>
      <c r="AR521" s="63">
        <f t="shared" si="1847"/>
        <v>993.08300000000054</v>
      </c>
      <c r="AS521" s="63">
        <f t="shared" si="1847"/>
        <v>10043.363000000001</v>
      </c>
      <c r="AT521" s="63">
        <f t="shared" si="1847"/>
        <v>2422.16</v>
      </c>
      <c r="AU521" s="63">
        <f t="shared" ref="AU521:AZ521" si="1848">AU37</f>
        <v>5259.7120000000004</v>
      </c>
      <c r="AV521" s="63">
        <f t="shared" si="1848"/>
        <v>5603.6500000000005</v>
      </c>
      <c r="AW521" s="63">
        <f t="shared" si="1848"/>
        <v>8732.4169999999976</v>
      </c>
      <c r="AX521" s="63">
        <f t="shared" si="1848"/>
        <v>12696.022999999999</v>
      </c>
      <c r="AY521" s="63">
        <f t="shared" si="1848"/>
        <v>3200.7780000000002</v>
      </c>
      <c r="AZ521" s="63">
        <f t="shared" si="1848"/>
        <v>1513.6589999999997</v>
      </c>
      <c r="BA521" s="63">
        <f t="shared" ref="BA521:BF521" si="1849">BA37</f>
        <v>9099.2970000000005</v>
      </c>
      <c r="BB521" s="63">
        <f t="shared" si="1849"/>
        <v>2772.93</v>
      </c>
      <c r="BC521" s="63">
        <f t="shared" si="1849"/>
        <v>3476.3300000000004</v>
      </c>
      <c r="BD521" s="63">
        <f t="shared" si="1849"/>
        <v>1680.9169999999999</v>
      </c>
      <c r="BE521" s="63">
        <f t="shared" si="1849"/>
        <v>3394.2890000000011</v>
      </c>
      <c r="BF521" s="63">
        <f t="shared" si="1849"/>
        <v>5150.8680000000004</v>
      </c>
      <c r="BG521" s="142"/>
      <c r="BH521" s="63"/>
      <c r="BI521" s="63"/>
      <c r="BJ521" s="63"/>
      <c r="BK521" s="63"/>
      <c r="BL521" s="63"/>
      <c r="BM521" s="63"/>
      <c r="BN521" s="63">
        <f t="shared" ref="BN521:BS521" si="1850">BN37</f>
        <v>251.26</v>
      </c>
      <c r="BO521" s="63">
        <f t="shared" si="1850"/>
        <v>-475.35</v>
      </c>
      <c r="BP521" s="63">
        <f t="shared" si="1850"/>
        <v>803.68100000000004</v>
      </c>
      <c r="BQ521" s="63">
        <f t="shared" si="1850"/>
        <v>1335.8340000000001</v>
      </c>
      <c r="BR521" s="63">
        <f t="shared" si="1850"/>
        <v>965.93899999999996</v>
      </c>
      <c r="BS521" s="63">
        <f t="shared" si="1850"/>
        <v>2314.078</v>
      </c>
      <c r="BT521" s="63">
        <f>BT37</f>
        <v>6182.8649999999998</v>
      </c>
      <c r="BU521" s="63">
        <f>BU37</f>
        <v>7681.8720000000003</v>
      </c>
      <c r="BV521" s="63">
        <f>BV37</f>
        <v>15896.800999999999</v>
      </c>
      <c r="BW521" s="63">
        <f>BW37</f>
        <v>6249.26</v>
      </c>
      <c r="BX521" s="63"/>
      <c r="BY521" s="63"/>
      <c r="BZ521" s="63">
        <f>BZ37</f>
        <v>1335.8340000000001</v>
      </c>
      <c r="CA521" s="63"/>
    </row>
    <row r="522" spans="2:79" ht="13.5" customHeight="1">
      <c r="B522" s="1" t="s">
        <v>308</v>
      </c>
      <c r="C522" s="151">
        <f t="shared" ref="C522:K522" si="1851">C35</f>
        <v>-1118.943</v>
      </c>
      <c r="D522" s="151">
        <f t="shared" si="1851"/>
        <v>2341.6460000000002</v>
      </c>
      <c r="E522" s="151">
        <f t="shared" si="1851"/>
        <v>17811.714</v>
      </c>
      <c r="F522" s="151">
        <f t="shared" si="1851"/>
        <v>6562.3370000000004</v>
      </c>
      <c r="G522" s="151">
        <f t="shared" si="1851"/>
        <v>5013.585</v>
      </c>
      <c r="H522" s="151">
        <f t="shared" si="1851"/>
        <v>20658.478999999999</v>
      </c>
      <c r="I522" s="151">
        <f t="shared" si="1851"/>
        <v>20883.343000000001</v>
      </c>
      <c r="J522" s="151">
        <f t="shared" si="1851"/>
        <v>17187.95</v>
      </c>
      <c r="K522" s="151">
        <f t="shared" si="1851"/>
        <v>26894.489000000001</v>
      </c>
      <c r="L522" s="151">
        <f t="shared" ref="L522:O523" si="1852">L35</f>
        <v>22555.337</v>
      </c>
      <c r="M522" s="151">
        <f t="shared" si="1852"/>
        <v>30629.556</v>
      </c>
      <c r="N522" s="151">
        <f t="shared" si="1852"/>
        <v>41804.83</v>
      </c>
      <c r="O522" s="151">
        <f t="shared" si="1852"/>
        <v>54446.125</v>
      </c>
      <c r="P522" s="151">
        <f>P35</f>
        <v>25039.395</v>
      </c>
      <c r="Q522" s="63"/>
      <c r="R522" s="151">
        <f t="shared" ref="R522:AN522" si="1853">R35</f>
        <v>6021.91</v>
      </c>
      <c r="S522" s="151">
        <f t="shared" si="1853"/>
        <v>2617.9400000000005</v>
      </c>
      <c r="T522" s="63">
        <f t="shared" si="1853"/>
        <v>3012.5049999999992</v>
      </c>
      <c r="U522" s="63">
        <f t="shared" si="1853"/>
        <v>6159.3590000000004</v>
      </c>
      <c r="V522" s="63">
        <f t="shared" si="1853"/>
        <v>4296.759</v>
      </c>
      <c r="W522" s="63">
        <f t="shared" si="1853"/>
        <v>2686.5910000000003</v>
      </c>
      <c r="X522" s="63">
        <f t="shared" si="1853"/>
        <v>1946.6319999999996</v>
      </c>
      <c r="Y522" s="63">
        <f t="shared" si="1853"/>
        <v>-2367.6449999999995</v>
      </c>
      <c r="Z522" s="63">
        <f t="shared" si="1853"/>
        <v>5546.5550000000003</v>
      </c>
      <c r="AA522" s="63">
        <f t="shared" si="1853"/>
        <v>7303.235999999999</v>
      </c>
      <c r="AB522" s="63">
        <f t="shared" si="1853"/>
        <v>1448.8209999999999</v>
      </c>
      <c r="AC522" s="63">
        <f t="shared" si="1853"/>
        <v>6359.8670000000002</v>
      </c>
      <c r="AD522" s="63">
        <f t="shared" si="1853"/>
        <v>3698.05</v>
      </c>
      <c r="AE522" s="63">
        <f t="shared" si="1853"/>
        <v>7159.53</v>
      </c>
      <c r="AF522" s="63">
        <f t="shared" si="1853"/>
        <v>4964.6720000000014</v>
      </c>
      <c r="AG522" s="63">
        <f t="shared" si="1853"/>
        <v>1365.6979999999985</v>
      </c>
      <c r="AH522" s="63">
        <f t="shared" si="1853"/>
        <v>13408.596</v>
      </c>
      <c r="AI522" s="63">
        <f t="shared" si="1853"/>
        <v>6591.7140000000018</v>
      </c>
      <c r="AJ522" s="63">
        <f t="shared" si="1853"/>
        <v>5920.5779999999995</v>
      </c>
      <c r="AK522" s="63">
        <f t="shared" si="1853"/>
        <v>973.60099999999875</v>
      </c>
      <c r="AL522" s="63">
        <f t="shared" si="1853"/>
        <v>10009.511</v>
      </c>
      <c r="AM522" s="63">
        <f t="shared" si="1853"/>
        <v>4009.9189999999999</v>
      </c>
      <c r="AN522" s="63">
        <f t="shared" si="1853"/>
        <v>1599.2039999999997</v>
      </c>
      <c r="AO522" s="63">
        <f t="shared" ref="AO522:BA522" si="1854">AO35</f>
        <v>6936.7029999999995</v>
      </c>
      <c r="AP522" s="63">
        <f t="shared" si="1854"/>
        <v>-9603.66</v>
      </c>
      <c r="AQ522" s="63">
        <f t="shared" si="1854"/>
        <v>28511.429</v>
      </c>
      <c r="AR522" s="63">
        <f t="shared" si="1854"/>
        <v>14258.534999999996</v>
      </c>
      <c r="AS522" s="63">
        <f t="shared" si="1854"/>
        <v>-2536.747999999996</v>
      </c>
      <c r="AT522" s="63">
        <f t="shared" si="1854"/>
        <v>-8674.3420000000006</v>
      </c>
      <c r="AU522" s="63">
        <f t="shared" si="1854"/>
        <v>1972.219000000001</v>
      </c>
      <c r="AV522" s="63">
        <f t="shared" si="1854"/>
        <v>29433.546999999999</v>
      </c>
      <c r="AW522" s="63">
        <f t="shared" si="1854"/>
        <v>19073.406000000003</v>
      </c>
      <c r="AX522" s="63">
        <f t="shared" si="1854"/>
        <v>17189.687999999998</v>
      </c>
      <c r="AY522" s="63">
        <f t="shared" si="1854"/>
        <v>10349.004000000001</v>
      </c>
      <c r="AZ522" s="63">
        <f t="shared" si="1854"/>
        <v>10694.592000000001</v>
      </c>
      <c r="BA522" s="63">
        <f t="shared" si="1854"/>
        <v>16212.840999999997</v>
      </c>
      <c r="BB522" s="63">
        <f t="shared" ref="BB522:BE523" si="1855">BB35</f>
        <v>9188.6110000000008</v>
      </c>
      <c r="BC522" s="63">
        <f t="shared" si="1855"/>
        <v>3084.1959999999999</v>
      </c>
      <c r="BD522" s="63">
        <f t="shared" si="1855"/>
        <v>17019.113999999998</v>
      </c>
      <c r="BE522" s="63">
        <f t="shared" si="1855"/>
        <v>-4252.525999999998</v>
      </c>
      <c r="BF522" s="63">
        <f>BF35</f>
        <v>9624.0499999999993</v>
      </c>
      <c r="BG522" s="142"/>
      <c r="BH522" s="63"/>
      <c r="BI522" s="63"/>
      <c r="BJ522" s="63"/>
      <c r="BK522" s="63"/>
      <c r="BL522" s="63"/>
      <c r="BM522" s="63"/>
      <c r="BN522" s="63">
        <f t="shared" ref="BN522:BV522" si="1856">BN35</f>
        <v>8639.85</v>
      </c>
      <c r="BO522" s="63">
        <f t="shared" si="1856"/>
        <v>6983.35</v>
      </c>
      <c r="BP522" s="63">
        <f t="shared" si="1856"/>
        <v>12849.790999999999</v>
      </c>
      <c r="BQ522" s="63">
        <f t="shared" si="1856"/>
        <v>10857.58</v>
      </c>
      <c r="BR522" s="63">
        <f t="shared" si="1856"/>
        <v>20000.310000000001</v>
      </c>
      <c r="BS522" s="63">
        <f t="shared" si="1856"/>
        <v>14019.43</v>
      </c>
      <c r="BT522" s="63">
        <f t="shared" si="1856"/>
        <v>18907.769</v>
      </c>
      <c r="BU522" s="63">
        <f t="shared" si="1856"/>
        <v>-6702.1229999999996</v>
      </c>
      <c r="BV522" s="63">
        <f t="shared" si="1856"/>
        <v>27538.691999999999</v>
      </c>
      <c r="BW522" s="63">
        <f>BW35</f>
        <v>12272.807000000001</v>
      </c>
      <c r="BX522" s="63"/>
      <c r="BY522" s="63"/>
      <c r="BZ522" s="63">
        <f>BZ35</f>
        <v>10857.58</v>
      </c>
      <c r="CA522" s="63"/>
    </row>
    <row r="523" spans="2:79" ht="13.5" customHeight="1">
      <c r="B523" s="1" t="s">
        <v>309</v>
      </c>
      <c r="C523" s="151">
        <f t="shared" ref="C523:K523" si="1857">C36</f>
        <v>10760.905000000001</v>
      </c>
      <c r="D523" s="151">
        <f t="shared" si="1857"/>
        <v>8854.4869999999992</v>
      </c>
      <c r="E523" s="151">
        <f t="shared" si="1857"/>
        <v>-5777.5839999999998</v>
      </c>
      <c r="F523" s="151">
        <f t="shared" si="1857"/>
        <v>5549.3029999999999</v>
      </c>
      <c r="G523" s="151">
        <f t="shared" si="1857"/>
        <v>5549.3029999999999</v>
      </c>
      <c r="H523" s="151">
        <f t="shared" si="1857"/>
        <v>-8982.7880000000005</v>
      </c>
      <c r="I523" s="151">
        <f t="shared" si="1857"/>
        <v>-8667.5560000000005</v>
      </c>
      <c r="J523" s="151">
        <f t="shared" si="1857"/>
        <v>4289.4030000000002</v>
      </c>
      <c r="K523" s="151">
        <f t="shared" si="1857"/>
        <v>-3198.9740000000002</v>
      </c>
      <c r="L523" s="151">
        <f t="shared" si="1852"/>
        <v>-8379.4310000000005</v>
      </c>
      <c r="M523" s="151">
        <f t="shared" si="1852"/>
        <v>-22050.715</v>
      </c>
      <c r="N523" s="151">
        <f t="shared" si="1852"/>
        <v>-1097.673</v>
      </c>
      <c r="O523" s="151">
        <f t="shared" si="1852"/>
        <v>6850.8419999999996</v>
      </c>
      <c r="P523" s="151">
        <f>P36</f>
        <v>15727.808000000001</v>
      </c>
      <c r="Q523" s="63"/>
      <c r="R523" s="151">
        <f t="shared" ref="R523:AN523" si="1858">R36</f>
        <v>-2696.7429999999999</v>
      </c>
      <c r="S523" s="151">
        <f t="shared" si="1858"/>
        <v>1123.335</v>
      </c>
      <c r="T523" s="63">
        <f t="shared" si="1858"/>
        <v>-514.98700000000008</v>
      </c>
      <c r="U523" s="63">
        <f t="shared" si="1858"/>
        <v>-3689.1889999999999</v>
      </c>
      <c r="V523" s="63">
        <f t="shared" si="1858"/>
        <v>-158.08199999999999</v>
      </c>
      <c r="W523" s="63">
        <f t="shared" si="1858"/>
        <v>78.062999999999988</v>
      </c>
      <c r="X523" s="63">
        <f t="shared" si="1858"/>
        <v>279.92600000000004</v>
      </c>
      <c r="Y523" s="63">
        <f t="shared" si="1858"/>
        <v>5349.3959999999997</v>
      </c>
      <c r="Z523" s="63">
        <f t="shared" si="1858"/>
        <v>-3224.654</v>
      </c>
      <c r="AA523" s="63">
        <f t="shared" si="1858"/>
        <v>-4789.7090000000007</v>
      </c>
      <c r="AB523" s="63">
        <f t="shared" si="1858"/>
        <v>2050.0810000000006</v>
      </c>
      <c r="AC523" s="63">
        <f t="shared" si="1858"/>
        <v>-3018.5059999999999</v>
      </c>
      <c r="AD523" s="63">
        <f t="shared" si="1858"/>
        <v>793.50599999999997</v>
      </c>
      <c r="AE523" s="63">
        <f t="shared" si="1858"/>
        <v>538.64800000000002</v>
      </c>
      <c r="AF523" s="63">
        <f t="shared" si="1858"/>
        <v>-1465.5509999999999</v>
      </c>
      <c r="AG523" s="63">
        <f t="shared" si="1858"/>
        <v>4422.7999999999993</v>
      </c>
      <c r="AH523" s="63">
        <f t="shared" si="1858"/>
        <v>-10592.732</v>
      </c>
      <c r="AI523" s="63">
        <f t="shared" si="1858"/>
        <v>2910.5540000000001</v>
      </c>
      <c r="AJ523" s="63">
        <f t="shared" si="1858"/>
        <v>739.09599999999955</v>
      </c>
      <c r="AK523" s="63">
        <f t="shared" si="1858"/>
        <v>3744.1080000000002</v>
      </c>
      <c r="AL523" s="63">
        <f t="shared" si="1858"/>
        <v>-3061.3919999999998</v>
      </c>
      <c r="AM523" s="63">
        <f t="shared" si="1858"/>
        <v>-983.4350000000004</v>
      </c>
      <c r="AN523" s="63">
        <f t="shared" si="1858"/>
        <v>-687.34299999999985</v>
      </c>
      <c r="AO523" s="63">
        <f t="shared" ref="AO523:BA523" si="1859">AO36</f>
        <v>-3647.2610000000004</v>
      </c>
      <c r="AP523" s="63">
        <f t="shared" si="1859"/>
        <v>12199.547</v>
      </c>
      <c r="AQ523" s="63">
        <f t="shared" si="1859"/>
        <v>-29086.052000000003</v>
      </c>
      <c r="AR523" s="63">
        <f t="shared" si="1859"/>
        <v>-11206.817999999997</v>
      </c>
      <c r="AS523" s="63">
        <f t="shared" si="1859"/>
        <v>6042.6079999999984</v>
      </c>
      <c r="AT523" s="63">
        <f t="shared" si="1859"/>
        <v>11218.593999999999</v>
      </c>
      <c r="AU523" s="63">
        <f t="shared" si="1859"/>
        <v>4778.768</v>
      </c>
      <c r="AV523" s="63">
        <f t="shared" si="1859"/>
        <v>-17170.874</v>
      </c>
      <c r="AW523" s="63">
        <f t="shared" si="1859"/>
        <v>75.838999999999942</v>
      </c>
      <c r="AX523" s="63">
        <f t="shared" si="1859"/>
        <v>2935.2710000000002</v>
      </c>
      <c r="AY523" s="63">
        <f t="shared" si="1859"/>
        <v>-607.47900000000027</v>
      </c>
      <c r="AZ523" s="63">
        <f t="shared" si="1859"/>
        <v>8902.5799999999981</v>
      </c>
      <c r="BA523" s="63">
        <f t="shared" si="1859"/>
        <v>-4379.5299999999988</v>
      </c>
      <c r="BB523" s="63">
        <f t="shared" si="1855"/>
        <v>4685.951</v>
      </c>
      <c r="BC523" s="63">
        <f t="shared" si="1855"/>
        <v>3257.5209999999997</v>
      </c>
      <c r="BD523" s="63">
        <f t="shared" si="1855"/>
        <v>-5818.5010000000002</v>
      </c>
      <c r="BE523" s="63">
        <f t="shared" si="1855"/>
        <v>13602.837</v>
      </c>
      <c r="BF523" s="63">
        <f>BF36</f>
        <v>-717.43899999999996</v>
      </c>
      <c r="BG523" s="142"/>
      <c r="BH523" s="63"/>
      <c r="BI523" s="63"/>
      <c r="BJ523" s="63"/>
      <c r="BK523" s="63"/>
      <c r="BL523" s="63"/>
      <c r="BM523" s="63"/>
      <c r="BN523" s="63">
        <f t="shared" ref="BN523:BV523" si="1860">BN36</f>
        <v>-1573.4079999999999</v>
      </c>
      <c r="BO523" s="63">
        <f t="shared" si="1860"/>
        <v>-80.019000000000005</v>
      </c>
      <c r="BP523" s="63">
        <f t="shared" si="1860"/>
        <v>-8014.3630000000003</v>
      </c>
      <c r="BQ523" s="63">
        <f t="shared" si="1860"/>
        <v>1332.154</v>
      </c>
      <c r="BR523" s="63">
        <f t="shared" si="1860"/>
        <v>-7682.1779999999999</v>
      </c>
      <c r="BS523" s="63">
        <f t="shared" si="1860"/>
        <v>-4044.8270000000002</v>
      </c>
      <c r="BT523" s="63">
        <f t="shared" si="1860"/>
        <v>-16886.505000000001</v>
      </c>
      <c r="BU523" s="63">
        <f t="shared" si="1860"/>
        <v>15997.361999999999</v>
      </c>
      <c r="BV523" s="63">
        <f t="shared" si="1860"/>
        <v>2327.7919999999999</v>
      </c>
      <c r="BW523" s="63">
        <f>BW36</f>
        <v>7943.4719999999998</v>
      </c>
      <c r="BX523" s="63"/>
      <c r="BY523" s="63"/>
      <c r="BZ523" s="63">
        <f>BZ36</f>
        <v>1332.154</v>
      </c>
      <c r="CA523" s="63"/>
    </row>
    <row r="524" spans="2:79" ht="13.5" customHeight="1">
      <c r="B524" s="1" t="s">
        <v>537</v>
      </c>
      <c r="C524" s="151">
        <f t="shared" ref="C524:K524" si="1861">C38</f>
        <v>-89422.062999999995</v>
      </c>
      <c r="D524" s="151">
        <f t="shared" si="1861"/>
        <v>-114698.003</v>
      </c>
      <c r="E524" s="151">
        <f t="shared" si="1861"/>
        <v>-146481.242</v>
      </c>
      <c r="F524" s="151">
        <f t="shared" si="1861"/>
        <v>-179240.272</v>
      </c>
      <c r="G524" s="151">
        <f t="shared" si="1861"/>
        <v>-178991.29399999999</v>
      </c>
      <c r="H524" s="151">
        <f t="shared" si="1861"/>
        <v>-177873.734</v>
      </c>
      <c r="I524" s="151">
        <f t="shared" si="1861"/>
        <v>-291664.72600000002</v>
      </c>
      <c r="J524" s="151">
        <f t="shared" si="1861"/>
        <v>-337736.21399999998</v>
      </c>
      <c r="K524" s="151">
        <f t="shared" si="1861"/>
        <v>-384783.08</v>
      </c>
      <c r="L524" s="151">
        <f t="shared" ref="L524:O525" si="1862">L38</f>
        <v>-130842.039</v>
      </c>
      <c r="M524" s="151">
        <f t="shared" si="1862"/>
        <v>-563865.75</v>
      </c>
      <c r="N524" s="151">
        <f t="shared" si="1862"/>
        <v>-685758.07900000003</v>
      </c>
      <c r="O524" s="151">
        <f t="shared" si="1862"/>
        <v>-448921.50199999998</v>
      </c>
      <c r="P524" s="151">
        <f>P38</f>
        <v>-423940.951</v>
      </c>
      <c r="Q524" s="63"/>
      <c r="R524" s="151">
        <f t="shared" ref="R524:AN524" si="1863">R38</f>
        <v>-32512.800999999999</v>
      </c>
      <c r="S524" s="151">
        <f t="shared" si="1863"/>
        <v>-38674.370000000003</v>
      </c>
      <c r="T524" s="63">
        <f t="shared" si="1863"/>
        <v>-32786.641000000003</v>
      </c>
      <c r="U524" s="63">
        <f t="shared" si="1863"/>
        <v>-42507.43</v>
      </c>
      <c r="V524" s="63">
        <f t="shared" si="1863"/>
        <v>-42867.99</v>
      </c>
      <c r="W524" s="63">
        <f t="shared" si="1863"/>
        <v>-50811.616000000002</v>
      </c>
      <c r="X524" s="63">
        <f t="shared" si="1863"/>
        <v>-41570.909000000007</v>
      </c>
      <c r="Y524" s="63">
        <f t="shared" si="1863"/>
        <v>-43989.756999999976</v>
      </c>
      <c r="Z524" s="63">
        <f t="shared" si="1863"/>
        <v>-38784.347999999998</v>
      </c>
      <c r="AA524" s="63">
        <f t="shared" si="1863"/>
        <v>-40608.225000000006</v>
      </c>
      <c r="AB524" s="63">
        <f t="shared" si="1863"/>
        <v>-54264.600000000006</v>
      </c>
      <c r="AC524" s="63">
        <f t="shared" si="1863"/>
        <v>-44216.560999999987</v>
      </c>
      <c r="AD524" s="63">
        <f t="shared" si="1863"/>
        <v>-76382.532000000007</v>
      </c>
      <c r="AE524" s="63">
        <f t="shared" si="1863"/>
        <v>-69490.915999999997</v>
      </c>
      <c r="AF524" s="63">
        <f t="shared" si="1863"/>
        <v>-81396.568999999989</v>
      </c>
      <c r="AG524" s="63">
        <f t="shared" si="1863"/>
        <v>-110466.19699999999</v>
      </c>
      <c r="AH524" s="63">
        <f t="shared" si="1863"/>
        <v>-106753.409</v>
      </c>
      <c r="AI524" s="63">
        <f t="shared" si="1863"/>
        <v>-156264.19099999999</v>
      </c>
      <c r="AJ524" s="63">
        <f t="shared" si="1863"/>
        <v>-90420.29399999998</v>
      </c>
      <c r="AK524" s="63">
        <f t="shared" si="1863"/>
        <v>-31345.186000000031</v>
      </c>
      <c r="AL524" s="63">
        <f t="shared" si="1863"/>
        <v>-12166.688</v>
      </c>
      <c r="AM524" s="63">
        <f t="shared" si="1863"/>
        <v>-30510.796999999999</v>
      </c>
      <c r="AN524" s="63">
        <f t="shared" si="1863"/>
        <v>-32356.512000000002</v>
      </c>
      <c r="AO524" s="63">
        <f t="shared" ref="AO524:BA524" si="1864">AO38</f>
        <v>-55808.042000000009</v>
      </c>
      <c r="AP524" s="63">
        <f t="shared" si="1864"/>
        <v>-89008.413</v>
      </c>
      <c r="AQ524" s="63">
        <f t="shared" si="1864"/>
        <v>-127954.03</v>
      </c>
      <c r="AR524" s="63">
        <f t="shared" si="1864"/>
        <v>-146483.62299999999</v>
      </c>
      <c r="AS524" s="63">
        <f t="shared" si="1864"/>
        <v>-200419.68399999995</v>
      </c>
      <c r="AT524" s="63">
        <f t="shared" si="1864"/>
        <v>-188311.87700000001</v>
      </c>
      <c r="AU524" s="63">
        <f t="shared" si="1864"/>
        <v>-184769.27</v>
      </c>
      <c r="AV524" s="63">
        <f t="shared" si="1864"/>
        <v>-150120.48400000003</v>
      </c>
      <c r="AW524" s="63">
        <f t="shared" si="1864"/>
        <v>-162556.44799999995</v>
      </c>
      <c r="AX524" s="63">
        <f t="shared" si="1864"/>
        <v>-128754.126</v>
      </c>
      <c r="AY524" s="63">
        <f t="shared" si="1864"/>
        <v>-124600.23599999999</v>
      </c>
      <c r="AZ524" s="63">
        <f t="shared" si="1864"/>
        <v>-95279.294000000038</v>
      </c>
      <c r="BA524" s="63">
        <f t="shared" si="1864"/>
        <v>-100287.84599999995</v>
      </c>
      <c r="BB524" s="63">
        <f t="shared" ref="BB524:BE525" si="1865">BB38</f>
        <v>-85492.186000000002</v>
      </c>
      <c r="BC524" s="63">
        <f t="shared" si="1865"/>
        <v>-97083.653000000006</v>
      </c>
      <c r="BD524" s="63">
        <f t="shared" si="1865"/>
        <v>-107429.29899999998</v>
      </c>
      <c r="BE524" s="63">
        <f t="shared" si="1865"/>
        <v>-133935.81300000002</v>
      </c>
      <c r="BF524" s="63">
        <f>BF38</f>
        <v>-98444.679000000004</v>
      </c>
      <c r="BG524" s="142"/>
      <c r="BH524" s="63"/>
      <c r="BI524" s="63"/>
      <c r="BJ524" s="63"/>
      <c r="BK524" s="63"/>
      <c r="BL524" s="63"/>
      <c r="BM524" s="63"/>
      <c r="BN524" s="63">
        <f t="shared" ref="BN524:BV524" si="1866">BN38</f>
        <v>-71187.171000000002</v>
      </c>
      <c r="BO524" s="63">
        <f t="shared" si="1866"/>
        <v>-93679.606</v>
      </c>
      <c r="BP524" s="63">
        <f t="shared" si="1866"/>
        <v>-79392.573000000004</v>
      </c>
      <c r="BQ524" s="63">
        <f t="shared" si="1866"/>
        <v>-145873.448</v>
      </c>
      <c r="BR524" s="63">
        <f t="shared" si="1866"/>
        <v>-263017.59999999998</v>
      </c>
      <c r="BS524" s="63">
        <f t="shared" si="1866"/>
        <v>-42677.485000000001</v>
      </c>
      <c r="BT524" s="63">
        <f t="shared" si="1866"/>
        <v>-216962.443</v>
      </c>
      <c r="BU524" s="63">
        <f t="shared" si="1866"/>
        <v>-373081.147</v>
      </c>
      <c r="BV524" s="63">
        <f t="shared" si="1866"/>
        <v>-253354.36199999999</v>
      </c>
      <c r="BW524" s="63">
        <f>BW38</f>
        <v>-182575.83900000001</v>
      </c>
      <c r="BX524" s="63"/>
      <c r="BY524" s="63"/>
      <c r="BZ524" s="63">
        <f>BZ38</f>
        <v>-145873.448</v>
      </c>
      <c r="CA524" s="63"/>
    </row>
    <row r="525" spans="2:79" ht="13.5" customHeight="1">
      <c r="B525" s="5" t="s">
        <v>538</v>
      </c>
      <c r="C525" s="151">
        <f t="shared" ref="C525:K525" si="1867">C39</f>
        <v>314370.78500000003</v>
      </c>
      <c r="D525" s="151">
        <f t="shared" si="1867"/>
        <v>352903.26599999995</v>
      </c>
      <c r="E525" s="151">
        <f t="shared" si="1867"/>
        <v>363351.141</v>
      </c>
      <c r="F525" s="151">
        <f t="shared" si="1867"/>
        <v>383199.67099999997</v>
      </c>
      <c r="G525" s="151">
        <f t="shared" si="1867"/>
        <v>385434.36500000005</v>
      </c>
      <c r="H525" s="151">
        <f t="shared" si="1867"/>
        <v>415981.58099999995</v>
      </c>
      <c r="I525" s="151">
        <f t="shared" si="1867"/>
        <v>704585.10299999989</v>
      </c>
      <c r="J525" s="151">
        <f t="shared" si="1867"/>
        <v>741755.7649999999</v>
      </c>
      <c r="K525" s="151">
        <f t="shared" si="1867"/>
        <v>601855.60800000001</v>
      </c>
      <c r="L525" s="151">
        <f t="shared" si="1862"/>
        <v>815457.87999999989</v>
      </c>
      <c r="M525" s="151">
        <f t="shared" si="1862"/>
        <v>752799.27299999981</v>
      </c>
      <c r="N525" s="151">
        <f t="shared" si="1862"/>
        <v>667408.80199999991</v>
      </c>
      <c r="O525" s="151">
        <f t="shared" si="1862"/>
        <v>949901.66100000008</v>
      </c>
      <c r="P525" s="151">
        <f>P39</f>
        <v>1157547.983</v>
      </c>
      <c r="Q525" s="63"/>
      <c r="R525" s="151">
        <f t="shared" ref="R525:AN525" si="1868">R39</f>
        <v>90054.837</v>
      </c>
      <c r="S525" s="151">
        <f t="shared" si="1868"/>
        <v>86957.347000000023</v>
      </c>
      <c r="T525" s="63">
        <f t="shared" si="1868"/>
        <v>95474.560999999987</v>
      </c>
      <c r="U525" s="63">
        <f t="shared" si="1868"/>
        <v>90864.396000000052</v>
      </c>
      <c r="V525" s="63">
        <f t="shared" si="1868"/>
        <v>92926.525000000023</v>
      </c>
      <c r="W525" s="63">
        <f t="shared" si="1868"/>
        <v>94281.537999999971</v>
      </c>
      <c r="X525" s="63">
        <f t="shared" si="1868"/>
        <v>97886.026999999973</v>
      </c>
      <c r="Y525" s="63">
        <f t="shared" si="1868"/>
        <v>98105.581000000006</v>
      </c>
      <c r="Z525" s="63">
        <f t="shared" si="1868"/>
        <v>101656.03499999997</v>
      </c>
      <c r="AA525" s="63">
        <f t="shared" si="1868"/>
        <v>104665.61799999996</v>
      </c>
      <c r="AB525" s="63">
        <f t="shared" si="1868"/>
        <v>98002.520000000019</v>
      </c>
      <c r="AC525" s="63">
        <f t="shared" si="1868"/>
        <v>111657.40800000002</v>
      </c>
      <c r="AD525" s="63">
        <f t="shared" si="1868"/>
        <v>183134.68399999998</v>
      </c>
      <c r="AE525" s="63">
        <f t="shared" si="1868"/>
        <v>200407.49800000008</v>
      </c>
      <c r="AF525" s="63">
        <f t="shared" si="1868"/>
        <v>191352.62400000004</v>
      </c>
      <c r="AG525" s="63">
        <f t="shared" si="1868"/>
        <v>166860.95899999992</v>
      </c>
      <c r="AH525" s="63">
        <f t="shared" si="1868"/>
        <v>174996.93300000002</v>
      </c>
      <c r="AI525" s="63">
        <f t="shared" si="1868"/>
        <v>94631.224999999977</v>
      </c>
      <c r="AJ525" s="63">
        <f t="shared" si="1868"/>
        <v>139409.60100000005</v>
      </c>
      <c r="AK525" s="63">
        <f t="shared" si="1868"/>
        <v>192817.84899999993</v>
      </c>
      <c r="AL525" s="63">
        <f t="shared" si="1868"/>
        <v>210761.39200000002</v>
      </c>
      <c r="AM525" s="63">
        <f t="shared" si="1868"/>
        <v>190202.49499999997</v>
      </c>
      <c r="AN525" s="63">
        <f t="shared" si="1868"/>
        <v>199370.94800000006</v>
      </c>
      <c r="AO525" s="63">
        <f t="shared" ref="AO525:BA525" si="1869">AO39</f>
        <v>215123.04499999993</v>
      </c>
      <c r="AP525" s="63">
        <f t="shared" si="1869"/>
        <v>218725.51599999997</v>
      </c>
      <c r="AQ525" s="63">
        <f t="shared" si="1869"/>
        <v>200115.36100000009</v>
      </c>
      <c r="AR525" s="63">
        <f t="shared" si="1869"/>
        <v>190047.24399999986</v>
      </c>
      <c r="AS525" s="63">
        <f t="shared" si="1869"/>
        <v>143911.15200000018</v>
      </c>
      <c r="AT525" s="63">
        <f t="shared" si="1869"/>
        <v>145633.46900000001</v>
      </c>
      <c r="AU525" s="63">
        <f t="shared" si="1869"/>
        <v>144539.65999999992</v>
      </c>
      <c r="AV525" s="63">
        <f t="shared" si="1869"/>
        <v>206423.18199999997</v>
      </c>
      <c r="AW525" s="63">
        <f t="shared" si="1869"/>
        <v>170812.49100000001</v>
      </c>
      <c r="AX525" s="63">
        <f t="shared" si="1869"/>
        <v>220445.07099999997</v>
      </c>
      <c r="AY525" s="63">
        <f t="shared" si="1869"/>
        <v>213570.38700000002</v>
      </c>
      <c r="AZ525" s="63">
        <f t="shared" si="1869"/>
        <v>254578.46399999992</v>
      </c>
      <c r="BA525" s="63">
        <f t="shared" si="1869"/>
        <v>261307.73900000006</v>
      </c>
      <c r="BB525" s="63">
        <f t="shared" si="1865"/>
        <v>296638.57399999991</v>
      </c>
      <c r="BC525" s="63">
        <f t="shared" si="1865"/>
        <v>289167.07799999998</v>
      </c>
      <c r="BD525" s="63">
        <f t="shared" si="1865"/>
        <v>290541.95000000019</v>
      </c>
      <c r="BE525" s="63">
        <f t="shared" si="1865"/>
        <v>281200.38100000005</v>
      </c>
      <c r="BF525" s="63">
        <f>BF39</f>
        <v>351517.08100000001</v>
      </c>
      <c r="BG525" s="142"/>
      <c r="BH525" s="63"/>
      <c r="BI525" s="63"/>
      <c r="BJ525" s="63"/>
      <c r="BK525" s="63"/>
      <c r="BL525" s="63"/>
      <c r="BM525" s="63"/>
      <c r="BN525" s="63">
        <f t="shared" ref="BN525:BV525" si="1870">BN39</f>
        <v>177012.18400000001</v>
      </c>
      <c r="BO525" s="63">
        <f t="shared" si="1870"/>
        <v>187208.06299999997</v>
      </c>
      <c r="BP525" s="63">
        <f t="shared" si="1870"/>
        <v>206321.65299999996</v>
      </c>
      <c r="BQ525" s="63">
        <f t="shared" si="1870"/>
        <v>383542.18199999997</v>
      </c>
      <c r="BR525" s="63">
        <f t="shared" si="1870"/>
        <v>269628.158</v>
      </c>
      <c r="BS525" s="63">
        <f t="shared" si="1870"/>
        <v>400963.88699999999</v>
      </c>
      <c r="BT525" s="63">
        <f t="shared" si="1870"/>
        <v>418840.87699999998</v>
      </c>
      <c r="BU525" s="63">
        <f t="shared" si="1870"/>
        <v>290173.1289999999</v>
      </c>
      <c r="BV525" s="63">
        <f t="shared" si="1870"/>
        <v>434015.45799999993</v>
      </c>
      <c r="BW525" s="63">
        <f>BW39</f>
        <v>585805.652</v>
      </c>
      <c r="BX525" s="63"/>
      <c r="BY525" s="63"/>
      <c r="BZ525" s="63">
        <f>BZ39</f>
        <v>383542.18199999997</v>
      </c>
      <c r="CA525" s="63"/>
    </row>
    <row r="526" spans="2:79" ht="13.5" customHeight="1"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V526" s="5"/>
      <c r="W526" s="5"/>
      <c r="AA526" s="5"/>
      <c r="AE526" s="5"/>
      <c r="AI526" s="5"/>
      <c r="AM526" s="5"/>
      <c r="AQ526" s="5"/>
      <c r="AU526" s="5"/>
      <c r="AY526" s="5"/>
      <c r="BC526" s="5"/>
      <c r="BG526" s="142"/>
    </row>
    <row r="527" spans="2:79" ht="13.5" customHeight="1"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V527" s="5"/>
      <c r="W527" s="5"/>
      <c r="AA527" s="5"/>
      <c r="AE527" s="5"/>
      <c r="AI527" s="5"/>
      <c r="AM527" s="5"/>
      <c r="AQ527" s="5"/>
      <c r="AU527" s="5"/>
      <c r="AY527" s="5"/>
      <c r="BC527" s="5"/>
      <c r="BG527" s="142"/>
    </row>
    <row r="528" spans="2:79" ht="13.5" customHeight="1">
      <c r="B528" s="445" t="s">
        <v>331</v>
      </c>
      <c r="C528" s="46">
        <v>41975</v>
      </c>
      <c r="D528" s="46">
        <v>42341</v>
      </c>
      <c r="E528" s="46">
        <v>42708</v>
      </c>
      <c r="F528" s="253">
        <f t="shared" ref="F528:K528" si="1871">F3</f>
        <v>43073</v>
      </c>
      <c r="G528" s="253">
        <f t="shared" si="1871"/>
        <v>43073</v>
      </c>
      <c r="H528" s="253">
        <f t="shared" si="1871"/>
        <v>43438</v>
      </c>
      <c r="I528" s="253">
        <f t="shared" si="1871"/>
        <v>43438</v>
      </c>
      <c r="J528" s="253">
        <f t="shared" si="1871"/>
        <v>43803</v>
      </c>
      <c r="K528" s="253">
        <f t="shared" si="1871"/>
        <v>44169</v>
      </c>
      <c r="L528" s="253">
        <f>L3</f>
        <v>44534</v>
      </c>
      <c r="M528" s="253">
        <f>M3</f>
        <v>44899</v>
      </c>
      <c r="N528" s="253">
        <f>N3</f>
        <v>45264</v>
      </c>
      <c r="O528" s="253">
        <f>O3</f>
        <v>45630</v>
      </c>
      <c r="P528" s="253">
        <f>P3</f>
        <v>45995</v>
      </c>
      <c r="Q528" s="329"/>
      <c r="R528" s="46">
        <v>42437</v>
      </c>
      <c r="S528" s="46">
        <v>42527</v>
      </c>
      <c r="T528" s="46">
        <v>42622</v>
      </c>
      <c r="U528" s="46">
        <v>42714</v>
      </c>
      <c r="V528" s="46">
        <v>42801</v>
      </c>
      <c r="W528" s="46">
        <v>42892</v>
      </c>
      <c r="X528" s="46">
        <v>42987</v>
      </c>
      <c r="Y528" s="46">
        <v>43079</v>
      </c>
      <c r="Z528" s="46">
        <f t="shared" ref="Z528:AN528" si="1872">Z3</f>
        <v>43166</v>
      </c>
      <c r="AA528" s="46">
        <f t="shared" si="1872"/>
        <v>43257</v>
      </c>
      <c r="AB528" s="120">
        <f t="shared" si="1872"/>
        <v>43352</v>
      </c>
      <c r="AC528" s="120">
        <f t="shared" si="1872"/>
        <v>43444</v>
      </c>
      <c r="AD528" s="253">
        <f t="shared" si="1872"/>
        <v>43531</v>
      </c>
      <c r="AE528" s="253">
        <f t="shared" si="1872"/>
        <v>43622</v>
      </c>
      <c r="AF528" s="253">
        <f t="shared" si="1872"/>
        <v>43738</v>
      </c>
      <c r="AG528" s="120">
        <f t="shared" si="1872"/>
        <v>43809</v>
      </c>
      <c r="AH528" s="253">
        <f t="shared" si="1872"/>
        <v>43897</v>
      </c>
      <c r="AI528" s="253">
        <f t="shared" si="1872"/>
        <v>43988</v>
      </c>
      <c r="AJ528" s="253">
        <f t="shared" si="1872"/>
        <v>44104</v>
      </c>
      <c r="AK528" s="120">
        <f t="shared" si="1872"/>
        <v>44175</v>
      </c>
      <c r="AL528" s="253">
        <f t="shared" si="1872"/>
        <v>44262</v>
      </c>
      <c r="AM528" s="253">
        <f t="shared" si="1872"/>
        <v>44348</v>
      </c>
      <c r="AN528" s="253">
        <f t="shared" si="1872"/>
        <v>44469</v>
      </c>
      <c r="AO528" s="120">
        <f t="shared" ref="AO528:AT528" si="1873">AO3</f>
        <v>44540</v>
      </c>
      <c r="AP528" s="253">
        <f t="shared" si="1873"/>
        <v>44651</v>
      </c>
      <c r="AQ528" s="253">
        <f t="shared" si="1873"/>
        <v>44713</v>
      </c>
      <c r="AR528" s="253">
        <f t="shared" si="1873"/>
        <v>44834</v>
      </c>
      <c r="AS528" s="120">
        <f t="shared" si="1873"/>
        <v>44905</v>
      </c>
      <c r="AT528" s="253">
        <f t="shared" si="1873"/>
        <v>45016</v>
      </c>
      <c r="AU528" s="253">
        <f t="shared" ref="AU528:AZ528" si="1874">AU3</f>
        <v>45078</v>
      </c>
      <c r="AV528" s="253">
        <f t="shared" si="1874"/>
        <v>45199</v>
      </c>
      <c r="AW528" s="120">
        <f t="shared" si="1874"/>
        <v>45270</v>
      </c>
      <c r="AX528" s="253">
        <f t="shared" si="1874"/>
        <v>45382</v>
      </c>
      <c r="AY528" s="253">
        <f t="shared" si="1874"/>
        <v>45444</v>
      </c>
      <c r="AZ528" s="253">
        <f t="shared" si="1874"/>
        <v>45565</v>
      </c>
      <c r="BA528" s="120">
        <f t="shared" ref="BA528:BF528" si="1875">BA3</f>
        <v>45636</v>
      </c>
      <c r="BB528" s="253">
        <f t="shared" si="1875"/>
        <v>45747</v>
      </c>
      <c r="BC528" s="253">
        <f t="shared" si="1875"/>
        <v>45809</v>
      </c>
      <c r="BD528" s="253">
        <f t="shared" si="1875"/>
        <v>45930</v>
      </c>
      <c r="BE528" s="120">
        <f t="shared" si="1875"/>
        <v>46001</v>
      </c>
      <c r="BF528" s="253">
        <f t="shared" si="1875"/>
        <v>46112</v>
      </c>
      <c r="BG528" s="142"/>
      <c r="BH528" s="46"/>
      <c r="BI528" s="46"/>
      <c r="BJ528" s="46"/>
      <c r="BK528" s="120"/>
      <c r="BL528" s="253"/>
      <c r="BM528" s="329"/>
      <c r="BN528" s="46">
        <v>42530</v>
      </c>
      <c r="BO528" s="120">
        <v>42896</v>
      </c>
      <c r="BP528" s="120">
        <v>43261</v>
      </c>
      <c r="BQ528" s="253">
        <f t="shared" ref="BQ528:BV528" si="1876">BQ3</f>
        <v>43646</v>
      </c>
      <c r="BR528" s="253">
        <f t="shared" si="1876"/>
        <v>44012</v>
      </c>
      <c r="BS528" s="253">
        <f t="shared" si="1876"/>
        <v>44377</v>
      </c>
      <c r="BT528" s="253">
        <f t="shared" si="1876"/>
        <v>44742</v>
      </c>
      <c r="BU528" s="253">
        <f t="shared" si="1876"/>
        <v>45107</v>
      </c>
      <c r="BV528" s="253">
        <f t="shared" si="1876"/>
        <v>45473</v>
      </c>
      <c r="BW528" s="253">
        <f>BW3</f>
        <v>45838</v>
      </c>
      <c r="BX528" s="332"/>
      <c r="BY528" s="332"/>
      <c r="BZ528" s="253">
        <f>BZ3</f>
        <v>43646</v>
      </c>
      <c r="CA528" s="332"/>
    </row>
    <row r="529" spans="1:83" ht="13.5" customHeight="1">
      <c r="B529" s="5" t="s">
        <v>539</v>
      </c>
      <c r="C529" s="140">
        <v>895706</v>
      </c>
      <c r="D529" s="140">
        <v>974815</v>
      </c>
      <c r="E529" s="140">
        <v>1021405</v>
      </c>
      <c r="F529" s="151">
        <f t="shared" ref="F529:K529" si="1877">+F109</f>
        <v>1084357.895</v>
      </c>
      <c r="G529" s="151">
        <f t="shared" si="1877"/>
        <v>1086759.895</v>
      </c>
      <c r="H529" s="151">
        <f t="shared" si="1877"/>
        <v>1074021.3770000001</v>
      </c>
      <c r="I529" s="151">
        <f t="shared" si="1877"/>
        <v>866383.94500000007</v>
      </c>
      <c r="J529" s="151">
        <f t="shared" si="1877"/>
        <v>791232.74500000011</v>
      </c>
      <c r="K529" s="151">
        <f t="shared" si="1877"/>
        <v>622552.37899999996</v>
      </c>
      <c r="L529" s="151">
        <f>+L109</f>
        <v>1233363.9020000002</v>
      </c>
      <c r="M529" s="151">
        <f>+M109</f>
        <v>756358.39300000027</v>
      </c>
      <c r="N529" s="151">
        <f>+N109</f>
        <v>678211.42</v>
      </c>
      <c r="O529" s="151">
        <f>+O109</f>
        <v>1150669.0729999999</v>
      </c>
      <c r="P529" s="151">
        <f>+P109</f>
        <v>1502929.4209999999</v>
      </c>
      <c r="Q529" s="63"/>
      <c r="R529" s="151">
        <f t="shared" ref="R529:AN529" si="1878">R116</f>
        <v>219905.372</v>
      </c>
      <c r="S529" s="151">
        <f t="shared" si="1878"/>
        <v>250356.68599999999</v>
      </c>
      <c r="T529" s="151">
        <f t="shared" si="1878"/>
        <v>217705.649</v>
      </c>
      <c r="U529" s="151">
        <f t="shared" si="1878"/>
        <v>333437.3189999999</v>
      </c>
      <c r="V529" s="63">
        <f t="shared" si="1878"/>
        <v>253372.09699999998</v>
      </c>
      <c r="W529" s="63">
        <f t="shared" si="1878"/>
        <v>263548.20800000004</v>
      </c>
      <c r="X529" s="63">
        <f t="shared" si="1878"/>
        <v>213973.76000000001</v>
      </c>
      <c r="Y529" s="151">
        <f t="shared" si="1878"/>
        <v>353463.82999999996</v>
      </c>
      <c r="Z529" s="63">
        <f t="shared" si="1878"/>
        <v>262155.10600000003</v>
      </c>
      <c r="AA529" s="63">
        <f t="shared" si="1878"/>
        <v>271290.62600000005</v>
      </c>
      <c r="AB529" s="63">
        <f t="shared" si="1878"/>
        <v>224759.58199999999</v>
      </c>
      <c r="AC529" s="63">
        <f t="shared" si="1878"/>
        <v>315816.06299999997</v>
      </c>
      <c r="AD529" s="63">
        <f t="shared" si="1878"/>
        <v>187012.663</v>
      </c>
      <c r="AE529" s="63">
        <f t="shared" si="1878"/>
        <v>212798.4499999999</v>
      </c>
      <c r="AF529" s="63">
        <f t="shared" si="1878"/>
        <v>168305.60199999998</v>
      </c>
      <c r="AG529" s="63">
        <f t="shared" si="1878"/>
        <v>223116.03000000006</v>
      </c>
      <c r="AH529" s="63">
        <f t="shared" si="1878"/>
        <v>140819.99399999998</v>
      </c>
      <c r="AI529" s="63">
        <f t="shared" si="1878"/>
        <v>-35452.159999999974</v>
      </c>
      <c r="AJ529" s="63">
        <f t="shared" si="1878"/>
        <v>134114.19299999991</v>
      </c>
      <c r="AK529" s="63">
        <f t="shared" si="1878"/>
        <v>383070.35200000007</v>
      </c>
      <c r="AL529" s="63">
        <f t="shared" si="1878"/>
        <v>244634.93199999997</v>
      </c>
      <c r="AM529" s="63">
        <f t="shared" si="1878"/>
        <v>276546.16500000004</v>
      </c>
      <c r="AN529" s="63">
        <f t="shared" si="1878"/>
        <v>311048.66499999992</v>
      </c>
      <c r="AO529" s="63">
        <f t="shared" ref="AO529:AT529" si="1879">AO116</f>
        <v>401134.14</v>
      </c>
      <c r="AP529" s="63">
        <f t="shared" si="1879"/>
        <v>204521.32200000004</v>
      </c>
      <c r="AQ529" s="63">
        <f t="shared" si="1879"/>
        <v>185157.13299999991</v>
      </c>
      <c r="AR529" s="63">
        <f t="shared" si="1879"/>
        <v>133035.35700000013</v>
      </c>
      <c r="AS529" s="63">
        <f t="shared" si="1879"/>
        <v>233644.5809999998</v>
      </c>
      <c r="AT529" s="63">
        <f t="shared" si="1879"/>
        <v>118240.82199999999</v>
      </c>
      <c r="AU529" s="63">
        <f t="shared" ref="AU529:AZ529" si="1880">AU116</f>
        <v>139030.47900000011</v>
      </c>
      <c r="AV529" s="63">
        <f t="shared" si="1880"/>
        <v>129318.63499999999</v>
      </c>
      <c r="AW529" s="63">
        <f t="shared" si="1880"/>
        <v>291621.484</v>
      </c>
      <c r="AX529" s="63">
        <f t="shared" si="1880"/>
        <v>229221.27800000002</v>
      </c>
      <c r="AY529" s="63">
        <f t="shared" si="1880"/>
        <v>257936.80799999999</v>
      </c>
      <c r="AZ529" s="63">
        <f t="shared" si="1880"/>
        <v>239474.2410000001</v>
      </c>
      <c r="BA529" s="63">
        <f t="shared" ref="BA529:BF529" si="1881">BA116</f>
        <v>424036.74599999993</v>
      </c>
      <c r="BB529" s="63">
        <f t="shared" si="1881"/>
        <v>336443.40100000007</v>
      </c>
      <c r="BC529" s="63">
        <f t="shared" si="1881"/>
        <v>347122.95300000004</v>
      </c>
      <c r="BD529" s="63">
        <f t="shared" si="1881"/>
        <v>303112.92199999979</v>
      </c>
      <c r="BE529" s="63">
        <f t="shared" si="1881"/>
        <v>516250.14499999996</v>
      </c>
      <c r="BF529" s="63">
        <f t="shared" si="1881"/>
        <v>353666.929</v>
      </c>
      <c r="BG529" s="142"/>
      <c r="BH529" s="63"/>
      <c r="BI529" s="63"/>
      <c r="BJ529" s="63"/>
      <c r="BK529" s="63"/>
      <c r="BL529" s="63"/>
      <c r="BM529" s="63"/>
      <c r="BN529" s="122">
        <v>470262</v>
      </c>
      <c r="BO529" s="122">
        <v>516921</v>
      </c>
      <c r="BP529" s="63">
        <f>+BP109</f>
        <v>533445.73200000008</v>
      </c>
      <c r="BQ529" s="63">
        <f t="shared" ref="BQ529:BV529" si="1882">BQ116</f>
        <v>399811.11300000001</v>
      </c>
      <c r="BR529" s="63">
        <f t="shared" si="1882"/>
        <v>105367.83400000003</v>
      </c>
      <c r="BS529" s="63">
        <f t="shared" si="1882"/>
        <v>521181.09700000001</v>
      </c>
      <c r="BT529" s="63">
        <f t="shared" si="1882"/>
        <v>389678.45500000002</v>
      </c>
      <c r="BU529" s="63">
        <f t="shared" si="1882"/>
        <v>257271.30100000006</v>
      </c>
      <c r="BV529" s="63">
        <f t="shared" si="1882"/>
        <v>487158.08600000013</v>
      </c>
      <c r="BW529" s="63">
        <f>BW116</f>
        <v>683566.35400000005</v>
      </c>
      <c r="BX529" s="124"/>
      <c r="BY529" s="122"/>
      <c r="BZ529" s="63">
        <f>BZ116</f>
        <v>399811.11300000001</v>
      </c>
      <c r="CA529" s="124"/>
    </row>
    <row r="530" spans="1:83" ht="13.5" customHeight="1">
      <c r="B530" s="5" t="s">
        <v>540</v>
      </c>
      <c r="C530" s="140">
        <f>1014807-C529</f>
        <v>119101</v>
      </c>
      <c r="D530" s="140">
        <f>1113884-D529</f>
        <v>139069</v>
      </c>
      <c r="E530" s="140">
        <f>1151481-E529</f>
        <v>130076</v>
      </c>
      <c r="F530" s="151">
        <f t="shared" ref="F530:K530" si="1883">+F121</f>
        <v>129602.10500000001</v>
      </c>
      <c r="G530" s="151">
        <f t="shared" si="1883"/>
        <v>129602.10500000001</v>
      </c>
      <c r="H530" s="151">
        <f t="shared" si="1883"/>
        <v>130323.62299999996</v>
      </c>
      <c r="I530" s="151">
        <f t="shared" si="1883"/>
        <v>337865.05499999988</v>
      </c>
      <c r="J530" s="151">
        <f t="shared" si="1883"/>
        <v>350103.25499999995</v>
      </c>
      <c r="K530" s="151">
        <f t="shared" si="1883"/>
        <v>205902.62100000001</v>
      </c>
      <c r="L530" s="151">
        <f>+L121</f>
        <v>350872.09799999988</v>
      </c>
      <c r="M530" s="151">
        <f>+M121</f>
        <v>184059.60699999976</v>
      </c>
      <c r="N530" s="151">
        <f>+N121</f>
        <v>62572.579999999907</v>
      </c>
      <c r="O530" s="151">
        <f>+O121</f>
        <v>300890.92700000014</v>
      </c>
      <c r="P530" s="151">
        <f>+P121</f>
        <v>442023.57900000009</v>
      </c>
      <c r="Q530" s="63"/>
      <c r="R530" s="151">
        <f t="shared" ref="R530:AN530" si="1884">R125</f>
        <v>34326.627999999997</v>
      </c>
      <c r="S530" s="151">
        <f t="shared" si="1884"/>
        <v>29432.31400000002</v>
      </c>
      <c r="T530" s="151">
        <f t="shared" si="1884"/>
        <v>34695.350999999995</v>
      </c>
      <c r="U530" s="151">
        <f t="shared" si="1884"/>
        <v>31621.68100000007</v>
      </c>
      <c r="V530" s="63">
        <f t="shared" si="1884"/>
        <v>31420.90300000002</v>
      </c>
      <c r="W530" s="63">
        <f t="shared" si="1884"/>
        <v>31044.791999999969</v>
      </c>
      <c r="X530" s="63">
        <f t="shared" si="1884"/>
        <v>34260.239999999976</v>
      </c>
      <c r="Y530" s="151">
        <f t="shared" si="1884"/>
        <v>32876.170000000013</v>
      </c>
      <c r="Z530" s="63">
        <f t="shared" si="1884"/>
        <v>33913.893999999971</v>
      </c>
      <c r="AA530" s="63">
        <f t="shared" si="1884"/>
        <v>34499.373999999945</v>
      </c>
      <c r="AB530" s="63">
        <f t="shared" si="1884"/>
        <v>25623.41800000002</v>
      </c>
      <c r="AC530" s="63">
        <f t="shared" si="1884"/>
        <v>36286.93700000002</v>
      </c>
      <c r="AD530" s="63">
        <f t="shared" si="1884"/>
        <v>92226.336999999985</v>
      </c>
      <c r="AE530" s="63">
        <f t="shared" si="1884"/>
        <v>103098.55000000009</v>
      </c>
      <c r="AF530" s="63">
        <f t="shared" si="1884"/>
        <v>89981.398000000016</v>
      </c>
      <c r="AG530" s="63">
        <f t="shared" si="1884"/>
        <v>64796.969999999943</v>
      </c>
      <c r="AH530" s="63">
        <f t="shared" si="1884"/>
        <v>70678.006000000023</v>
      </c>
      <c r="AI530" s="63">
        <f t="shared" si="1884"/>
        <v>9858.1599999999762</v>
      </c>
      <c r="AJ530" s="63">
        <f t="shared" si="1884"/>
        <v>45167.807000000073</v>
      </c>
      <c r="AK530" s="63">
        <f t="shared" si="1884"/>
        <v>80198.647999999928</v>
      </c>
      <c r="AL530" s="63">
        <f t="shared" si="1884"/>
        <v>107608.06800000003</v>
      </c>
      <c r="AM530" s="63">
        <f t="shared" si="1884"/>
        <v>82446.834999999963</v>
      </c>
      <c r="AN530" s="63">
        <f t="shared" si="1884"/>
        <v>78895.33500000005</v>
      </c>
      <c r="AO530" s="63">
        <f t="shared" ref="AO530:AT530" si="1885">AO125</f>
        <v>81921.859999999957</v>
      </c>
      <c r="AP530" s="63">
        <f t="shared" si="1885"/>
        <v>87631.677999999971</v>
      </c>
      <c r="AQ530" s="63">
        <f t="shared" si="1885"/>
        <v>59428.867000000086</v>
      </c>
      <c r="AR530" s="63">
        <f t="shared" si="1885"/>
        <v>45778.642999999851</v>
      </c>
      <c r="AS530" s="63">
        <f t="shared" si="1885"/>
        <v>-8779.5809999998019</v>
      </c>
      <c r="AT530" s="63">
        <f t="shared" si="1885"/>
        <v>8736.178000000009</v>
      </c>
      <c r="AU530" s="63">
        <f t="shared" ref="AU530:AZ530" si="1886">AU125</f>
        <v>1684.5209999998933</v>
      </c>
      <c r="AV530" s="63">
        <f t="shared" si="1886"/>
        <v>51711.365000000005</v>
      </c>
      <c r="AW530" s="63">
        <f t="shared" si="1886"/>
        <v>440.51600000003054</v>
      </c>
      <c r="AX530" s="63">
        <f t="shared" si="1886"/>
        <v>67729.72199999998</v>
      </c>
      <c r="AY530" s="63">
        <f t="shared" si="1886"/>
        <v>66919.19200000001</v>
      </c>
      <c r="AZ530" s="63">
        <f t="shared" si="1886"/>
        <v>90554.758999999904</v>
      </c>
      <c r="BA530" s="63">
        <f t="shared" ref="BA530:BF530" si="1887">BA125</f>
        <v>75687.254000000059</v>
      </c>
      <c r="BB530" s="63">
        <f t="shared" si="1887"/>
        <v>134668.5989999999</v>
      </c>
      <c r="BC530" s="63">
        <f t="shared" si="1887"/>
        <v>125625.04699999998</v>
      </c>
      <c r="BD530" s="63">
        <f t="shared" si="1887"/>
        <v>110771.07800000021</v>
      </c>
      <c r="BE530" s="63">
        <f t="shared" si="1887"/>
        <v>70958.855000000054</v>
      </c>
      <c r="BF530" s="63">
        <f t="shared" si="1887"/>
        <v>187589.071</v>
      </c>
      <c r="BG530" s="142"/>
      <c r="BH530" s="63"/>
      <c r="BI530" s="63"/>
      <c r="BJ530" s="63"/>
      <c r="BK530" s="63"/>
      <c r="BL530" s="63"/>
      <c r="BM530" s="63"/>
      <c r="BN530" s="122">
        <f>534021-BN529</f>
        <v>63759</v>
      </c>
      <c r="BO530" s="122">
        <f>579386-BO529</f>
        <v>62465</v>
      </c>
      <c r="BP530" s="63">
        <f>+BP121</f>
        <v>68413.267999999953</v>
      </c>
      <c r="BQ530" s="63">
        <f t="shared" ref="BQ530:BV530" si="1888">BQ125</f>
        <v>195324.88699999999</v>
      </c>
      <c r="BR530" s="63">
        <f t="shared" si="1888"/>
        <v>80536.165999999968</v>
      </c>
      <c r="BS530" s="63">
        <f t="shared" si="1888"/>
        <v>190054.90299999999</v>
      </c>
      <c r="BT530" s="63">
        <f t="shared" si="1888"/>
        <v>147060.54499999998</v>
      </c>
      <c r="BU530" s="63">
        <f t="shared" si="1888"/>
        <v>10420.698999999931</v>
      </c>
      <c r="BV530" s="63">
        <f t="shared" si="1888"/>
        <v>134648.9139999999</v>
      </c>
      <c r="BW530" s="63">
        <f>BW125</f>
        <v>260293.64600000001</v>
      </c>
      <c r="BX530" s="124"/>
      <c r="BY530" s="122"/>
      <c r="BZ530" s="63">
        <f>BZ125</f>
        <v>195324.88699999999</v>
      </c>
      <c r="CA530" s="124"/>
    </row>
    <row r="531" spans="1:83" ht="13.5" customHeight="1"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V531" s="5"/>
      <c r="W531" s="5"/>
      <c r="Z531" s="5"/>
      <c r="AA531" s="5"/>
      <c r="AD531" s="5"/>
      <c r="AE531" s="5"/>
      <c r="AF531" s="5"/>
      <c r="AH531" s="5"/>
      <c r="AI531" s="5"/>
      <c r="AJ531" s="5"/>
      <c r="AL531" s="5"/>
      <c r="AM531" s="5"/>
      <c r="AN531" s="5"/>
      <c r="AP531" s="5"/>
      <c r="AQ531" s="5"/>
      <c r="AR531" s="5"/>
      <c r="AT531" s="5"/>
      <c r="AU531" s="5"/>
      <c r="AV531" s="5"/>
      <c r="AX531" s="5"/>
      <c r="AY531" s="5"/>
      <c r="AZ531" s="5"/>
      <c r="BB531" s="5"/>
      <c r="BC531" s="5"/>
      <c r="BD531" s="5"/>
      <c r="BF531" s="5"/>
      <c r="BG531" s="142"/>
      <c r="BH531" s="5"/>
      <c r="BI531" s="5"/>
      <c r="BJ531" s="5"/>
      <c r="BL531" s="5"/>
      <c r="BM531" s="5"/>
    </row>
    <row r="532" spans="1:83" ht="13.5" customHeight="1">
      <c r="B532" s="5" t="s">
        <v>541</v>
      </c>
      <c r="C532" s="151">
        <f t="shared" ref="C532:H532" si="1889">C529+C530</f>
        <v>1014807</v>
      </c>
      <c r="D532" s="151">
        <f t="shared" si="1889"/>
        <v>1113884</v>
      </c>
      <c r="E532" s="151">
        <f t="shared" si="1889"/>
        <v>1151481</v>
      </c>
      <c r="F532" s="151">
        <f t="shared" si="1889"/>
        <v>1213960</v>
      </c>
      <c r="G532" s="151">
        <f t="shared" si="1889"/>
        <v>1216362</v>
      </c>
      <c r="H532" s="151">
        <f t="shared" si="1889"/>
        <v>1204345</v>
      </c>
      <c r="I532" s="151">
        <f t="shared" ref="I532:N532" si="1890">I529+I530</f>
        <v>1204249</v>
      </c>
      <c r="J532" s="151">
        <f t="shared" si="1890"/>
        <v>1141336</v>
      </c>
      <c r="K532" s="151">
        <f t="shared" si="1890"/>
        <v>828455</v>
      </c>
      <c r="L532" s="151">
        <f t="shared" si="1890"/>
        <v>1584236</v>
      </c>
      <c r="M532" s="151">
        <f>M529+M530</f>
        <v>940418</v>
      </c>
      <c r="N532" s="151">
        <f t="shared" si="1890"/>
        <v>740784</v>
      </c>
      <c r="O532" s="151">
        <f>O529+O530</f>
        <v>1451560</v>
      </c>
      <c r="P532" s="151">
        <f>P529+P530</f>
        <v>1944953</v>
      </c>
      <c r="Q532" s="63"/>
      <c r="R532" s="151">
        <f>BN532-S532</f>
        <v>254232</v>
      </c>
      <c r="S532" s="140">
        <v>279789</v>
      </c>
      <c r="T532" s="124">
        <v>252401</v>
      </c>
      <c r="U532" s="63">
        <f>E532-T532-S532-R532</f>
        <v>365059</v>
      </c>
      <c r="V532" s="63">
        <f>BO532-W532</f>
        <v>284793</v>
      </c>
      <c r="W532" s="124">
        <v>294593</v>
      </c>
      <c r="X532" s="242">
        <f>827620-W532-V532</f>
        <v>248234</v>
      </c>
      <c r="Y532" s="63">
        <f>F532-X532-W532-V532</f>
        <v>386340</v>
      </c>
      <c r="Z532" s="242">
        <v>296069</v>
      </c>
      <c r="AA532" s="63">
        <f>BP532-Z532</f>
        <v>305790</v>
      </c>
      <c r="AB532" s="242">
        <v>250383</v>
      </c>
      <c r="AC532" s="151">
        <f t="shared" ref="AC532:AH532" si="1891">AC529+AC530</f>
        <v>352103</v>
      </c>
      <c r="AD532" s="151">
        <f t="shared" si="1891"/>
        <v>279239</v>
      </c>
      <c r="AE532" s="151">
        <f t="shared" si="1891"/>
        <v>315897</v>
      </c>
      <c r="AF532" s="151">
        <f t="shared" si="1891"/>
        <v>258287</v>
      </c>
      <c r="AG532" s="151">
        <f t="shared" si="1891"/>
        <v>287913</v>
      </c>
      <c r="AH532" s="151">
        <f t="shared" si="1891"/>
        <v>211498</v>
      </c>
      <c r="AI532" s="151">
        <f t="shared" ref="AI532:AN532" si="1892">AI529+AI530</f>
        <v>-25594</v>
      </c>
      <c r="AJ532" s="151">
        <f t="shared" si="1892"/>
        <v>179282</v>
      </c>
      <c r="AK532" s="151">
        <f t="shared" si="1892"/>
        <v>463269</v>
      </c>
      <c r="AL532" s="151">
        <f t="shared" si="1892"/>
        <v>352243</v>
      </c>
      <c r="AM532" s="151">
        <f t="shared" si="1892"/>
        <v>358993</v>
      </c>
      <c r="AN532" s="151">
        <f t="shared" si="1892"/>
        <v>389944</v>
      </c>
      <c r="AO532" s="151">
        <f t="shared" ref="AO532:AT532" si="1893">AO529+AO530</f>
        <v>483056</v>
      </c>
      <c r="AP532" s="151">
        <f t="shared" si="1893"/>
        <v>292153</v>
      </c>
      <c r="AQ532" s="151">
        <f t="shared" si="1893"/>
        <v>244586</v>
      </c>
      <c r="AR532" s="151">
        <f t="shared" si="1893"/>
        <v>178814</v>
      </c>
      <c r="AS532" s="151">
        <f t="shared" si="1893"/>
        <v>224865</v>
      </c>
      <c r="AT532" s="151">
        <f t="shared" si="1893"/>
        <v>126977</v>
      </c>
      <c r="AU532" s="151">
        <f t="shared" ref="AU532:AZ532" si="1894">AU529+AU530</f>
        <v>140715</v>
      </c>
      <c r="AV532" s="151">
        <f t="shared" si="1894"/>
        <v>181030</v>
      </c>
      <c r="AW532" s="151">
        <f t="shared" si="1894"/>
        <v>292062</v>
      </c>
      <c r="AX532" s="151">
        <f t="shared" si="1894"/>
        <v>296951</v>
      </c>
      <c r="AY532" s="151">
        <f t="shared" si="1894"/>
        <v>324856</v>
      </c>
      <c r="AZ532" s="151">
        <f t="shared" si="1894"/>
        <v>330029</v>
      </c>
      <c r="BA532" s="151">
        <f t="shared" ref="BA532:BF532" si="1895">BA529+BA530</f>
        <v>499724</v>
      </c>
      <c r="BB532" s="151">
        <f t="shared" si="1895"/>
        <v>471112</v>
      </c>
      <c r="BC532" s="151">
        <f t="shared" si="1895"/>
        <v>472748</v>
      </c>
      <c r="BD532" s="151">
        <f t="shared" si="1895"/>
        <v>413884</v>
      </c>
      <c r="BE532" s="151">
        <f t="shared" si="1895"/>
        <v>587209</v>
      </c>
      <c r="BF532" s="151">
        <f t="shared" si="1895"/>
        <v>541256</v>
      </c>
      <c r="BG532" s="142"/>
      <c r="BH532" s="242"/>
      <c r="BI532" s="242"/>
      <c r="BJ532" s="242"/>
      <c r="BK532" s="151"/>
      <c r="BL532" s="151"/>
      <c r="BM532" s="63"/>
      <c r="BN532" s="63">
        <f>BN529+BN530</f>
        <v>534021</v>
      </c>
      <c r="BO532" s="63">
        <f>BO529+BO530</f>
        <v>579386</v>
      </c>
      <c r="BP532" s="63">
        <v>601859</v>
      </c>
      <c r="BQ532" s="151">
        <f t="shared" ref="BQ532:BV532" si="1896">BQ529+BQ530</f>
        <v>595136</v>
      </c>
      <c r="BR532" s="151">
        <f t="shared" si="1896"/>
        <v>185904</v>
      </c>
      <c r="BS532" s="151">
        <f t="shared" si="1896"/>
        <v>711236</v>
      </c>
      <c r="BT532" s="151">
        <f t="shared" si="1896"/>
        <v>536739</v>
      </c>
      <c r="BU532" s="151">
        <f t="shared" si="1896"/>
        <v>267692</v>
      </c>
      <c r="BV532" s="151">
        <f t="shared" si="1896"/>
        <v>621807</v>
      </c>
      <c r="BW532" s="151">
        <f>BW529+BW530</f>
        <v>943860</v>
      </c>
      <c r="BX532" s="63"/>
      <c r="BY532" s="63"/>
      <c r="BZ532" s="151">
        <f>BZ529+BZ530</f>
        <v>595136</v>
      </c>
      <c r="CA532" s="63"/>
    </row>
    <row r="533" spans="1:83" s="54" customFormat="1" ht="13.5" customHeight="1">
      <c r="B533" s="229" t="s">
        <v>386</v>
      </c>
      <c r="C533" s="228">
        <f t="shared" ref="C533:K533" si="1897">C532-C129</f>
        <v>0</v>
      </c>
      <c r="D533" s="228">
        <f t="shared" si="1897"/>
        <v>0</v>
      </c>
      <c r="E533" s="228">
        <f t="shared" si="1897"/>
        <v>0</v>
      </c>
      <c r="F533" s="228">
        <f t="shared" si="1897"/>
        <v>0</v>
      </c>
      <c r="G533" s="228">
        <f t="shared" si="1897"/>
        <v>0</v>
      </c>
      <c r="H533" s="228">
        <f t="shared" si="1897"/>
        <v>0</v>
      </c>
      <c r="I533" s="228">
        <f t="shared" si="1897"/>
        <v>0</v>
      </c>
      <c r="J533" s="228">
        <f t="shared" si="1897"/>
        <v>0</v>
      </c>
      <c r="K533" s="228">
        <f t="shared" si="1897"/>
        <v>0</v>
      </c>
      <c r="L533" s="228">
        <f>L532-L129</f>
        <v>0</v>
      </c>
      <c r="M533" s="228">
        <f>M532-M129</f>
        <v>0</v>
      </c>
      <c r="N533" s="228">
        <f>N532-N129</f>
        <v>0</v>
      </c>
      <c r="O533" s="228">
        <f>O532-O129</f>
        <v>0</v>
      </c>
      <c r="P533" s="228">
        <f>P532-P129</f>
        <v>0</v>
      </c>
      <c r="Q533" s="228"/>
      <c r="R533" s="228">
        <f t="shared" ref="R533:W533" si="1898">R532-R129</f>
        <v>0</v>
      </c>
      <c r="S533" s="228">
        <f t="shared" si="1898"/>
        <v>0</v>
      </c>
      <c r="T533" s="228">
        <f t="shared" si="1898"/>
        <v>0</v>
      </c>
      <c r="U533" s="228">
        <f t="shared" si="1898"/>
        <v>0</v>
      </c>
      <c r="V533" s="228">
        <f t="shared" si="1898"/>
        <v>0</v>
      </c>
      <c r="W533" s="228">
        <f t="shared" si="1898"/>
        <v>0</v>
      </c>
      <c r="X533" s="220"/>
      <c r="Y533" s="228">
        <f t="shared" ref="Y533:AL533" si="1899">Y532-Y129</f>
        <v>0</v>
      </c>
      <c r="Z533" s="228">
        <f t="shared" si="1899"/>
        <v>0</v>
      </c>
      <c r="AA533" s="228">
        <f t="shared" si="1899"/>
        <v>0</v>
      </c>
      <c r="AB533" s="228">
        <f t="shared" si="1899"/>
        <v>0</v>
      </c>
      <c r="AC533" s="228">
        <f t="shared" si="1899"/>
        <v>0</v>
      </c>
      <c r="AD533" s="228">
        <f t="shared" si="1899"/>
        <v>0</v>
      </c>
      <c r="AE533" s="228">
        <f t="shared" si="1899"/>
        <v>0</v>
      </c>
      <c r="AF533" s="228">
        <f t="shared" si="1899"/>
        <v>0</v>
      </c>
      <c r="AG533" s="228">
        <f t="shared" si="1899"/>
        <v>0</v>
      </c>
      <c r="AH533" s="228">
        <f t="shared" si="1899"/>
        <v>0</v>
      </c>
      <c r="AI533" s="228">
        <f t="shared" si="1899"/>
        <v>0</v>
      </c>
      <c r="AJ533" s="228">
        <f t="shared" si="1899"/>
        <v>0</v>
      </c>
      <c r="AK533" s="228">
        <f t="shared" si="1899"/>
        <v>0</v>
      </c>
      <c r="AL533" s="228">
        <f t="shared" si="1899"/>
        <v>0</v>
      </c>
      <c r="AM533" s="228"/>
      <c r="AN533" s="228">
        <f>AN532-AN129</f>
        <v>0</v>
      </c>
      <c r="AO533" s="228">
        <f>AO532-AO129</f>
        <v>0</v>
      </c>
      <c r="AP533" s="228">
        <f>AP532-AP129</f>
        <v>0</v>
      </c>
      <c r="AQ533" s="228"/>
      <c r="AR533" s="228">
        <f>AR532-AR129</f>
        <v>0</v>
      </c>
      <c r="AS533" s="228">
        <f>AS532-AS129</f>
        <v>0</v>
      </c>
      <c r="AT533" s="228">
        <f>AT532-AT129</f>
        <v>0</v>
      </c>
      <c r="AU533" s="228"/>
      <c r="AV533" s="228">
        <f>AV532-AV129</f>
        <v>0</v>
      </c>
      <c r="AW533" s="228">
        <f>AW532-AW129</f>
        <v>0</v>
      </c>
      <c r="AX533" s="228">
        <f>AX532-AX129</f>
        <v>0</v>
      </c>
      <c r="AY533" s="228"/>
      <c r="AZ533" s="228">
        <f>AZ532-AZ129</f>
        <v>0</v>
      </c>
      <c r="BA533" s="228">
        <f>BA532-BA129</f>
        <v>0</v>
      </c>
      <c r="BB533" s="228">
        <f>BB532-BB129</f>
        <v>0</v>
      </c>
      <c r="BC533" s="228"/>
      <c r="BD533" s="228">
        <f>BD532-BD129</f>
        <v>0</v>
      </c>
      <c r="BE533" s="228">
        <f>BE532-BE129</f>
        <v>0</v>
      </c>
      <c r="BF533" s="228">
        <f>BF532-BF129</f>
        <v>0</v>
      </c>
      <c r="BG533" s="142"/>
      <c r="BH533" s="228"/>
      <c r="BI533" s="228"/>
      <c r="BJ533" s="228"/>
      <c r="BK533" s="228"/>
      <c r="BL533" s="228"/>
      <c r="BM533" s="228"/>
      <c r="BN533" s="228">
        <f>BN532-BN129</f>
        <v>0</v>
      </c>
      <c r="BO533" s="228">
        <f>BO532-BO129</f>
        <v>0</v>
      </c>
      <c r="BP533" s="228">
        <f>BP532-BP129</f>
        <v>0</v>
      </c>
      <c r="BQ533" s="228">
        <f>BQ532-BQ129</f>
        <v>0</v>
      </c>
      <c r="BR533" s="228">
        <f>BR532-BR129</f>
        <v>0</v>
      </c>
      <c r="BS533" s="228"/>
      <c r="BT533" s="228"/>
      <c r="BU533" s="228"/>
      <c r="BV533" s="228"/>
      <c r="BW533" s="228"/>
      <c r="BX533" s="228"/>
      <c r="BY533" s="228"/>
      <c r="BZ533" s="228">
        <f>BZ532-BZ129</f>
        <v>0</v>
      </c>
      <c r="CA533" s="228"/>
    </row>
    <row r="534" spans="1:83" ht="13.5" customHeight="1"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V534" s="5"/>
      <c r="W534" s="5"/>
      <c r="Z534" s="5"/>
      <c r="AA534" s="5"/>
      <c r="AD534" s="5"/>
      <c r="AE534" s="5"/>
      <c r="AF534" s="5"/>
      <c r="AH534" s="5"/>
      <c r="AI534" s="5"/>
      <c r="AJ534" s="5"/>
      <c r="AL534" s="5"/>
      <c r="AM534" s="5"/>
      <c r="AN534" s="5"/>
      <c r="AP534" s="5"/>
      <c r="AQ534" s="5"/>
      <c r="AR534" s="5"/>
      <c r="AT534" s="5"/>
      <c r="AU534" s="5"/>
      <c r="AV534" s="5"/>
      <c r="AX534" s="5"/>
      <c r="AY534" s="5"/>
      <c r="AZ534" s="5"/>
      <c r="BB534" s="5"/>
      <c r="BC534" s="5"/>
      <c r="BD534" s="5"/>
      <c r="BF534" s="5"/>
      <c r="BG534" s="142"/>
      <c r="BH534" s="5"/>
      <c r="BI534" s="5"/>
      <c r="BJ534" s="5"/>
      <c r="BL534" s="5"/>
      <c r="BM534" s="5"/>
    </row>
    <row r="535" spans="1:83" ht="13.5" customHeight="1">
      <c r="B535" s="5" t="s">
        <v>542</v>
      </c>
      <c r="C535" s="78">
        <f t="shared" ref="C535:K535" si="1900">C529/C8</f>
        <v>0.12726025406118652</v>
      </c>
      <c r="D535" s="78">
        <f t="shared" si="1900"/>
        <v>0.12573051082231212</v>
      </c>
      <c r="E535" s="78">
        <f t="shared" si="1900"/>
        <v>0.1293195712107523</v>
      </c>
      <c r="F535" s="78">
        <f t="shared" si="1900"/>
        <v>0.13155459933081437</v>
      </c>
      <c r="G535" s="78">
        <f t="shared" si="1900"/>
        <v>0.13237266151236396</v>
      </c>
      <c r="H535" s="78">
        <f t="shared" si="1900"/>
        <v>0.12660005736285307</v>
      </c>
      <c r="I535" s="78">
        <f t="shared" si="1900"/>
        <v>0.10861163086356244</v>
      </c>
      <c r="J535" s="78">
        <f t="shared" si="1900"/>
        <v>9.8246055353325257E-2</v>
      </c>
      <c r="K535" s="78">
        <f t="shared" si="1900"/>
        <v>7.5177952413531562E-2</v>
      </c>
      <c r="L535" s="78">
        <f>L529/L8</f>
        <v>0.11933411792216631</v>
      </c>
      <c r="M535" s="78">
        <f>M529/M8</f>
        <v>7.2304991309598624E-2</v>
      </c>
      <c r="N535" s="78">
        <f>N529/N8</f>
        <v>7.2496323654625203E-2</v>
      </c>
      <c r="O535" s="78">
        <f>O529/O8</f>
        <v>0.11147620869876645</v>
      </c>
      <c r="P535" s="78">
        <f>P529/P8</f>
        <v>0.13250557993534873</v>
      </c>
      <c r="Q535" s="227"/>
      <c r="R535" s="78">
        <f t="shared" ref="R535:AN535" si="1901">R529/R8</f>
        <v>0.11637691115730292</v>
      </c>
      <c r="S535" s="78">
        <f t="shared" si="1901"/>
        <v>0.12846794048882693</v>
      </c>
      <c r="T535" s="78">
        <f t="shared" si="1901"/>
        <v>0.11644767433776226</v>
      </c>
      <c r="U535" s="78">
        <f t="shared" si="1901"/>
        <v>0.15222941971755435</v>
      </c>
      <c r="V535" s="227">
        <f t="shared" si="1901"/>
        <v>0.1297990773376804</v>
      </c>
      <c r="W535" s="227">
        <f t="shared" si="1901"/>
        <v>0.13078258206623747</v>
      </c>
      <c r="X535" s="227">
        <f t="shared" si="1901"/>
        <v>0.11018252600345727</v>
      </c>
      <c r="Y535" s="78">
        <f t="shared" si="1901"/>
        <v>0.15147655808369578</v>
      </c>
      <c r="Z535" s="227">
        <f t="shared" si="1901"/>
        <v>0.13040870727973367</v>
      </c>
      <c r="AA535" s="227">
        <f t="shared" si="1901"/>
        <v>0.12878513571384406</v>
      </c>
      <c r="AB535" s="227">
        <f t="shared" si="1901"/>
        <v>0.11212130827378587</v>
      </c>
      <c r="AC535" s="227">
        <f t="shared" si="1901"/>
        <v>0.13369731361638654</v>
      </c>
      <c r="AD535" s="227">
        <f t="shared" si="1901"/>
        <v>9.7053616331178802E-2</v>
      </c>
      <c r="AE535" s="227">
        <f t="shared" si="1901"/>
        <v>0.10671504797104016</v>
      </c>
      <c r="AF535" s="227">
        <f t="shared" si="1901"/>
        <v>8.9454964472333587E-2</v>
      </c>
      <c r="AG535" s="227">
        <f t="shared" si="1901"/>
        <v>9.9112239842949035E-2</v>
      </c>
      <c r="AH535" s="227">
        <f t="shared" si="1901"/>
        <v>7.4598769689618219E-2</v>
      </c>
      <c r="AI535" s="227">
        <f t="shared" si="1901"/>
        <v>-2.4309539792941745E-2</v>
      </c>
      <c r="AJ535" s="227">
        <f t="shared" si="1901"/>
        <v>6.0482479973185066E-2</v>
      </c>
      <c r="AK535" s="227">
        <f t="shared" si="1901"/>
        <v>0.14096001884563847</v>
      </c>
      <c r="AL535" s="227">
        <f t="shared" si="1901"/>
        <v>0.11029137921093056</v>
      </c>
      <c r="AM535" s="227">
        <f t="shared" si="1901"/>
        <v>0.11568119597906049</v>
      </c>
      <c r="AN535" s="227">
        <f t="shared" si="1901"/>
        <v>0.11868043877551841</v>
      </c>
      <c r="AO535" s="227">
        <f t="shared" ref="AO535:AT535" si="1902">AO529/AO8</f>
        <v>0.12915545994029584</v>
      </c>
      <c r="AP535" s="227">
        <f t="shared" si="1902"/>
        <v>8.032582375431005E-2</v>
      </c>
      <c r="AQ535" s="227">
        <f t="shared" si="1902"/>
        <v>7.0692573395980771E-2</v>
      </c>
      <c r="AR535" s="227">
        <f t="shared" si="1902"/>
        <v>5.338157427854575E-2</v>
      </c>
      <c r="AS535" s="227">
        <f t="shared" si="1902"/>
        <v>8.3350034792909353E-2</v>
      </c>
      <c r="AT535" s="227">
        <f t="shared" si="1902"/>
        <v>5.1980242114978162E-2</v>
      </c>
      <c r="AU535" s="227">
        <f t="shared" ref="AU535:AZ535" si="1903">AU529/AU8</f>
        <v>6.2628672637691937E-2</v>
      </c>
      <c r="AV535" s="227">
        <f t="shared" si="1903"/>
        <v>5.8609721241138044E-2</v>
      </c>
      <c r="AW535" s="227">
        <f t="shared" si="1903"/>
        <v>0.1098785624855772</v>
      </c>
      <c r="AX535" s="227">
        <f t="shared" si="1903"/>
        <v>9.5807239556995868E-2</v>
      </c>
      <c r="AY535" s="227">
        <f t="shared" si="1903"/>
        <v>0.10548319503355255</v>
      </c>
      <c r="AZ535" s="227">
        <f t="shared" si="1903"/>
        <v>9.9658276378123647E-2</v>
      </c>
      <c r="BA535" s="227">
        <f t="shared" ref="BA535:BF535" si="1904">BA529/BA8</f>
        <v>0.13761454003108115</v>
      </c>
      <c r="BB535" s="227">
        <f t="shared" si="1904"/>
        <v>0.126807640825784</v>
      </c>
      <c r="BC535" s="227">
        <f t="shared" si="1904"/>
        <v>0.12887581140712553</v>
      </c>
      <c r="BD535" s="227">
        <f t="shared" si="1904"/>
        <v>0.11523891393230537</v>
      </c>
      <c r="BE535" s="227">
        <f t="shared" si="1904"/>
        <v>0.15339761076411079</v>
      </c>
      <c r="BF535" s="227">
        <f t="shared" si="1904"/>
        <v>0.1278610309174591</v>
      </c>
      <c r="BG535" s="142"/>
      <c r="BH535" s="227"/>
      <c r="BI535" s="227"/>
      <c r="BJ535" s="227"/>
      <c r="BK535" s="227"/>
      <c r="BL535" s="227"/>
      <c r="BM535" s="227"/>
      <c r="BN535" s="57">
        <f t="shared" ref="BN535:BS535" si="1905">BN529/BN8</f>
        <v>0.12251563753145127</v>
      </c>
      <c r="BO535" s="57">
        <f t="shared" si="1905"/>
        <v>0.130298830119465</v>
      </c>
      <c r="BP535" s="57">
        <f t="shared" si="1905"/>
        <v>0.12957793633570544</v>
      </c>
      <c r="BQ535" s="57">
        <f t="shared" si="1905"/>
        <v>0.10196709965821732</v>
      </c>
      <c r="BR535" s="57">
        <f t="shared" si="1905"/>
        <v>3.1490095442494058E-2</v>
      </c>
      <c r="BS535" s="57">
        <f t="shared" si="1905"/>
        <v>0.11308716262113419</v>
      </c>
      <c r="BT535" s="57">
        <f>BT529/BT8</f>
        <v>7.5441088245079183E-2</v>
      </c>
      <c r="BU535" s="57">
        <f>BU529/BU8</f>
        <v>5.7239532475887978E-2</v>
      </c>
      <c r="BV535" s="57">
        <f>BV529/BV8</f>
        <v>0.10069798159512058</v>
      </c>
      <c r="BW535" s="57">
        <f>BW529/BW8</f>
        <v>0.12784951840834344</v>
      </c>
      <c r="BX535" s="57"/>
      <c r="BY535" s="57"/>
      <c r="BZ535" s="57">
        <f>BZ529/BZ8</f>
        <v>0.10196709965821732</v>
      </c>
      <c r="CA535" s="57"/>
    </row>
    <row r="536" spans="1:83" ht="13.5" customHeight="1">
      <c r="B536" s="5" t="s">
        <v>543</v>
      </c>
      <c r="C536" s="78">
        <f t="shared" ref="C536:H536" si="1906">C530/C542</f>
        <v>0.21525249531031826</v>
      </c>
      <c r="D536" s="78">
        <f t="shared" si="1906"/>
        <v>0.2230875864813501</v>
      </c>
      <c r="E536" s="78">
        <f t="shared" si="1906"/>
        <v>0.18849443344822736</v>
      </c>
      <c r="F536" s="78">
        <f t="shared" si="1906"/>
        <v>0.17898533406530703</v>
      </c>
      <c r="G536" s="78">
        <f t="shared" si="1906"/>
        <v>0.17837608343801073</v>
      </c>
      <c r="H536" s="78">
        <f t="shared" si="1906"/>
        <v>0.17314563394551516</v>
      </c>
      <c r="I536" s="78">
        <f t="shared" ref="I536:N536" si="1907">I530/I542</f>
        <v>0.26805238143412335</v>
      </c>
      <c r="J536" s="78">
        <f t="shared" si="1907"/>
        <v>0.25796151846748205</v>
      </c>
      <c r="K536" s="78">
        <f t="shared" si="1907"/>
        <v>0.17335511408075316</v>
      </c>
      <c r="L536" s="78">
        <f t="shared" si="1907"/>
        <v>0.30873066372294566</v>
      </c>
      <c r="M536" s="78">
        <f>M530/M542</f>
        <v>0.10105944683332756</v>
      </c>
      <c r="N536" s="78">
        <f t="shared" si="1907"/>
        <v>3.310289627586098E-2</v>
      </c>
      <c r="O536" s="78">
        <f>O530/O542</f>
        <v>0.16428521954320827</v>
      </c>
      <c r="P536" s="78">
        <f>P530/P542</f>
        <v>0.22399892492332577</v>
      </c>
      <c r="Q536" s="227"/>
      <c r="R536" s="78">
        <f t="shared" ref="R536:W536" si="1908">R530/R542</f>
        <v>0.20912103903633406</v>
      </c>
      <c r="S536" s="78">
        <f t="shared" si="1908"/>
        <v>0.17186025518593251</v>
      </c>
      <c r="T536" s="78">
        <f t="shared" si="1908"/>
        <v>0.19870186996297715</v>
      </c>
      <c r="U536" s="78">
        <f t="shared" si="1908"/>
        <v>0.1756133467134485</v>
      </c>
      <c r="V536" s="227">
        <f t="shared" si="1908"/>
        <v>0.17478585954278233</v>
      </c>
      <c r="W536" s="227">
        <f t="shared" si="1908"/>
        <v>0.16616211190403019</v>
      </c>
      <c r="X536" s="227">
        <f t="shared" ref="X536:AC536" si="1909">X530/X542</f>
        <v>0.19259622462438125</v>
      </c>
      <c r="Y536" s="78">
        <f t="shared" si="1909"/>
        <v>0.18304735375923609</v>
      </c>
      <c r="Z536" s="227">
        <f t="shared" si="1909"/>
        <v>0.19033806950752241</v>
      </c>
      <c r="AA536" s="227">
        <f t="shared" si="1909"/>
        <v>0.18734268562817544</v>
      </c>
      <c r="AB536" s="227">
        <f t="shared" si="1909"/>
        <v>0.13277348671706965</v>
      </c>
      <c r="AC536" s="227">
        <f t="shared" si="1909"/>
        <v>0.18385434142758467</v>
      </c>
      <c r="AD536" s="227">
        <f t="shared" ref="AD536:AI536" si="1910">AD530/AD542</f>
        <v>0.28348938855967759</v>
      </c>
      <c r="AE536" s="227">
        <f t="shared" si="1910"/>
        <v>0.30319595588193904</v>
      </c>
      <c r="AF536" s="227">
        <f t="shared" si="1910"/>
        <v>0.2627464765582071</v>
      </c>
      <c r="AG536" s="227">
        <f t="shared" si="1910"/>
        <v>0.1854721801247155</v>
      </c>
      <c r="AH536" s="227">
        <f t="shared" si="1910"/>
        <v>0.20135620879230284</v>
      </c>
      <c r="AI536" s="227">
        <f t="shared" si="1910"/>
        <v>3.2923701075453636E-2</v>
      </c>
      <c r="AJ536" s="227">
        <f t="shared" ref="AJ536:AO536" si="1911">AJ530/AJ542</f>
        <v>0.16817666509907658</v>
      </c>
      <c r="AK536" s="227">
        <f t="shared" si="1911"/>
        <v>0.2984216976861031</v>
      </c>
      <c r="AL536" s="227">
        <f t="shared" si="1911"/>
        <v>0.4120853819018433</v>
      </c>
      <c r="AM536" s="227">
        <f t="shared" si="1911"/>
        <v>0.31964744166213149</v>
      </c>
      <c r="AN536" s="227">
        <f t="shared" si="1911"/>
        <v>0.28234073204387228</v>
      </c>
      <c r="AO536" s="227">
        <f t="shared" si="1911"/>
        <v>0.2423688424767432</v>
      </c>
      <c r="AP536" s="227">
        <f t="shared" ref="AP536:AU536" si="1912">AP530/AP542</f>
        <v>0.22620674736122279</v>
      </c>
      <c r="AQ536" s="227">
        <f t="shared" si="1912"/>
        <v>0.13080287173396457</v>
      </c>
      <c r="AR536" s="227">
        <f t="shared" si="1912"/>
        <v>9.5005074299210429E-2</v>
      </c>
      <c r="AS536" s="227">
        <f t="shared" si="1912"/>
        <v>-1.7639949723984701E-2</v>
      </c>
      <c r="AT536" s="227">
        <f t="shared" si="1912"/>
        <v>1.8477076212854392E-2</v>
      </c>
      <c r="AU536" s="227">
        <f t="shared" si="1912"/>
        <v>3.5955266391966881E-3</v>
      </c>
      <c r="AV536" s="227">
        <f t="shared" ref="AV536:BA536" si="1913">AV530/AV542</f>
        <v>0.10741872594035176</v>
      </c>
      <c r="AW536" s="227">
        <f t="shared" si="1913"/>
        <v>9.4222259220560307E-4</v>
      </c>
      <c r="AX536" s="227">
        <f t="shared" si="1913"/>
        <v>0.14392992320995754</v>
      </c>
      <c r="AY536" s="227">
        <f t="shared" si="1913"/>
        <v>0.14622900229039298</v>
      </c>
      <c r="AZ536" s="227">
        <f t="shared" si="1913"/>
        <v>0.20483099143062236</v>
      </c>
      <c r="BA536" s="227">
        <f t="shared" si="1913"/>
        <v>0.16410463847477252</v>
      </c>
      <c r="BB536" s="227">
        <f>BB530/BB542</f>
        <v>0.2861587602879414</v>
      </c>
      <c r="BC536" s="227">
        <f>BC530/BC542</f>
        <v>0.25781378600610849</v>
      </c>
      <c r="BD536" s="227">
        <f>BD530/BD542</f>
        <v>0.22369611876935466</v>
      </c>
      <c r="BE536" s="227">
        <f>BE530/BE542</f>
        <v>0.13638982100728728</v>
      </c>
      <c r="BF536" s="227">
        <f>BF530/BF542</f>
        <v>0.32676430019127028</v>
      </c>
      <c r="BG536" s="142"/>
      <c r="BH536" s="227"/>
      <c r="BI536" s="227"/>
      <c r="BJ536" s="227"/>
      <c r="BK536" s="227"/>
      <c r="BL536" s="227"/>
      <c r="BM536" s="227"/>
      <c r="BN536" s="57">
        <f t="shared" ref="BN536:BS536" si="1914">BN530/BN542</f>
        <v>0.19009588370901084</v>
      </c>
      <c r="BO536" s="57">
        <f t="shared" si="1914"/>
        <v>0.17038897729060676</v>
      </c>
      <c r="BP536" s="57">
        <f t="shared" si="1914"/>
        <v>0.18881568382655112</v>
      </c>
      <c r="BQ536" s="57">
        <f t="shared" si="1914"/>
        <v>0.29356056651178808</v>
      </c>
      <c r="BR536" s="57">
        <f t="shared" si="1914"/>
        <v>0.12381907622654434</v>
      </c>
      <c r="BS536" s="57">
        <f t="shared" si="1914"/>
        <v>0.36615134911837965</v>
      </c>
      <c r="BT536" s="57">
        <f>BT530/BT542</f>
        <v>0.17471110053645184</v>
      </c>
      <c r="BU536" s="57">
        <f>BU530/BU542</f>
        <v>1.1070347109461767E-2</v>
      </c>
      <c r="BV536" s="57">
        <f>BV530/BV542</f>
        <v>0.14506343537292582</v>
      </c>
      <c r="BW536" s="57">
        <f>BW530/BW542</f>
        <v>0.2717397398771681</v>
      </c>
      <c r="BX536" s="57"/>
      <c r="BY536" s="57"/>
      <c r="BZ536" s="57">
        <f>BZ530/BZ542</f>
        <v>0.29356056651178808</v>
      </c>
      <c r="CA536" s="57"/>
    </row>
    <row r="537" spans="1:83" ht="13.5" customHeight="1"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V537" s="5"/>
      <c r="W537" s="5"/>
      <c r="AA537" s="5"/>
      <c r="AE537" s="5"/>
      <c r="AI537" s="5"/>
      <c r="AM537" s="5"/>
      <c r="AQ537" s="5"/>
      <c r="AU537" s="5"/>
      <c r="AY537" s="5"/>
      <c r="BC537" s="5"/>
      <c r="BG537" s="142"/>
    </row>
    <row r="538" spans="1:83" ht="13.5" customHeight="1">
      <c r="A538" s="28"/>
      <c r="B538" s="446" t="s">
        <v>544</v>
      </c>
      <c r="C538" s="46">
        <v>41975</v>
      </c>
      <c r="D538" s="46">
        <v>42341</v>
      </c>
      <c r="E538" s="46">
        <v>42708</v>
      </c>
      <c r="F538" s="253">
        <v>43073</v>
      </c>
      <c r="G538" s="253">
        <f t="shared" ref="G538:L538" si="1915">G3</f>
        <v>43073</v>
      </c>
      <c r="H538" s="253">
        <f t="shared" si="1915"/>
        <v>43438</v>
      </c>
      <c r="I538" s="253">
        <f t="shared" si="1915"/>
        <v>43438</v>
      </c>
      <c r="J538" s="253">
        <f t="shared" si="1915"/>
        <v>43803</v>
      </c>
      <c r="K538" s="253">
        <f t="shared" si="1915"/>
        <v>44169</v>
      </c>
      <c r="L538" s="253">
        <f t="shared" si="1915"/>
        <v>44534</v>
      </c>
      <c r="M538" s="253">
        <f>M3</f>
        <v>44899</v>
      </c>
      <c r="N538" s="253">
        <f>N3</f>
        <v>45264</v>
      </c>
      <c r="O538" s="253">
        <f>O3</f>
        <v>45630</v>
      </c>
      <c r="P538" s="253">
        <f>P3</f>
        <v>45995</v>
      </c>
      <c r="Q538" s="329"/>
      <c r="R538" s="46">
        <v>42437</v>
      </c>
      <c r="S538" s="46">
        <v>42527</v>
      </c>
      <c r="T538" s="46">
        <v>42622</v>
      </c>
      <c r="U538" s="46">
        <v>42714</v>
      </c>
      <c r="V538" s="46">
        <v>42801</v>
      </c>
      <c r="W538" s="46">
        <v>42892</v>
      </c>
      <c r="X538" s="46">
        <v>42987</v>
      </c>
      <c r="Y538" s="46">
        <f t="shared" ref="Y538:AN538" si="1916">Y3</f>
        <v>43079</v>
      </c>
      <c r="Z538" s="46">
        <f t="shared" si="1916"/>
        <v>43166</v>
      </c>
      <c r="AA538" s="46">
        <f t="shared" si="1916"/>
        <v>43257</v>
      </c>
      <c r="AB538" s="46">
        <f t="shared" si="1916"/>
        <v>43352</v>
      </c>
      <c r="AC538" s="46">
        <f t="shared" si="1916"/>
        <v>43444</v>
      </c>
      <c r="AD538" s="253">
        <f t="shared" si="1916"/>
        <v>43531</v>
      </c>
      <c r="AE538" s="253">
        <f t="shared" si="1916"/>
        <v>43622</v>
      </c>
      <c r="AF538" s="253">
        <f t="shared" si="1916"/>
        <v>43738</v>
      </c>
      <c r="AG538" s="120">
        <f t="shared" si="1916"/>
        <v>43809</v>
      </c>
      <c r="AH538" s="253">
        <f t="shared" si="1916"/>
        <v>43897</v>
      </c>
      <c r="AI538" s="253">
        <f t="shared" si="1916"/>
        <v>43988</v>
      </c>
      <c r="AJ538" s="253">
        <f t="shared" si="1916"/>
        <v>44104</v>
      </c>
      <c r="AK538" s="120">
        <f t="shared" si="1916"/>
        <v>44175</v>
      </c>
      <c r="AL538" s="253">
        <f t="shared" si="1916"/>
        <v>44262</v>
      </c>
      <c r="AM538" s="253">
        <f t="shared" si="1916"/>
        <v>44348</v>
      </c>
      <c r="AN538" s="253">
        <f t="shared" si="1916"/>
        <v>44469</v>
      </c>
      <c r="AO538" s="120">
        <f t="shared" ref="AO538:AT538" si="1917">AO3</f>
        <v>44540</v>
      </c>
      <c r="AP538" s="253">
        <f t="shared" si="1917"/>
        <v>44651</v>
      </c>
      <c r="AQ538" s="253">
        <f t="shared" si="1917"/>
        <v>44713</v>
      </c>
      <c r="AR538" s="253">
        <f t="shared" si="1917"/>
        <v>44834</v>
      </c>
      <c r="AS538" s="120">
        <f t="shared" si="1917"/>
        <v>44905</v>
      </c>
      <c r="AT538" s="253">
        <f t="shared" si="1917"/>
        <v>45016</v>
      </c>
      <c r="AU538" s="253">
        <f t="shared" ref="AU538:AZ538" si="1918">AU3</f>
        <v>45078</v>
      </c>
      <c r="AV538" s="253">
        <f t="shared" si="1918"/>
        <v>45199</v>
      </c>
      <c r="AW538" s="120">
        <f t="shared" si="1918"/>
        <v>45270</v>
      </c>
      <c r="AX538" s="253">
        <f t="shared" si="1918"/>
        <v>45382</v>
      </c>
      <c r="AY538" s="253">
        <f t="shared" si="1918"/>
        <v>45444</v>
      </c>
      <c r="AZ538" s="253">
        <f t="shared" si="1918"/>
        <v>45565</v>
      </c>
      <c r="BA538" s="120">
        <f t="shared" ref="BA538:BF538" si="1919">BA3</f>
        <v>45636</v>
      </c>
      <c r="BB538" s="253">
        <f t="shared" si="1919"/>
        <v>45747</v>
      </c>
      <c r="BC538" s="253">
        <f t="shared" si="1919"/>
        <v>45809</v>
      </c>
      <c r="BD538" s="253">
        <f t="shared" si="1919"/>
        <v>45930</v>
      </c>
      <c r="BE538" s="120">
        <f t="shared" si="1919"/>
        <v>46001</v>
      </c>
      <c r="BF538" s="253">
        <f t="shared" si="1919"/>
        <v>46112</v>
      </c>
      <c r="BG538" s="142"/>
      <c r="BH538" s="46"/>
      <c r="BI538" s="46"/>
      <c r="BJ538" s="46"/>
      <c r="BK538" s="46"/>
      <c r="BL538" s="253"/>
      <c r="BM538" s="329"/>
      <c r="BN538" s="46">
        <v>42530</v>
      </c>
      <c r="BO538" s="46">
        <v>42896</v>
      </c>
      <c r="BP538" s="46">
        <f t="shared" ref="BP538:BU538" si="1920">BP3</f>
        <v>43261</v>
      </c>
      <c r="BQ538" s="253">
        <f t="shared" si="1920"/>
        <v>43646</v>
      </c>
      <c r="BR538" s="253">
        <f t="shared" si="1920"/>
        <v>44012</v>
      </c>
      <c r="BS538" s="253">
        <f t="shared" si="1920"/>
        <v>44377</v>
      </c>
      <c r="BT538" s="253">
        <f t="shared" si="1920"/>
        <v>44742</v>
      </c>
      <c r="BU538" s="253">
        <f t="shared" si="1920"/>
        <v>45107</v>
      </c>
      <c r="BV538" s="253">
        <f>BV3</f>
        <v>45473</v>
      </c>
      <c r="BW538" s="253">
        <f>BW3</f>
        <v>45838</v>
      </c>
      <c r="BX538" s="62"/>
      <c r="BY538" s="62"/>
      <c r="BZ538" s="253">
        <f>BZ3</f>
        <v>43646</v>
      </c>
      <c r="CA538" s="62"/>
      <c r="CC538" s="28"/>
      <c r="CD538" s="28"/>
      <c r="CE538" s="28"/>
    </row>
    <row r="539" spans="1:83" ht="13.5" customHeight="1"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V539" s="5"/>
      <c r="W539" s="5"/>
      <c r="AA539" s="5"/>
      <c r="AE539" s="5"/>
      <c r="AI539" s="5"/>
      <c r="AM539" s="5"/>
      <c r="AQ539" s="5"/>
      <c r="AU539" s="5"/>
      <c r="AY539" s="5"/>
      <c r="BC539" s="5"/>
      <c r="BG539" s="142"/>
    </row>
    <row r="540" spans="1:83" ht="13.5" customHeight="1">
      <c r="B540" s="5" t="s">
        <v>282</v>
      </c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227"/>
      <c r="R540" s="78"/>
      <c r="S540" s="75"/>
      <c r="T540" s="76"/>
      <c r="U540" s="77"/>
      <c r="V540" s="227"/>
      <c r="W540" s="227"/>
      <c r="Y540" s="77"/>
      <c r="AA540" s="227"/>
      <c r="AC540" s="77"/>
      <c r="AE540" s="227"/>
      <c r="AG540" s="77"/>
      <c r="AI540" s="227"/>
      <c r="AK540" s="77"/>
      <c r="AM540" s="227"/>
      <c r="AO540" s="77"/>
      <c r="AQ540" s="227"/>
      <c r="AS540" s="77"/>
      <c r="AU540" s="227"/>
      <c r="AW540" s="77"/>
      <c r="AY540" s="227"/>
      <c r="BA540" s="77"/>
      <c r="BC540" s="227"/>
      <c r="BE540" s="77"/>
      <c r="BG540" s="142"/>
      <c r="BK540" s="77"/>
    </row>
    <row r="541" spans="1:83" ht="13.5" customHeight="1">
      <c r="B541" s="1" t="s">
        <v>545</v>
      </c>
      <c r="C541" s="63">
        <f t="shared" ref="C541:H541" si="1921">C492</f>
        <v>7038379</v>
      </c>
      <c r="D541" s="63">
        <f t="shared" si="1921"/>
        <v>7753209</v>
      </c>
      <c r="E541" s="63">
        <f t="shared" si="1921"/>
        <v>7898301</v>
      </c>
      <c r="F541" s="63">
        <f t="shared" si="1921"/>
        <v>8242645.2630000012</v>
      </c>
      <c r="G541" s="63">
        <f t="shared" si="1921"/>
        <v>8209851.5100000007</v>
      </c>
      <c r="H541" s="63">
        <f t="shared" si="1921"/>
        <v>8483577.3330000006</v>
      </c>
      <c r="I541" s="63">
        <f t="shared" ref="I541:N541" si="1922">I492</f>
        <v>7976898.4050000012</v>
      </c>
      <c r="J541" s="63">
        <f t="shared" si="1922"/>
        <v>8053582.8350000009</v>
      </c>
      <c r="K541" s="63">
        <f t="shared" si="1922"/>
        <v>8281049.9489999982</v>
      </c>
      <c r="L541" s="63">
        <f t="shared" si="1922"/>
        <v>10335383.739999998</v>
      </c>
      <c r="M541" s="63">
        <f>M492</f>
        <v>10460666.397999998</v>
      </c>
      <c r="N541" s="63">
        <f t="shared" si="1922"/>
        <v>9355114.6570000015</v>
      </c>
      <c r="O541" s="63">
        <f>O492</f>
        <v>10322104.478</v>
      </c>
      <c r="P541" s="63">
        <f>P492</f>
        <v>11342385.894000001</v>
      </c>
      <c r="Q541" s="63"/>
      <c r="R541" s="151">
        <f t="shared" ref="R541:W541" si="1923">R492</f>
        <v>1889595.811</v>
      </c>
      <c r="S541" s="151">
        <f t="shared" si="1923"/>
        <v>1948787.6760000002</v>
      </c>
      <c r="T541" s="63">
        <f t="shared" si="1923"/>
        <v>1869557.7239999999</v>
      </c>
      <c r="U541" s="63">
        <f t="shared" si="1923"/>
        <v>2190360.5729999999</v>
      </c>
      <c r="V541" s="63">
        <f t="shared" si="1923"/>
        <v>1952033.8810000001</v>
      </c>
      <c r="W541" s="63">
        <f t="shared" si="1923"/>
        <v>2015162.1370000001</v>
      </c>
      <c r="X541" s="63">
        <f t="shared" ref="X541:AC541" si="1924">X492</f>
        <v>1941993.5970000001</v>
      </c>
      <c r="Y541" s="63">
        <f t="shared" si="1924"/>
        <v>2333455.648</v>
      </c>
      <c r="Z541" s="63">
        <f t="shared" si="1924"/>
        <v>2010257.6850000003</v>
      </c>
      <c r="AA541" s="63">
        <f t="shared" si="1924"/>
        <v>2106536.7970000003</v>
      </c>
      <c r="AB541" s="63">
        <f t="shared" si="1924"/>
        <v>2004610.7590000001</v>
      </c>
      <c r="AC541" s="63">
        <f t="shared" si="1924"/>
        <v>2362172.0920000011</v>
      </c>
      <c r="AD541" s="63">
        <f t="shared" ref="AD541:AI541" si="1925">AD492</f>
        <v>1926900.5120000003</v>
      </c>
      <c r="AE541" s="63">
        <f t="shared" si="1925"/>
        <v>1994081.004</v>
      </c>
      <c r="AF541" s="63">
        <f t="shared" si="1925"/>
        <v>1881456.2499999998</v>
      </c>
      <c r="AG541" s="63">
        <f t="shared" si="1925"/>
        <v>2251145.0690000001</v>
      </c>
      <c r="AH541" s="63">
        <f t="shared" si="1925"/>
        <v>1887698.2930000001</v>
      </c>
      <c r="AI541" s="63">
        <f t="shared" si="1925"/>
        <v>1458364.25</v>
      </c>
      <c r="AJ541" s="63">
        <f t="shared" ref="AJ541:AO541" si="1926">AJ492</f>
        <v>2217405.8169999998</v>
      </c>
      <c r="AK541" s="63">
        <f t="shared" si="1926"/>
        <v>2717581.5889999988</v>
      </c>
      <c r="AL541" s="63">
        <f t="shared" si="1926"/>
        <v>2218078.4550000005</v>
      </c>
      <c r="AM541" s="63">
        <f t="shared" si="1926"/>
        <v>2390588.7439999999</v>
      </c>
      <c r="AN541" s="63">
        <f t="shared" si="1926"/>
        <v>2620892.4420000007</v>
      </c>
      <c r="AO541" s="63">
        <f t="shared" si="1926"/>
        <v>3105824.0989999999</v>
      </c>
      <c r="AP541" s="63">
        <f t="shared" ref="AP541:AU541" si="1927">AP492</f>
        <v>2546146.5869999998</v>
      </c>
      <c r="AQ541" s="63">
        <f t="shared" si="1927"/>
        <v>2619187.9019999993</v>
      </c>
      <c r="AR541" s="63">
        <f t="shared" si="1927"/>
        <v>2492158.7419999996</v>
      </c>
      <c r="AS541" s="63">
        <f t="shared" si="1927"/>
        <v>2803173.1670000008</v>
      </c>
      <c r="AT541" s="63">
        <f t="shared" si="1927"/>
        <v>2274726.2649999997</v>
      </c>
      <c r="AU541" s="63">
        <f t="shared" si="1927"/>
        <v>2219917.3820000002</v>
      </c>
      <c r="AV541" s="63">
        <f t="shared" ref="AV541:BA541" si="1928">AV492</f>
        <v>2206436.9849999999</v>
      </c>
      <c r="AW541" s="63">
        <f t="shared" si="1928"/>
        <v>2654034.0250000004</v>
      </c>
      <c r="AX541" s="63">
        <f t="shared" si="1928"/>
        <v>2392525.6860000002</v>
      </c>
      <c r="AY541" s="63">
        <f t="shared" si="1928"/>
        <v>2445288.1239999998</v>
      </c>
      <c r="AZ541" s="63">
        <f t="shared" si="1928"/>
        <v>2402953.8710000003</v>
      </c>
      <c r="BA541" s="63">
        <f t="shared" si="1928"/>
        <v>3081336.7970000003</v>
      </c>
      <c r="BB541" s="63">
        <f>BB492</f>
        <v>2653179.247</v>
      </c>
      <c r="BC541" s="63">
        <f>BC492</f>
        <v>2693468.9720000001</v>
      </c>
      <c r="BD541" s="63">
        <f>BD492</f>
        <v>2630299.6989999996</v>
      </c>
      <c r="BE541" s="63">
        <f>BE492</f>
        <v>3365437.9759999993</v>
      </c>
      <c r="BF541" s="63">
        <f>BF492</f>
        <v>2766025.946</v>
      </c>
      <c r="BG541" s="142"/>
      <c r="BH541" s="63"/>
      <c r="BI541" s="63"/>
      <c r="BJ541" s="63"/>
      <c r="BK541" s="63"/>
      <c r="BL541" s="63"/>
      <c r="BM541" s="63"/>
      <c r="BN541" s="63">
        <f t="shared" ref="BN541:BS541" si="1929">BN492</f>
        <v>3838384</v>
      </c>
      <c r="BO541" s="63">
        <f t="shared" si="1929"/>
        <v>3967196</v>
      </c>
      <c r="BP541" s="63">
        <f t="shared" si="1929"/>
        <v>4116794.4819999998</v>
      </c>
      <c r="BQ541" s="63">
        <f t="shared" si="1929"/>
        <v>3920981.5160000008</v>
      </c>
      <c r="BR541" s="63">
        <f t="shared" si="1929"/>
        <v>3346062.5430000005</v>
      </c>
      <c r="BS541" s="63">
        <f t="shared" si="1929"/>
        <v>4608667.199</v>
      </c>
      <c r="BT541" s="63">
        <f>BT492</f>
        <v>5165334.4889999991</v>
      </c>
      <c r="BU541" s="63">
        <f>BU492</f>
        <v>4494643.6469999999</v>
      </c>
      <c r="BV541" s="63">
        <f>BV492</f>
        <v>4837813.8099999996</v>
      </c>
      <c r="BW541" s="63">
        <f>BW492</f>
        <v>5346648.2189999996</v>
      </c>
      <c r="BX541" s="63"/>
      <c r="BY541" s="63"/>
      <c r="BZ541" s="63">
        <f>BZ492</f>
        <v>3920981.5160000008</v>
      </c>
      <c r="CA541" s="63"/>
    </row>
    <row r="542" spans="1:83" ht="13.5" customHeight="1">
      <c r="B542" s="1" t="s">
        <v>533</v>
      </c>
      <c r="C542" s="63">
        <f t="shared" ref="C542:K542" si="1930">C29+C32+C37</f>
        <v>553308.33600000001</v>
      </c>
      <c r="D542" s="63">
        <f t="shared" si="1930"/>
        <v>623382.96</v>
      </c>
      <c r="E542" s="63">
        <f t="shared" si="1930"/>
        <v>690078.73400000005</v>
      </c>
      <c r="F542" s="63">
        <f t="shared" si="1930"/>
        <v>724093.43299999996</v>
      </c>
      <c r="G542" s="63">
        <f t="shared" si="1930"/>
        <v>726566.603</v>
      </c>
      <c r="H542" s="63">
        <f t="shared" si="1930"/>
        <v>752682.12100000004</v>
      </c>
      <c r="I542" s="63">
        <f t="shared" si="1930"/>
        <v>1260444.1459999999</v>
      </c>
      <c r="J542" s="63">
        <f t="shared" si="1930"/>
        <v>1357191.7899999998</v>
      </c>
      <c r="K542" s="63">
        <f t="shared" si="1930"/>
        <v>1187750.486</v>
      </c>
      <c r="L542" s="63">
        <f>L29+L32+L37</f>
        <v>1136499.0239999997</v>
      </c>
      <c r="M542" s="63">
        <f>M29+M32+M37</f>
        <v>1821300.3609999998</v>
      </c>
      <c r="N542" s="63">
        <f>N29+N32+N37</f>
        <v>1890244.8739999998</v>
      </c>
      <c r="O542" s="63">
        <f>O29+O32+O37</f>
        <v>1831515.5059999998</v>
      </c>
      <c r="P542" s="63">
        <f>P29+P32+P37</f>
        <v>1973329.0200000003</v>
      </c>
      <c r="Q542" s="63"/>
      <c r="R542" s="151">
        <f t="shared" ref="R542:AN542" si="1931">R29+R32+R37</f>
        <v>164147.17600000001</v>
      </c>
      <c r="S542" s="151">
        <f t="shared" si="1931"/>
        <v>171257.24600000001</v>
      </c>
      <c r="T542" s="63">
        <f t="shared" si="1931"/>
        <v>174610.08799999999</v>
      </c>
      <c r="U542" s="63">
        <f t="shared" si="1931"/>
        <v>180064.22400000007</v>
      </c>
      <c r="V542" s="63">
        <f t="shared" si="1931"/>
        <v>179767.992</v>
      </c>
      <c r="W542" s="63">
        <f t="shared" si="1931"/>
        <v>186834.36099999998</v>
      </c>
      <c r="X542" s="63">
        <f t="shared" si="1931"/>
        <v>177886.353</v>
      </c>
      <c r="Y542" s="63">
        <f t="shared" si="1931"/>
        <v>179604.72699999996</v>
      </c>
      <c r="Z542" s="63">
        <f t="shared" si="1931"/>
        <v>178177.14600000001</v>
      </c>
      <c r="AA542" s="63">
        <f t="shared" si="1931"/>
        <v>184151.16599999997</v>
      </c>
      <c r="AB542" s="63">
        <f t="shared" si="1931"/>
        <v>192985.95400000003</v>
      </c>
      <c r="AC542" s="63">
        <f t="shared" si="1931"/>
        <v>197367.85499999998</v>
      </c>
      <c r="AD542" s="63">
        <f t="shared" si="1931"/>
        <v>325325.53499999997</v>
      </c>
      <c r="AE542" s="63">
        <f t="shared" si="1931"/>
        <v>340039.33100000006</v>
      </c>
      <c r="AF542" s="63">
        <f t="shared" si="1931"/>
        <v>342464.71800000005</v>
      </c>
      <c r="AG542" s="63">
        <f t="shared" si="1931"/>
        <v>349362.20599999989</v>
      </c>
      <c r="AH542" s="63">
        <f t="shared" si="1931"/>
        <v>351009.81700000004</v>
      </c>
      <c r="AI542" s="63">
        <f t="shared" si="1931"/>
        <v>299424.41699999996</v>
      </c>
      <c r="AJ542" s="63">
        <f t="shared" si="1931"/>
        <v>268573.56800000003</v>
      </c>
      <c r="AK542" s="63">
        <f t="shared" si="1931"/>
        <v>268742.68399999995</v>
      </c>
      <c r="AL542" s="63">
        <f t="shared" si="1931"/>
        <v>261130.51500000001</v>
      </c>
      <c r="AM542" s="63">
        <f t="shared" si="1931"/>
        <v>257930.53299999994</v>
      </c>
      <c r="AN542" s="63">
        <f t="shared" si="1931"/>
        <v>279433.0610000001</v>
      </c>
      <c r="AO542" s="63">
        <f t="shared" ref="AO542:AT542" si="1932">AO29+AO32+AO37</f>
        <v>338004.91499999992</v>
      </c>
      <c r="AP542" s="63">
        <f t="shared" si="1932"/>
        <v>387396.39299999998</v>
      </c>
      <c r="AQ542" s="63">
        <f t="shared" si="1932"/>
        <v>454339.16100000002</v>
      </c>
      <c r="AR542" s="63">
        <f t="shared" si="1932"/>
        <v>481854.71499999985</v>
      </c>
      <c r="AS542" s="63">
        <f t="shared" si="1932"/>
        <v>497710.09200000012</v>
      </c>
      <c r="AT542" s="63">
        <f t="shared" si="1932"/>
        <v>472811.70999999996</v>
      </c>
      <c r="AU542" s="63">
        <f t="shared" ref="AU542:AZ542" si="1933">AU29+AU32+AU37</f>
        <v>468504.66399999993</v>
      </c>
      <c r="AV542" s="63">
        <f t="shared" si="1933"/>
        <v>481399.91000000003</v>
      </c>
      <c r="AW542" s="63">
        <f t="shared" si="1933"/>
        <v>467528.58999999997</v>
      </c>
      <c r="AX542" s="63">
        <f t="shared" si="1933"/>
        <v>470574.29399999994</v>
      </c>
      <c r="AY542" s="63">
        <f t="shared" si="1933"/>
        <v>457632.82899999997</v>
      </c>
      <c r="AZ542" s="63">
        <f t="shared" si="1933"/>
        <v>442095.00899999996</v>
      </c>
      <c r="BA542" s="63">
        <f t="shared" ref="BA542:BF542" si="1934">BA29+BA32+BA37</f>
        <v>461213.37400000007</v>
      </c>
      <c r="BB542" s="63">
        <f t="shared" si="1934"/>
        <v>470607.98999999993</v>
      </c>
      <c r="BC542" s="63">
        <f t="shared" si="1934"/>
        <v>487270.47899999999</v>
      </c>
      <c r="BD542" s="63">
        <f t="shared" si="1934"/>
        <v>495185.51600000018</v>
      </c>
      <c r="BE542" s="63">
        <f t="shared" si="1934"/>
        <v>520265.03500000003</v>
      </c>
      <c r="BF542" s="63">
        <f t="shared" si="1934"/>
        <v>574080.67800000007</v>
      </c>
      <c r="BG542" s="142"/>
      <c r="BH542" s="63">
        <f>BH29+BH32+BH37</f>
        <v>301688.97399999999</v>
      </c>
      <c r="BI542" s="63">
        <f>BI29+BI32+BI37</f>
        <v>310563.19900000002</v>
      </c>
      <c r="BJ542" s="63">
        <f>BJ29+BJ32+BJ37</f>
        <v>319594.59599999996</v>
      </c>
      <c r="BK542" s="63">
        <f>BK29+BK32+BK37</f>
        <v>705129.88</v>
      </c>
      <c r="BL542" s="63">
        <f>BL29+BL32+BL37</f>
        <v>325325.53499999997</v>
      </c>
      <c r="BM542" s="63"/>
      <c r="BN542" s="63">
        <f t="shared" ref="BN542:BS542" si="1935">BN29+BN32+BN37</f>
        <v>335404.42200000002</v>
      </c>
      <c r="BO542" s="63">
        <f t="shared" si="1935"/>
        <v>366602.353</v>
      </c>
      <c r="BP542" s="63">
        <f t="shared" si="1935"/>
        <v>362328.31199999992</v>
      </c>
      <c r="BQ542" s="63">
        <f t="shared" si="1935"/>
        <v>665364.86600000004</v>
      </c>
      <c r="BR542" s="63">
        <f t="shared" si="1935"/>
        <v>650434.23399999994</v>
      </c>
      <c r="BS542" s="63">
        <f t="shared" si="1935"/>
        <v>519061.04799999995</v>
      </c>
      <c r="BT542" s="63">
        <f>BT29+BT32+BT37</f>
        <v>841735.554</v>
      </c>
      <c r="BU542" s="63">
        <f>BU29+BU32+BU37</f>
        <v>941316.37399999995</v>
      </c>
      <c r="BV542" s="63">
        <f>BV29+BV32+BV37</f>
        <v>928207.12299999991</v>
      </c>
      <c r="BW542" s="63">
        <f>BW29+BW32+BW37</f>
        <v>957878.46899999992</v>
      </c>
      <c r="BX542" s="63"/>
      <c r="BY542" s="63">
        <f>BY29+BY32+BY37</f>
        <v>612252.17300000007</v>
      </c>
      <c r="BZ542" s="63">
        <f>BZ29+BZ32+BZ37</f>
        <v>665364.86600000004</v>
      </c>
      <c r="CA542" s="63"/>
      <c r="CC542" s="63">
        <f>CC29+CC32+CC37</f>
        <v>139612.67199999999</v>
      </c>
      <c r="CD542" s="63">
        <f>CD29+CD32+CD37</f>
        <v>290622.91699999996</v>
      </c>
      <c r="CE542" s="63">
        <f>CE29+CE32+CE37</f>
        <v>453956.011</v>
      </c>
    </row>
    <row r="543" spans="1:83" ht="13.5" customHeight="1" thickBot="1">
      <c r="B543" s="1" t="s">
        <v>546</v>
      </c>
      <c r="C543" s="178"/>
      <c r="D543" s="178"/>
      <c r="E543" s="178"/>
      <c r="F543" s="178"/>
      <c r="G543" s="178"/>
      <c r="H543" s="178"/>
      <c r="I543" s="178"/>
      <c r="J543" s="178"/>
      <c r="K543" s="178"/>
      <c r="L543" s="178"/>
      <c r="M543" s="178"/>
      <c r="N543" s="178"/>
      <c r="O543" s="178"/>
      <c r="P543" s="178"/>
      <c r="Q543" s="63"/>
      <c r="R543" s="179"/>
      <c r="S543" s="179"/>
      <c r="T543" s="179"/>
      <c r="U543" s="178"/>
      <c r="V543" s="179"/>
      <c r="W543" s="179"/>
      <c r="X543" s="179"/>
      <c r="Y543" s="178"/>
      <c r="Z543" s="179"/>
      <c r="AA543" s="179"/>
      <c r="AB543" s="179"/>
      <c r="AC543" s="179"/>
      <c r="AD543" s="179"/>
      <c r="AE543" s="179"/>
      <c r="AF543" s="179"/>
      <c r="AG543" s="179"/>
      <c r="AH543" s="179"/>
      <c r="AI543" s="179"/>
      <c r="AJ543" s="179"/>
      <c r="AK543" s="179"/>
      <c r="AL543" s="179"/>
      <c r="AM543" s="179"/>
      <c r="AN543" s="179"/>
      <c r="AO543" s="179"/>
      <c r="AP543" s="179"/>
      <c r="AQ543" s="179"/>
      <c r="AR543" s="179"/>
      <c r="AS543" s="179"/>
      <c r="AT543" s="179"/>
      <c r="AU543" s="179"/>
      <c r="AV543" s="179"/>
      <c r="AW543" s="179"/>
      <c r="AX543" s="179"/>
      <c r="AY543" s="179"/>
      <c r="AZ543" s="179"/>
      <c r="BA543" s="179"/>
      <c r="BB543" s="179"/>
      <c r="BC543" s="179"/>
      <c r="BD543" s="179"/>
      <c r="BE543" s="179"/>
      <c r="BF543" s="179"/>
      <c r="BG543" s="142"/>
      <c r="BH543" s="179"/>
      <c r="BI543" s="179"/>
      <c r="BJ543" s="179"/>
      <c r="BK543" s="179"/>
      <c r="BL543" s="179"/>
      <c r="BM543" s="121"/>
      <c r="BN543" s="178"/>
      <c r="BO543" s="178"/>
      <c r="BP543" s="178"/>
      <c r="BQ543" s="178"/>
      <c r="BR543" s="178"/>
      <c r="BS543" s="178"/>
      <c r="BT543" s="178"/>
      <c r="BU543" s="178"/>
      <c r="BV543" s="178"/>
      <c r="BW543" s="178"/>
      <c r="BX543" s="63"/>
      <c r="BY543" s="63"/>
      <c r="BZ543" s="63"/>
      <c r="CA543" s="63"/>
    </row>
    <row r="544" spans="1:83" s="5" customFormat="1" ht="13.5" customHeight="1" thickTop="1">
      <c r="B544" s="5" t="s">
        <v>547</v>
      </c>
      <c r="C544" s="63">
        <f t="shared" ref="C544:H544" si="1936">SUM(C541:C543)</f>
        <v>7591687.3360000001</v>
      </c>
      <c r="D544" s="63">
        <f t="shared" si="1936"/>
        <v>8376591.96</v>
      </c>
      <c r="E544" s="63">
        <f t="shared" si="1936"/>
        <v>8588379.7339999992</v>
      </c>
      <c r="F544" s="63">
        <f t="shared" si="1936"/>
        <v>8966738.6960000005</v>
      </c>
      <c r="G544" s="63">
        <f t="shared" si="1936"/>
        <v>8936418.1129999999</v>
      </c>
      <c r="H544" s="63">
        <f t="shared" si="1936"/>
        <v>9236259.4539999999</v>
      </c>
      <c r="I544" s="63">
        <f t="shared" ref="I544:N544" si="1937">SUM(I541:I543)</f>
        <v>9237342.5510000009</v>
      </c>
      <c r="J544" s="63">
        <f t="shared" si="1937"/>
        <v>9410774.625</v>
      </c>
      <c r="K544" s="63">
        <f t="shared" si="1937"/>
        <v>9468800.4349999987</v>
      </c>
      <c r="L544" s="63">
        <f t="shared" si="1937"/>
        <v>11471882.763999999</v>
      </c>
      <c r="M544" s="63">
        <f>SUM(M541:M543)</f>
        <v>12281966.758999998</v>
      </c>
      <c r="N544" s="63">
        <f t="shared" si="1937"/>
        <v>11245359.531000001</v>
      </c>
      <c r="O544" s="63">
        <f>SUM(O541:O543)</f>
        <v>12153619.983999999</v>
      </c>
      <c r="P544" s="63">
        <f>SUM(P541:P543)</f>
        <v>13315714.914000001</v>
      </c>
      <c r="Q544" s="63"/>
      <c r="R544" s="63">
        <f t="shared" ref="R544:W544" si="1938">SUM(R541:R543)</f>
        <v>2053742.987</v>
      </c>
      <c r="S544" s="63">
        <f t="shared" si="1938"/>
        <v>2120044.9220000003</v>
      </c>
      <c r="T544" s="63">
        <f t="shared" si="1938"/>
        <v>2044167.8119999999</v>
      </c>
      <c r="U544" s="63">
        <f t="shared" si="1938"/>
        <v>2370424.7969999998</v>
      </c>
      <c r="V544" s="63">
        <f t="shared" si="1938"/>
        <v>2131801.8730000001</v>
      </c>
      <c r="W544" s="63">
        <f t="shared" si="1938"/>
        <v>2201996.4980000001</v>
      </c>
      <c r="X544" s="63">
        <f t="shared" ref="X544:AC544" si="1939">SUM(X541:X543)</f>
        <v>2119879.9500000002</v>
      </c>
      <c r="Y544" s="63">
        <f t="shared" si="1939"/>
        <v>2513060.375</v>
      </c>
      <c r="Z544" s="63">
        <f t="shared" si="1939"/>
        <v>2188434.8310000002</v>
      </c>
      <c r="AA544" s="63">
        <f t="shared" si="1939"/>
        <v>2290687.9630000005</v>
      </c>
      <c r="AB544" s="63">
        <f t="shared" si="1939"/>
        <v>2197596.713</v>
      </c>
      <c r="AC544" s="63">
        <f t="shared" si="1939"/>
        <v>2559539.9470000011</v>
      </c>
      <c r="AD544" s="63">
        <f t="shared" ref="AD544:AI544" si="1940">SUM(AD541:AD543)</f>
        <v>2252226.0470000003</v>
      </c>
      <c r="AE544" s="63">
        <f t="shared" si="1940"/>
        <v>2334120.335</v>
      </c>
      <c r="AF544" s="63">
        <f t="shared" si="1940"/>
        <v>2223920.9679999999</v>
      </c>
      <c r="AG544" s="63">
        <f t="shared" si="1940"/>
        <v>2600507.2749999999</v>
      </c>
      <c r="AH544" s="63">
        <f t="shared" si="1940"/>
        <v>2238708.1100000003</v>
      </c>
      <c r="AI544" s="63">
        <f t="shared" si="1940"/>
        <v>1757788.6669999999</v>
      </c>
      <c r="AJ544" s="63">
        <f t="shared" ref="AJ544:AO544" si="1941">SUM(AJ541:AJ543)</f>
        <v>2485979.3849999998</v>
      </c>
      <c r="AK544" s="63">
        <f t="shared" si="1941"/>
        <v>2986324.2729999986</v>
      </c>
      <c r="AL544" s="63">
        <f t="shared" si="1941"/>
        <v>2479208.9700000007</v>
      </c>
      <c r="AM544" s="63">
        <f t="shared" si="1941"/>
        <v>2648519.2769999998</v>
      </c>
      <c r="AN544" s="63">
        <f t="shared" si="1941"/>
        <v>2900325.503000001</v>
      </c>
      <c r="AO544" s="63">
        <f t="shared" si="1941"/>
        <v>3443829.014</v>
      </c>
      <c r="AP544" s="63">
        <f t="shared" ref="AP544:AU544" si="1942">SUM(AP541:AP543)</f>
        <v>2933542.98</v>
      </c>
      <c r="AQ544" s="63">
        <f t="shared" si="1942"/>
        <v>3073527.0629999992</v>
      </c>
      <c r="AR544" s="63">
        <f t="shared" si="1942"/>
        <v>2974013.4569999995</v>
      </c>
      <c r="AS544" s="63">
        <f t="shared" si="1942"/>
        <v>3300883.259000001</v>
      </c>
      <c r="AT544" s="63">
        <f t="shared" si="1942"/>
        <v>2747537.9749999996</v>
      </c>
      <c r="AU544" s="63">
        <f t="shared" si="1942"/>
        <v>2688422.0460000001</v>
      </c>
      <c r="AV544" s="63">
        <f t="shared" ref="AV544:BA544" si="1943">SUM(AV541:AV543)</f>
        <v>2687836.895</v>
      </c>
      <c r="AW544" s="63">
        <f t="shared" si="1943"/>
        <v>3121562.6150000002</v>
      </c>
      <c r="AX544" s="63">
        <f t="shared" si="1943"/>
        <v>2863099.98</v>
      </c>
      <c r="AY544" s="63">
        <f t="shared" si="1943"/>
        <v>2902920.9529999997</v>
      </c>
      <c r="AZ544" s="63">
        <f t="shared" si="1943"/>
        <v>2845048.8800000004</v>
      </c>
      <c r="BA544" s="63">
        <f t="shared" si="1943"/>
        <v>3542550.1710000001</v>
      </c>
      <c r="BB544" s="63">
        <f>SUM(BB541:BB543)</f>
        <v>3123787.2369999997</v>
      </c>
      <c r="BC544" s="63">
        <f>SUM(BC541:BC543)</f>
        <v>3180739.4509999999</v>
      </c>
      <c r="BD544" s="63">
        <f>SUM(BD541:BD543)</f>
        <v>3125485.2149999999</v>
      </c>
      <c r="BE544" s="63">
        <f>SUM(BE541:BE543)</f>
        <v>3885703.0109999995</v>
      </c>
      <c r="BF544" s="63">
        <f>SUM(BF541:BF543)</f>
        <v>3340106.6239999998</v>
      </c>
      <c r="BG544" s="142"/>
      <c r="BH544" s="63"/>
      <c r="BI544" s="63"/>
      <c r="BJ544" s="63"/>
      <c r="BK544" s="63"/>
      <c r="BL544" s="63"/>
      <c r="BM544" s="63"/>
      <c r="BN544" s="63">
        <f t="shared" ref="BN544:BS544" si="1944">SUM(BN541:BN543)</f>
        <v>4173788.4220000003</v>
      </c>
      <c r="BO544" s="63">
        <f t="shared" si="1944"/>
        <v>4333798.3530000001</v>
      </c>
      <c r="BP544" s="63">
        <f t="shared" si="1944"/>
        <v>4479122.7939999998</v>
      </c>
      <c r="BQ544" s="63">
        <f t="shared" si="1944"/>
        <v>4586346.3820000011</v>
      </c>
      <c r="BR544" s="63">
        <f t="shared" si="1944"/>
        <v>3996496.7770000007</v>
      </c>
      <c r="BS544" s="63">
        <f t="shared" si="1944"/>
        <v>5127728.2469999995</v>
      </c>
      <c r="BT544" s="63">
        <f>SUM(BT541:BT543)</f>
        <v>6007070.0429999996</v>
      </c>
      <c r="BU544" s="63">
        <f>SUM(BU541:BU543)</f>
        <v>5435960.0209999997</v>
      </c>
      <c r="BV544" s="63">
        <f>SUM(BV541:BV543)</f>
        <v>5766020.9329999993</v>
      </c>
      <c r="BW544" s="63">
        <f>SUM(BW541:BW543)</f>
        <v>6304526.6879999992</v>
      </c>
      <c r="BX544" s="63"/>
      <c r="BY544" s="63"/>
      <c r="BZ544" s="63">
        <f>SUM(BZ541:BZ543)</f>
        <v>4586346.3820000011</v>
      </c>
      <c r="CA544" s="63"/>
    </row>
    <row r="545" spans="2:83" ht="13.5" customHeight="1">
      <c r="C545" s="150"/>
      <c r="D545" s="150"/>
      <c r="E545" s="150"/>
      <c r="F545" s="150"/>
      <c r="G545" s="150"/>
      <c r="H545" s="150"/>
      <c r="I545" s="150"/>
      <c r="J545" s="150"/>
      <c r="K545" s="150"/>
      <c r="L545" s="150"/>
      <c r="M545" s="150"/>
      <c r="N545" s="150"/>
      <c r="O545" s="150"/>
      <c r="P545" s="150"/>
      <c r="Q545" s="121"/>
      <c r="R545" s="150"/>
      <c r="S545" s="150"/>
      <c r="T545" s="121"/>
      <c r="U545" s="63"/>
      <c r="V545" s="121"/>
      <c r="W545" s="121"/>
      <c r="X545" s="63"/>
      <c r="Y545" s="63"/>
      <c r="Z545" s="121"/>
      <c r="AA545" s="121"/>
      <c r="AB545" s="63"/>
      <c r="AC545" s="63"/>
      <c r="AD545" s="121"/>
      <c r="AE545" s="121"/>
      <c r="AF545" s="121"/>
      <c r="AG545" s="63"/>
      <c r="AH545" s="121"/>
      <c r="AI545" s="121"/>
      <c r="AJ545" s="121"/>
      <c r="AK545" s="63"/>
      <c r="AL545" s="121"/>
      <c r="AM545" s="121"/>
      <c r="AN545" s="121"/>
      <c r="AO545" s="63"/>
      <c r="AP545" s="121"/>
      <c r="AQ545" s="121"/>
      <c r="AR545" s="121"/>
      <c r="AS545" s="63"/>
      <c r="AT545" s="121"/>
      <c r="AU545" s="121"/>
      <c r="AV545" s="121"/>
      <c r="AW545" s="63"/>
      <c r="AX545" s="121"/>
      <c r="AY545" s="121"/>
      <c r="AZ545" s="121"/>
      <c r="BA545" s="63"/>
      <c r="BB545" s="121"/>
      <c r="BC545" s="121"/>
      <c r="BD545" s="121"/>
      <c r="BE545" s="63"/>
      <c r="BF545" s="121"/>
      <c r="BG545" s="142"/>
      <c r="BH545" s="121"/>
      <c r="BI545" s="121"/>
      <c r="BJ545" s="121"/>
      <c r="BK545" s="63"/>
      <c r="BL545" s="121"/>
      <c r="BM545" s="121"/>
      <c r="BN545" s="63"/>
      <c r="BO545" s="63"/>
      <c r="BP545" s="63"/>
      <c r="BQ545" s="63"/>
      <c r="BR545" s="63"/>
      <c r="BS545" s="63"/>
      <c r="BT545" s="63"/>
      <c r="BU545" s="63"/>
      <c r="BV545" s="63"/>
      <c r="BW545" s="63"/>
      <c r="BX545" s="63"/>
      <c r="BY545" s="63"/>
      <c r="BZ545" s="63"/>
      <c r="CA545" s="63"/>
    </row>
    <row r="546" spans="2:83" ht="13.5" customHeight="1">
      <c r="B546" s="5" t="s">
        <v>548</v>
      </c>
      <c r="C546" s="150"/>
      <c r="D546" s="150"/>
      <c r="E546" s="150"/>
      <c r="F546" s="150"/>
      <c r="G546" s="150"/>
      <c r="H546" s="150"/>
      <c r="I546" s="150"/>
      <c r="J546" s="150"/>
      <c r="K546" s="150"/>
      <c r="L546" s="150"/>
      <c r="M546" s="150"/>
      <c r="N546" s="150"/>
      <c r="O546" s="150"/>
      <c r="P546" s="150"/>
      <c r="Q546" s="121"/>
      <c r="R546" s="150"/>
      <c r="S546" s="150"/>
      <c r="T546" s="121"/>
      <c r="U546" s="63"/>
      <c r="V546" s="121"/>
      <c r="W546" s="121"/>
      <c r="X546" s="63"/>
      <c r="Y546" s="63"/>
      <c r="Z546" s="121"/>
      <c r="AA546" s="121"/>
      <c r="AB546" s="63"/>
      <c r="AC546" s="63"/>
      <c r="AD546" s="121"/>
      <c r="AE546" s="121"/>
      <c r="AF546" s="121"/>
      <c r="AG546" s="63"/>
      <c r="AH546" s="121"/>
      <c r="AI546" s="121"/>
      <c r="AJ546" s="121"/>
      <c r="AK546" s="63"/>
      <c r="AL546" s="121"/>
      <c r="AM546" s="121"/>
      <c r="AN546" s="121"/>
      <c r="AO546" s="63"/>
      <c r="AP546" s="121"/>
      <c r="AQ546" s="121"/>
      <c r="AR546" s="121"/>
      <c r="AS546" s="63"/>
      <c r="AT546" s="121"/>
      <c r="AU546" s="121"/>
      <c r="AV546" s="121"/>
      <c r="AW546" s="63"/>
      <c r="AX546" s="121"/>
      <c r="AY546" s="121"/>
      <c r="AZ546" s="121"/>
      <c r="BA546" s="63"/>
      <c r="BB546" s="121"/>
      <c r="BC546" s="121"/>
      <c r="BD546" s="121"/>
      <c r="BE546" s="63"/>
      <c r="BF546" s="121"/>
      <c r="BG546" s="142"/>
      <c r="BH546" s="121"/>
      <c r="BI546" s="121"/>
      <c r="BJ546" s="121"/>
      <c r="BK546" s="63"/>
      <c r="BL546" s="121"/>
      <c r="BM546" s="121"/>
      <c r="BN546" s="63"/>
      <c r="BO546" s="63"/>
      <c r="BP546" s="63"/>
      <c r="BQ546" s="63"/>
      <c r="BR546" s="63"/>
      <c r="BS546" s="63"/>
      <c r="BT546" s="63"/>
      <c r="BU546" s="63"/>
      <c r="BV546" s="63"/>
      <c r="BW546" s="63"/>
      <c r="BX546" s="63"/>
      <c r="BY546" s="63"/>
      <c r="BZ546" s="63"/>
      <c r="CA546" s="63"/>
    </row>
    <row r="547" spans="2:83" ht="13.5" customHeight="1">
      <c r="B547" s="1" t="s">
        <v>545</v>
      </c>
      <c r="C547" s="63">
        <f t="shared" ref="C547:H547" si="1945">C504</f>
        <v>-4654989</v>
      </c>
      <c r="D547" s="63">
        <f t="shared" si="1945"/>
        <v>-5098132</v>
      </c>
      <c r="E547" s="63">
        <f t="shared" si="1945"/>
        <v>-5180720</v>
      </c>
      <c r="F547" s="63">
        <f t="shared" si="1945"/>
        <v>-5360352.0500000007</v>
      </c>
      <c r="G547" s="63">
        <f t="shared" si="1945"/>
        <v>-5296642.9650000008</v>
      </c>
      <c r="H547" s="63">
        <f t="shared" si="1945"/>
        <v>-5508545.3740000008</v>
      </c>
      <c r="I547" s="63">
        <f t="shared" ref="I547:N547" si="1946">I504</f>
        <v>-5255756.3530000001</v>
      </c>
      <c r="J547" s="63">
        <f t="shared" si="1946"/>
        <v>-5433070.2499999991</v>
      </c>
      <c r="K547" s="63">
        <f t="shared" si="1946"/>
        <v>-5790733.6900000004</v>
      </c>
      <c r="L547" s="63">
        <f t="shared" si="1946"/>
        <v>-7047860.2449999992</v>
      </c>
      <c r="M547" s="63">
        <f>M504</f>
        <v>-7264723.2930000015</v>
      </c>
      <c r="N547" s="63">
        <f t="shared" si="1946"/>
        <v>-6423567.1439999994</v>
      </c>
      <c r="O547" s="63">
        <f>O504</f>
        <v>-6844745.1080000009</v>
      </c>
      <c r="P547" s="63">
        <f>P504</f>
        <v>-7370628.6280000005</v>
      </c>
      <c r="Q547" s="63"/>
      <c r="R547" s="151">
        <f t="shared" ref="R547:AA547" si="1947">R504</f>
        <v>-1266353.7900000003</v>
      </c>
      <c r="S547" s="151">
        <f t="shared" si="1947"/>
        <v>-1279017.2099999997</v>
      </c>
      <c r="T547" s="63">
        <f t="shared" si="1947"/>
        <v>-1234273.1079999998</v>
      </c>
      <c r="U547" s="63">
        <f t="shared" si="1947"/>
        <v>-1401075.8920000002</v>
      </c>
      <c r="V547" s="63">
        <f t="shared" si="1947"/>
        <v>-1281071.7430000005</v>
      </c>
      <c r="W547" s="63">
        <f t="shared" si="1947"/>
        <v>-1305217.2569999995</v>
      </c>
      <c r="X547" s="63">
        <f t="shared" si="1947"/>
        <v>-1281057.3059999996</v>
      </c>
      <c r="Y547" s="63">
        <f t="shared" si="1947"/>
        <v>-1493005.7439999999</v>
      </c>
      <c r="Z547" s="63">
        <f t="shared" si="1947"/>
        <v>-1308674.7719999999</v>
      </c>
      <c r="AA547" s="63">
        <f t="shared" si="1947"/>
        <v>-1360544.183</v>
      </c>
      <c r="AB547" s="63">
        <f t="shared" ref="AB547:AG547" si="1948">AB504</f>
        <v>-1317192.67</v>
      </c>
      <c r="AC547" s="63">
        <f t="shared" si="1948"/>
        <v>-1522133.7490000008</v>
      </c>
      <c r="AD547" s="63">
        <f t="shared" si="1948"/>
        <v>-1323019.2620000001</v>
      </c>
      <c r="AE547" s="63">
        <f t="shared" si="1948"/>
        <v>-1330915.344</v>
      </c>
      <c r="AF547" s="63">
        <f t="shared" si="1948"/>
        <v>-1277205.3469999994</v>
      </c>
      <c r="AG547" s="63">
        <f t="shared" si="1948"/>
        <v>-1501930.2970000005</v>
      </c>
      <c r="AH547" s="63">
        <f t="shared" ref="AH547:AM547" si="1949">AH504</f>
        <v>-1301030.6500000001</v>
      </c>
      <c r="AI547" s="63">
        <f t="shared" si="1949"/>
        <v>-1063909.0819999999</v>
      </c>
      <c r="AJ547" s="63">
        <f t="shared" si="1949"/>
        <v>-1613411.071</v>
      </c>
      <c r="AK547" s="63">
        <f t="shared" si="1949"/>
        <v>-1812382.8869999996</v>
      </c>
      <c r="AL547" s="63">
        <f t="shared" si="1949"/>
        <v>-1534201.3139999998</v>
      </c>
      <c r="AM547" s="63">
        <f t="shared" si="1949"/>
        <v>-1653372.7710000002</v>
      </c>
      <c r="AN547" s="63">
        <f t="shared" ref="AN547:AS547" si="1950">AN504</f>
        <v>-1792610.892</v>
      </c>
      <c r="AO547" s="63">
        <f t="shared" si="1950"/>
        <v>-2067675.2679999992</v>
      </c>
      <c r="AP547" s="63">
        <f t="shared" si="1950"/>
        <v>-1796600.8210000002</v>
      </c>
      <c r="AQ547" s="63">
        <f t="shared" si="1950"/>
        <v>-1799463.2179999999</v>
      </c>
      <c r="AR547" s="63">
        <f t="shared" si="1950"/>
        <v>-1736802.355</v>
      </c>
      <c r="AS547" s="63">
        <f t="shared" si="1950"/>
        <v>-1931856.8990000011</v>
      </c>
      <c r="AT547" s="63">
        <f t="shared" ref="AT547:AY547" si="1951">AT504</f>
        <v>-1614201.747</v>
      </c>
      <c r="AU547" s="63">
        <f t="shared" si="1951"/>
        <v>-1519467.2239999997</v>
      </c>
      <c r="AV547" s="63">
        <f t="shared" si="1951"/>
        <v>-1522962.5650000002</v>
      </c>
      <c r="AW547" s="63">
        <f t="shared" si="1951"/>
        <v>-1766935.608</v>
      </c>
      <c r="AX547" s="63">
        <f t="shared" si="1951"/>
        <v>-1620822.6870000002</v>
      </c>
      <c r="AY547" s="63">
        <f t="shared" si="1951"/>
        <v>-1621929.5839999998</v>
      </c>
      <c r="AZ547" s="63">
        <f t="shared" ref="AZ547:BE547" si="1952">AZ504</f>
        <v>-1593006.1470000001</v>
      </c>
      <c r="BA547" s="63">
        <f t="shared" si="1952"/>
        <v>-2008986.6899999997</v>
      </c>
      <c r="BB547" s="63">
        <f t="shared" si="1952"/>
        <v>-1737013.0390000001</v>
      </c>
      <c r="BC547" s="63">
        <f t="shared" si="1952"/>
        <v>-1749365.5880000005</v>
      </c>
      <c r="BD547" s="63">
        <f t="shared" si="1952"/>
        <v>-1722329.3770000001</v>
      </c>
      <c r="BE547" s="63">
        <f t="shared" si="1952"/>
        <v>-2161920.6239999994</v>
      </c>
      <c r="BF547" s="63">
        <f>BF504</f>
        <v>-1802151.4579999999</v>
      </c>
      <c r="BG547" s="142"/>
      <c r="BH547" s="63"/>
      <c r="BI547" s="63"/>
      <c r="BJ547" s="63"/>
      <c r="BK547" s="63"/>
      <c r="BL547" s="63"/>
      <c r="BM547" s="63"/>
      <c r="BN547" s="63">
        <f t="shared" ref="BN547:BS547" si="1953">BN504</f>
        <v>-2545371</v>
      </c>
      <c r="BO547" s="63">
        <f t="shared" si="1953"/>
        <v>-2586289</v>
      </c>
      <c r="BP547" s="63">
        <f t="shared" si="1953"/>
        <v>-2669218.9550000001</v>
      </c>
      <c r="BQ547" s="63">
        <f t="shared" si="1953"/>
        <v>-2653934.6060000001</v>
      </c>
      <c r="BR547" s="63">
        <f t="shared" si="1953"/>
        <v>-2364939.7319999994</v>
      </c>
      <c r="BS547" s="63">
        <f t="shared" si="1953"/>
        <v>-3187574.085</v>
      </c>
      <c r="BT547" s="63">
        <f>BT504</f>
        <v>-3596064.0389999999</v>
      </c>
      <c r="BU547" s="63">
        <f>BU504</f>
        <v>-3133668.9709999994</v>
      </c>
      <c r="BV547" s="63">
        <f>BV504</f>
        <v>-3242752.2709999997</v>
      </c>
      <c r="BW547" s="63">
        <f>BW504</f>
        <v>-3486378.6270000003</v>
      </c>
      <c r="BX547" s="63"/>
      <c r="BY547" s="63"/>
      <c r="BZ547" s="63">
        <f>BZ504</f>
        <v>-2653934.6060000001</v>
      </c>
      <c r="CA547" s="63"/>
    </row>
    <row r="548" spans="2:83" ht="13.5" customHeight="1">
      <c r="B548" s="1" t="s">
        <v>533</v>
      </c>
      <c r="C548" s="63">
        <f t="shared" ref="C548:K548" si="1954">C30+C33+C35+C38+C36</f>
        <v>-238937.55099999998</v>
      </c>
      <c r="D548" s="63">
        <f t="shared" si="1954"/>
        <v>-270479.69399999996</v>
      </c>
      <c r="E548" s="63">
        <f t="shared" si="1954"/>
        <v>-326727.59299999994</v>
      </c>
      <c r="F548" s="63">
        <f t="shared" si="1954"/>
        <v>-340893.76199999999</v>
      </c>
      <c r="G548" s="63">
        <f t="shared" si="1954"/>
        <v>-341132.23799999995</v>
      </c>
      <c r="H548" s="63">
        <f t="shared" si="1954"/>
        <v>-336700.54</v>
      </c>
      <c r="I548" s="63">
        <f t="shared" si="1954"/>
        <v>-555859.04299999995</v>
      </c>
      <c r="J548" s="63">
        <f t="shared" si="1954"/>
        <v>-615436.02499999991</v>
      </c>
      <c r="K548" s="63">
        <f t="shared" si="1954"/>
        <v>-585894.87800000014</v>
      </c>
      <c r="L548" s="63">
        <f>L30+L33+L35+L38+L36</f>
        <v>-321041.14399999997</v>
      </c>
      <c r="M548" s="63">
        <f>M30+M33+M35+M38+M36</f>
        <v>-1068501.088</v>
      </c>
      <c r="N548" s="63">
        <f>N30+N33+N35+N38+N36</f>
        <v>-1222836.0720000002</v>
      </c>
      <c r="O548" s="63">
        <f>O30+O33+O35+O38+O36</f>
        <v>-881613.84499999997</v>
      </c>
      <c r="P548" s="63">
        <f>P30+P33+P35+P38+P36</f>
        <v>-815781.03700000001</v>
      </c>
      <c r="Q548" s="63"/>
      <c r="R548" s="151">
        <f t="shared" ref="R548:AN548" si="1955">R30+R33+R35+R38+R36</f>
        <v>-74092.338999999993</v>
      </c>
      <c r="S548" s="151">
        <f t="shared" si="1955"/>
        <v>-84299.89899999999</v>
      </c>
      <c r="T548" s="63">
        <f t="shared" si="1955"/>
        <v>-79135.527000000002</v>
      </c>
      <c r="U548" s="63">
        <f t="shared" si="1955"/>
        <v>-89199.828000000023</v>
      </c>
      <c r="V548" s="63">
        <f t="shared" si="1955"/>
        <v>-86841.467000000004</v>
      </c>
      <c r="W548" s="63">
        <f t="shared" si="1955"/>
        <v>-92552.823000000004</v>
      </c>
      <c r="X548" s="63">
        <f t="shared" si="1955"/>
        <v>-80000.326000000001</v>
      </c>
      <c r="Y548" s="63">
        <f t="shared" si="1955"/>
        <v>-81499.14599999995</v>
      </c>
      <c r="Z548" s="63">
        <f t="shared" si="1955"/>
        <v>-76521.11099999999</v>
      </c>
      <c r="AA548" s="63">
        <f t="shared" si="1955"/>
        <v>-79485.54800000001</v>
      </c>
      <c r="AB548" s="63">
        <f t="shared" si="1955"/>
        <v>-94983.434000000008</v>
      </c>
      <c r="AC548" s="63">
        <f t="shared" si="1955"/>
        <v>-85710.446999999971</v>
      </c>
      <c r="AD548" s="63">
        <f t="shared" si="1955"/>
        <v>-142190.85100000002</v>
      </c>
      <c r="AE548" s="63">
        <f t="shared" si="1955"/>
        <v>-139631.83299999998</v>
      </c>
      <c r="AF548" s="63">
        <f t="shared" si="1955"/>
        <v>-151112.09400000001</v>
      </c>
      <c r="AG548" s="63">
        <f t="shared" si="1955"/>
        <v>-182501.24699999997</v>
      </c>
      <c r="AH548" s="63">
        <f t="shared" si="1955"/>
        <v>-176012.88399999999</v>
      </c>
      <c r="AI548" s="63">
        <f t="shared" si="1955"/>
        <v>-204793.19199999998</v>
      </c>
      <c r="AJ548" s="63">
        <f t="shared" si="1955"/>
        <v>-129163.96699999996</v>
      </c>
      <c r="AK548" s="63">
        <f t="shared" si="1955"/>
        <v>-75924.83500000005</v>
      </c>
      <c r="AL548" s="63">
        <f t="shared" si="1955"/>
        <v>-50369.123000000007</v>
      </c>
      <c r="AM548" s="63">
        <f t="shared" si="1955"/>
        <v>-67728.038</v>
      </c>
      <c r="AN548" s="63">
        <f t="shared" si="1955"/>
        <v>-80062.112999999998</v>
      </c>
      <c r="AO548" s="63">
        <f t="shared" ref="AO548:AT548" si="1956">AO30+AO33+AO35+AO38+AO36</f>
        <v>-122881.87000000001</v>
      </c>
      <c r="AP548" s="63">
        <f t="shared" si="1956"/>
        <v>-168670.87700000001</v>
      </c>
      <c r="AQ548" s="63">
        <f t="shared" si="1956"/>
        <v>-254223.8</v>
      </c>
      <c r="AR548" s="63">
        <f t="shared" si="1956"/>
        <v>-291807.47099999996</v>
      </c>
      <c r="AS548" s="63">
        <f t="shared" si="1956"/>
        <v>-353798.93999999994</v>
      </c>
      <c r="AT548" s="63">
        <f t="shared" si="1956"/>
        <v>-327178.24099999998</v>
      </c>
      <c r="AU548" s="63">
        <f t="shared" ref="AU548:AZ548" si="1957">AU30+AU33+AU35+AU38+AU36</f>
        <v>-323965.00400000002</v>
      </c>
      <c r="AV548" s="63">
        <f t="shared" si="1957"/>
        <v>-274976.72800000006</v>
      </c>
      <c r="AW548" s="63">
        <f t="shared" si="1957"/>
        <v>-296716.09899999987</v>
      </c>
      <c r="AX548" s="63">
        <f t="shared" si="1957"/>
        <v>-250129.223</v>
      </c>
      <c r="AY548" s="63">
        <f t="shared" si="1957"/>
        <v>-244062.44199999998</v>
      </c>
      <c r="AZ548" s="63">
        <f t="shared" si="1957"/>
        <v>-187516.54500000007</v>
      </c>
      <c r="BA548" s="63">
        <f t="shared" ref="BA548:BF548" si="1958">BA30+BA33+BA35+BA38+BA36</f>
        <v>-199905.63499999992</v>
      </c>
      <c r="BB548" s="63">
        <f t="shared" si="1958"/>
        <v>-173969.41599999997</v>
      </c>
      <c r="BC548" s="63">
        <f t="shared" si="1958"/>
        <v>-198103.40100000001</v>
      </c>
      <c r="BD548" s="63">
        <f t="shared" si="1958"/>
        <v>-204643.56599999999</v>
      </c>
      <c r="BE548" s="63">
        <f t="shared" si="1958"/>
        <v>-239064.6540000001</v>
      </c>
      <c r="BF548" s="63">
        <f t="shared" si="1958"/>
        <v>-222563.59700000001</v>
      </c>
      <c r="BG548" s="142"/>
      <c r="BH548" s="63"/>
      <c r="BI548" s="63"/>
      <c r="BJ548" s="63"/>
      <c r="BK548" s="63"/>
      <c r="BL548" s="63"/>
      <c r="BM548" s="63"/>
      <c r="BN548" s="63">
        <f t="shared" ref="BN548:BS548" si="1959">BN30+BN33+BN35+BN38+BN36</f>
        <v>-158392.23800000001</v>
      </c>
      <c r="BO548" s="63">
        <f t="shared" si="1959"/>
        <v>-179394.29</v>
      </c>
      <c r="BP548" s="63">
        <f t="shared" si="1959"/>
        <v>-156006.65900000001</v>
      </c>
      <c r="BQ548" s="63">
        <f t="shared" si="1959"/>
        <v>-281822.68400000001</v>
      </c>
      <c r="BR548" s="63">
        <f t="shared" si="1959"/>
        <v>-380806.076</v>
      </c>
      <c r="BS548" s="63">
        <f t="shared" si="1959"/>
        <v>-118097.16100000002</v>
      </c>
      <c r="BT548" s="63">
        <f>BT30+BT33+BT35+BT38+BT36</f>
        <v>-422894.67700000003</v>
      </c>
      <c r="BU548" s="63">
        <f>BU30+BU33+BU35+BU38+BU36</f>
        <v>-651143.24500000011</v>
      </c>
      <c r="BV548" s="63">
        <f>BV30+BV33+BV35+BV38+BV36</f>
        <v>-494191.66499999998</v>
      </c>
      <c r="BW548" s="63">
        <f>BW30+BW33+BW35+BW38+BW36</f>
        <v>-372072.81699999998</v>
      </c>
      <c r="BX548" s="63"/>
      <c r="BY548" s="63"/>
      <c r="BZ548" s="63">
        <f>BZ30+BZ33+BZ35+BZ38+BZ36</f>
        <v>-281822.68400000001</v>
      </c>
      <c r="CA548" s="63"/>
      <c r="CB548" s="197"/>
      <c r="CC548" s="63">
        <f>CC30+CC33+CC35+CC38+CC36</f>
        <v>-54243.847999999998</v>
      </c>
      <c r="CD548" s="63">
        <f>CD30+CD33+CD35+CD38+CD36</f>
        <v>-120680.71800000001</v>
      </c>
      <c r="CE548" s="63">
        <f>CE30+CE33+CE35+CE38+CE36</f>
        <v>-192924.71300000002</v>
      </c>
    </row>
    <row r="549" spans="2:83" ht="13.5" customHeight="1" thickBot="1">
      <c r="B549" s="1" t="s">
        <v>546</v>
      </c>
      <c r="C549" s="178"/>
      <c r="D549" s="178"/>
      <c r="E549" s="178"/>
      <c r="F549" s="178"/>
      <c r="G549" s="178"/>
      <c r="H549" s="178"/>
      <c r="I549" s="178"/>
      <c r="J549" s="178"/>
      <c r="K549" s="178"/>
      <c r="L549" s="178"/>
      <c r="M549" s="178"/>
      <c r="N549" s="178"/>
      <c r="O549" s="178"/>
      <c r="P549" s="178"/>
      <c r="Q549" s="63"/>
      <c r="R549" s="179"/>
      <c r="S549" s="179"/>
      <c r="T549" s="179"/>
      <c r="U549" s="178"/>
      <c r="V549" s="179"/>
      <c r="W549" s="179"/>
      <c r="X549" s="178"/>
      <c r="Y549" s="178"/>
      <c r="Z549" s="179"/>
      <c r="AA549" s="179"/>
      <c r="AB549" s="178"/>
      <c r="AC549" s="178"/>
      <c r="AD549" s="179"/>
      <c r="AE549" s="179"/>
      <c r="AF549" s="179"/>
      <c r="AG549" s="178"/>
      <c r="AH549" s="179"/>
      <c r="AI549" s="179"/>
      <c r="AJ549" s="179"/>
      <c r="AK549" s="178"/>
      <c r="AL549" s="179"/>
      <c r="AM549" s="179"/>
      <c r="AN549" s="179"/>
      <c r="AO549" s="178"/>
      <c r="AP549" s="179"/>
      <c r="AQ549" s="179"/>
      <c r="AR549" s="179"/>
      <c r="AS549" s="178"/>
      <c r="AT549" s="179"/>
      <c r="AU549" s="179"/>
      <c r="AV549" s="179"/>
      <c r="AW549" s="178"/>
      <c r="AX549" s="179"/>
      <c r="AY549" s="179"/>
      <c r="AZ549" s="179"/>
      <c r="BA549" s="178"/>
      <c r="BB549" s="179"/>
      <c r="BC549" s="179"/>
      <c r="BD549" s="179"/>
      <c r="BE549" s="178"/>
      <c r="BF549" s="179"/>
      <c r="BG549" s="142"/>
      <c r="BH549" s="179"/>
      <c r="BI549" s="179"/>
      <c r="BJ549" s="179"/>
      <c r="BK549" s="178"/>
      <c r="BL549" s="179"/>
      <c r="BM549" s="121"/>
      <c r="BN549" s="178"/>
      <c r="BO549" s="178"/>
      <c r="BP549" s="178"/>
      <c r="BQ549" s="178"/>
      <c r="BR549" s="178"/>
      <c r="BS549" s="178"/>
      <c r="BT549" s="178"/>
      <c r="BU549" s="178"/>
      <c r="BV549" s="178"/>
      <c r="BW549" s="178"/>
      <c r="BX549" s="63"/>
      <c r="BY549" s="63"/>
      <c r="BZ549" s="178"/>
      <c r="CA549" s="63"/>
    </row>
    <row r="550" spans="2:83" ht="13.5" customHeight="1" thickTop="1">
      <c r="B550" s="5" t="s">
        <v>547</v>
      </c>
      <c r="C550" s="63">
        <f>SUM(C547:C549)</f>
        <v>-4893926.551</v>
      </c>
      <c r="D550" s="63">
        <f>SUM(D547:D549)</f>
        <v>-5368611.6940000001</v>
      </c>
      <c r="E550" s="63">
        <f>SUM(E547:E549)</f>
        <v>-5507447.5930000003</v>
      </c>
      <c r="F550" s="63">
        <f t="shared" ref="F550:K550" si="1960">SUM(F547:F549)</f>
        <v>-5701245.8120000008</v>
      </c>
      <c r="G550" s="63">
        <f t="shared" si="1960"/>
        <v>-5637775.2030000007</v>
      </c>
      <c r="H550" s="63">
        <f t="shared" si="1960"/>
        <v>-5845245.9140000008</v>
      </c>
      <c r="I550" s="63">
        <f t="shared" si="1960"/>
        <v>-5811615.3959999997</v>
      </c>
      <c r="J550" s="63">
        <f t="shared" si="1960"/>
        <v>-6048506.2749999985</v>
      </c>
      <c r="K550" s="63">
        <f t="shared" si="1960"/>
        <v>-6376628.5680000009</v>
      </c>
      <c r="L550" s="63">
        <f>SUM(L547:L549)</f>
        <v>-7368901.3889999995</v>
      </c>
      <c r="M550" s="63">
        <f>SUM(M547:M549)</f>
        <v>-8333224.381000001</v>
      </c>
      <c r="N550" s="63">
        <f>SUM(N547:N549)</f>
        <v>-7646403.216</v>
      </c>
      <c r="O550" s="63">
        <f>SUM(O547:O549)</f>
        <v>-7726358.9530000007</v>
      </c>
      <c r="P550" s="63">
        <f>SUM(P547:P549)</f>
        <v>-8186409.665000001</v>
      </c>
      <c r="Q550" s="63"/>
      <c r="R550" s="63">
        <f t="shared" ref="R550:X550" si="1961">SUM(R547:R549)</f>
        <v>-1340446.1290000002</v>
      </c>
      <c r="S550" s="63">
        <f t="shared" si="1961"/>
        <v>-1363317.1089999997</v>
      </c>
      <c r="T550" s="63">
        <f t="shared" si="1961"/>
        <v>-1313408.6349999998</v>
      </c>
      <c r="U550" s="63">
        <f t="shared" si="1961"/>
        <v>-1490275.7200000002</v>
      </c>
      <c r="V550" s="63">
        <f t="shared" si="1961"/>
        <v>-1367913.2100000004</v>
      </c>
      <c r="W550" s="63">
        <f t="shared" si="1961"/>
        <v>-1397770.0799999996</v>
      </c>
      <c r="X550" s="63">
        <f t="shared" si="1961"/>
        <v>-1361057.6319999998</v>
      </c>
      <c r="Y550" s="63">
        <f t="shared" ref="Y550:AD550" si="1962">SUM(Y547:Y549)</f>
        <v>-1574504.89</v>
      </c>
      <c r="Z550" s="63">
        <f t="shared" si="1962"/>
        <v>-1385195.8829999999</v>
      </c>
      <c r="AA550" s="63">
        <f t="shared" si="1962"/>
        <v>-1440029.7309999999</v>
      </c>
      <c r="AB550" s="63">
        <f t="shared" si="1962"/>
        <v>-1412176.1039999998</v>
      </c>
      <c r="AC550" s="63">
        <f t="shared" si="1962"/>
        <v>-1607844.1960000007</v>
      </c>
      <c r="AD550" s="63">
        <f t="shared" si="1962"/>
        <v>-1465210.1130000001</v>
      </c>
      <c r="AE550" s="63">
        <f t="shared" ref="AE550:AJ550" si="1963">SUM(AE547:AE549)</f>
        <v>-1470547.1770000001</v>
      </c>
      <c r="AF550" s="63">
        <f t="shared" si="1963"/>
        <v>-1428317.4409999994</v>
      </c>
      <c r="AG550" s="63">
        <f t="shared" si="1963"/>
        <v>-1684431.5440000005</v>
      </c>
      <c r="AH550" s="63">
        <f t="shared" si="1963"/>
        <v>-1477043.5340000002</v>
      </c>
      <c r="AI550" s="63">
        <f t="shared" si="1963"/>
        <v>-1268702.274</v>
      </c>
      <c r="AJ550" s="63">
        <f t="shared" si="1963"/>
        <v>-1742575.0379999999</v>
      </c>
      <c r="AK550" s="63">
        <f t="shared" ref="AK550:AP550" si="1964">SUM(AK547:AK549)</f>
        <v>-1888307.7219999996</v>
      </c>
      <c r="AL550" s="63">
        <f t="shared" si="1964"/>
        <v>-1584570.4369999997</v>
      </c>
      <c r="AM550" s="63">
        <f t="shared" si="1964"/>
        <v>-1721100.8090000001</v>
      </c>
      <c r="AN550" s="63">
        <f t="shared" si="1964"/>
        <v>-1872673.0049999999</v>
      </c>
      <c r="AO550" s="63">
        <f t="shared" si="1964"/>
        <v>-2190557.1379999993</v>
      </c>
      <c r="AP550" s="63">
        <f t="shared" si="1964"/>
        <v>-1965271.6980000003</v>
      </c>
      <c r="AQ550" s="63">
        <f t="shared" ref="AQ550:AV550" si="1965">SUM(AQ547:AQ549)</f>
        <v>-2053687.0179999999</v>
      </c>
      <c r="AR550" s="63">
        <f t="shared" si="1965"/>
        <v>-2028609.8259999999</v>
      </c>
      <c r="AS550" s="63">
        <f t="shared" si="1965"/>
        <v>-2285655.8390000011</v>
      </c>
      <c r="AT550" s="63">
        <f t="shared" si="1965"/>
        <v>-1941379.9879999999</v>
      </c>
      <c r="AU550" s="63">
        <f t="shared" si="1965"/>
        <v>-1843432.2279999997</v>
      </c>
      <c r="AV550" s="63">
        <f t="shared" si="1965"/>
        <v>-1797939.2930000003</v>
      </c>
      <c r="AW550" s="63">
        <f t="shared" ref="AW550:BB550" si="1966">SUM(AW547:AW549)</f>
        <v>-2063651.7069999999</v>
      </c>
      <c r="AX550" s="63">
        <f t="shared" si="1966"/>
        <v>-1870951.9100000001</v>
      </c>
      <c r="AY550" s="63">
        <f t="shared" si="1966"/>
        <v>-1865992.0259999998</v>
      </c>
      <c r="AZ550" s="63">
        <f t="shared" si="1966"/>
        <v>-1780522.6920000003</v>
      </c>
      <c r="BA550" s="63">
        <f t="shared" si="1966"/>
        <v>-2208892.3249999997</v>
      </c>
      <c r="BB550" s="63">
        <f t="shared" si="1966"/>
        <v>-1910982.4550000001</v>
      </c>
      <c r="BC550" s="63">
        <f>SUM(BC547:BC549)</f>
        <v>-1947468.9890000005</v>
      </c>
      <c r="BD550" s="63">
        <f>SUM(BD547:BD549)</f>
        <v>-1926972.943</v>
      </c>
      <c r="BE550" s="63">
        <f>SUM(BE547:BE549)</f>
        <v>-2400985.2779999995</v>
      </c>
      <c r="BF550" s="63">
        <f>SUM(BF547:BF549)</f>
        <v>-2024715.0549999999</v>
      </c>
      <c r="BG550" s="142"/>
      <c r="BH550" s="63"/>
      <c r="BI550" s="63"/>
      <c r="BJ550" s="63"/>
      <c r="BK550" s="63"/>
      <c r="BL550" s="63"/>
      <c r="BM550" s="63"/>
      <c r="BN550" s="63">
        <f t="shared" ref="BN550:BS550" si="1967">SUM(BN547:BN549)</f>
        <v>-2703763.2379999999</v>
      </c>
      <c r="BO550" s="63">
        <f t="shared" si="1967"/>
        <v>-2765683.29</v>
      </c>
      <c r="BP550" s="63">
        <f t="shared" si="1967"/>
        <v>-2825225.6140000001</v>
      </c>
      <c r="BQ550" s="63">
        <f t="shared" si="1967"/>
        <v>-2935757.29</v>
      </c>
      <c r="BR550" s="63">
        <f t="shared" si="1967"/>
        <v>-2745745.8079999993</v>
      </c>
      <c r="BS550" s="63">
        <f t="shared" si="1967"/>
        <v>-3305671.2459999998</v>
      </c>
      <c r="BT550" s="63">
        <f>SUM(BT547:BT549)</f>
        <v>-4018958.716</v>
      </c>
      <c r="BU550" s="63">
        <f>SUM(BU547:BU549)</f>
        <v>-3784812.2159999995</v>
      </c>
      <c r="BV550" s="63">
        <f>SUM(BV547:BV549)</f>
        <v>-3736943.9359999998</v>
      </c>
      <c r="BW550" s="63">
        <f>SUM(BW547:BW549)</f>
        <v>-3858451.4440000001</v>
      </c>
      <c r="BX550" s="63"/>
      <c r="BY550" s="63"/>
      <c r="BZ550" s="63">
        <f>SUM(BZ547:BZ549)</f>
        <v>-2935757.29</v>
      </c>
      <c r="CA550" s="63"/>
    </row>
    <row r="551" spans="2:83" ht="13.5" customHeight="1"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227"/>
      <c r="R551" s="78"/>
      <c r="S551" s="75"/>
      <c r="T551" s="76"/>
      <c r="U551" s="77"/>
      <c r="V551" s="227"/>
      <c r="W551" s="227"/>
      <c r="Y551" s="77"/>
      <c r="Z551" s="227"/>
      <c r="AA551" s="227"/>
      <c r="AD551" s="227"/>
      <c r="AE551" s="227"/>
      <c r="AF551" s="227"/>
      <c r="AH551" s="227"/>
      <c r="AI551" s="227"/>
      <c r="AJ551" s="227"/>
      <c r="AL551" s="227"/>
      <c r="AM551" s="227"/>
      <c r="AN551" s="227"/>
      <c r="AP551" s="227"/>
      <c r="AQ551" s="227"/>
      <c r="AR551" s="227"/>
      <c r="AT551" s="227"/>
      <c r="AU551" s="227"/>
      <c r="AV551" s="227"/>
      <c r="AX551" s="227"/>
      <c r="AY551" s="227"/>
      <c r="AZ551" s="227"/>
      <c r="BB551" s="227"/>
      <c r="BC551" s="227"/>
      <c r="BD551" s="227"/>
      <c r="BF551" s="227"/>
      <c r="BG551" s="142"/>
      <c r="BH551" s="227"/>
      <c r="BI551" s="227"/>
      <c r="BJ551" s="227"/>
      <c r="BL551" s="227"/>
      <c r="BM551" s="227"/>
      <c r="BO551" s="68"/>
      <c r="BP551" s="68"/>
      <c r="BQ551" s="68"/>
      <c r="BR551" s="68"/>
      <c r="BS551" s="68"/>
      <c r="BT551" s="68"/>
      <c r="BU551" s="68"/>
      <c r="BV551" s="68"/>
      <c r="BW551" s="68"/>
      <c r="BX551" s="68"/>
      <c r="BY551" s="68"/>
      <c r="BZ551" s="68"/>
      <c r="CA551" s="68"/>
    </row>
    <row r="552" spans="2:83" ht="13.5" customHeight="1">
      <c r="B552" s="5" t="s">
        <v>286</v>
      </c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227"/>
      <c r="R552" s="78"/>
      <c r="S552" s="75"/>
      <c r="T552" s="76"/>
      <c r="U552" s="77"/>
      <c r="V552" s="227"/>
      <c r="W552" s="227"/>
      <c r="Y552" s="77"/>
      <c r="Z552" s="227"/>
      <c r="AA552" s="227"/>
      <c r="AD552" s="227"/>
      <c r="AE552" s="227"/>
      <c r="AF552" s="227"/>
      <c r="AH552" s="227"/>
      <c r="AI552" s="227"/>
      <c r="AJ552" s="227"/>
      <c r="AL552" s="227"/>
      <c r="AM552" s="227"/>
      <c r="AN552" s="227"/>
      <c r="AP552" s="227"/>
      <c r="AQ552" s="227"/>
      <c r="AR552" s="227"/>
      <c r="AT552" s="227"/>
      <c r="AU552" s="227"/>
      <c r="AV552" s="227"/>
      <c r="AX552" s="227"/>
      <c r="AY552" s="227"/>
      <c r="AZ552" s="227"/>
      <c r="BB552" s="227"/>
      <c r="BC552" s="227"/>
      <c r="BD552" s="227"/>
      <c r="BF552" s="227"/>
      <c r="BG552" s="142"/>
      <c r="BH552" s="227"/>
      <c r="BI552" s="227"/>
      <c r="BJ552" s="227"/>
      <c r="BL552" s="227"/>
      <c r="BM552" s="227"/>
      <c r="BO552" s="68"/>
      <c r="BP552" s="68"/>
      <c r="BQ552" s="68"/>
      <c r="BR552" s="68"/>
      <c r="BS552" s="68"/>
      <c r="BT552" s="68"/>
      <c r="BU552" s="68"/>
      <c r="BV552" s="68"/>
      <c r="BW552" s="68"/>
      <c r="BX552" s="68"/>
      <c r="BY552" s="68"/>
      <c r="BZ552" s="68"/>
      <c r="CA552" s="68"/>
    </row>
    <row r="553" spans="2:83" ht="13.5" customHeight="1">
      <c r="B553" s="1" t="s">
        <v>545</v>
      </c>
      <c r="C553" s="63">
        <f t="shared" ref="C553:E554" si="1968">+C541+C547</f>
        <v>2383390</v>
      </c>
      <c r="D553" s="63">
        <f t="shared" si="1968"/>
        <v>2655077</v>
      </c>
      <c r="E553" s="63">
        <f t="shared" si="1968"/>
        <v>2717581</v>
      </c>
      <c r="F553" s="63">
        <f t="shared" ref="F553:H554" si="1969">+F541+F547</f>
        <v>2882293.2130000005</v>
      </c>
      <c r="G553" s="63">
        <f t="shared" si="1969"/>
        <v>2913208.5449999999</v>
      </c>
      <c r="H553" s="63">
        <f t="shared" si="1969"/>
        <v>2975031.9589999998</v>
      </c>
      <c r="I553" s="63">
        <f t="shared" ref="I553:K554" si="1970">+I541+I547</f>
        <v>2721142.0520000011</v>
      </c>
      <c r="J553" s="63">
        <f t="shared" si="1970"/>
        <v>2620512.5850000018</v>
      </c>
      <c r="K553" s="63">
        <f t="shared" si="1970"/>
        <v>2490316.2589999977</v>
      </c>
      <c r="L553" s="63">
        <f t="shared" ref="L553:N554" si="1971">+L541+L547</f>
        <v>3287523.4949999992</v>
      </c>
      <c r="M553" s="63">
        <f>+M541+M547</f>
        <v>3195943.1049999967</v>
      </c>
      <c r="N553" s="63">
        <f t="shared" si="1971"/>
        <v>2931547.5130000021</v>
      </c>
      <c r="O553" s="63">
        <f>+O541+O547</f>
        <v>3477359.3699999992</v>
      </c>
      <c r="P553" s="63">
        <f>+P541+P547</f>
        <v>3971757.2660000008</v>
      </c>
      <c r="Q553" s="63"/>
      <c r="R553" s="151">
        <f t="shared" ref="R553:W554" si="1972">+R541+R547</f>
        <v>623242.02099999972</v>
      </c>
      <c r="S553" s="151">
        <f t="shared" si="1972"/>
        <v>669770.46600000048</v>
      </c>
      <c r="T553" s="63">
        <f t="shared" si="1972"/>
        <v>635284.61600000015</v>
      </c>
      <c r="U553" s="63">
        <f t="shared" si="1972"/>
        <v>789284.68099999963</v>
      </c>
      <c r="V553" s="63">
        <f t="shared" si="1972"/>
        <v>670962.13799999957</v>
      </c>
      <c r="W553" s="63">
        <f t="shared" si="1972"/>
        <v>709944.88000000059</v>
      </c>
      <c r="X553" s="63">
        <f t="shared" ref="X553:AA554" si="1973">+X541+X547</f>
        <v>660936.29100000043</v>
      </c>
      <c r="Y553" s="63">
        <f t="shared" si="1973"/>
        <v>840449.9040000001</v>
      </c>
      <c r="Z553" s="63">
        <f t="shared" si="1973"/>
        <v>701582.91300000041</v>
      </c>
      <c r="AA553" s="63">
        <f t="shared" si="1973"/>
        <v>745992.61400000029</v>
      </c>
      <c r="AB553" s="63">
        <f t="shared" ref="AB553:AE554" si="1974">+AB541+AB547</f>
        <v>687418.08900000015</v>
      </c>
      <c r="AC553" s="63">
        <f t="shared" si="1974"/>
        <v>840038.34300000034</v>
      </c>
      <c r="AD553" s="63">
        <f t="shared" si="1974"/>
        <v>603881.25000000023</v>
      </c>
      <c r="AE553" s="63">
        <f t="shared" si="1974"/>
        <v>663165.65999999992</v>
      </c>
      <c r="AF553" s="63">
        <f t="shared" ref="AF553:AI554" si="1975">+AF541+AF547</f>
        <v>604250.9030000004</v>
      </c>
      <c r="AG553" s="63">
        <f t="shared" si="1975"/>
        <v>749214.77199999965</v>
      </c>
      <c r="AH553" s="63">
        <f t="shared" si="1975"/>
        <v>586667.64299999992</v>
      </c>
      <c r="AI553" s="63">
        <f t="shared" si="1975"/>
        <v>394455.16800000006</v>
      </c>
      <c r="AJ553" s="63">
        <f t="shared" ref="AJ553:AM554" si="1976">+AJ541+AJ547</f>
        <v>603994.74599999981</v>
      </c>
      <c r="AK553" s="63">
        <f t="shared" si="1976"/>
        <v>905198.70199999912</v>
      </c>
      <c r="AL553" s="63">
        <f t="shared" si="1976"/>
        <v>683877.14100000076</v>
      </c>
      <c r="AM553" s="63">
        <f t="shared" si="1976"/>
        <v>737215.97299999977</v>
      </c>
      <c r="AN553" s="63">
        <f t="shared" ref="AN553:AQ554" si="1977">+AN541+AN547</f>
        <v>828281.55000000075</v>
      </c>
      <c r="AO553" s="63">
        <f t="shared" si="1977"/>
        <v>1038148.8310000007</v>
      </c>
      <c r="AP553" s="63">
        <f t="shared" si="1977"/>
        <v>749545.7659999996</v>
      </c>
      <c r="AQ553" s="63">
        <f t="shared" si="1977"/>
        <v>819724.68399999943</v>
      </c>
      <c r="AR553" s="63">
        <f t="shared" ref="AR553:AU554" si="1978">+AR541+AR547</f>
        <v>755356.38699999964</v>
      </c>
      <c r="AS553" s="63">
        <f t="shared" si="1978"/>
        <v>871316.26799999969</v>
      </c>
      <c r="AT553" s="63">
        <f t="shared" si="1978"/>
        <v>660524.51799999969</v>
      </c>
      <c r="AU553" s="63">
        <f t="shared" si="1978"/>
        <v>700450.15800000052</v>
      </c>
      <c r="AV553" s="63">
        <f t="shared" ref="AV553:AY554" si="1979">+AV541+AV547</f>
        <v>683474.41999999969</v>
      </c>
      <c r="AW553" s="63">
        <f t="shared" si="1979"/>
        <v>887098.41700000037</v>
      </c>
      <c r="AX553" s="63">
        <f t="shared" si="1979"/>
        <v>771702.99900000007</v>
      </c>
      <c r="AY553" s="63">
        <f t="shared" si="1979"/>
        <v>823358.54</v>
      </c>
      <c r="AZ553" s="63">
        <f t="shared" ref="AZ553:BC554" si="1980">+AZ541+AZ547</f>
        <v>809947.72400000016</v>
      </c>
      <c r="BA553" s="63">
        <f t="shared" si="1980"/>
        <v>1072350.1070000005</v>
      </c>
      <c r="BB553" s="63">
        <f t="shared" si="1980"/>
        <v>916166.20799999987</v>
      </c>
      <c r="BC553" s="63">
        <f t="shared" si="1980"/>
        <v>944103.38399999961</v>
      </c>
      <c r="BD553" s="63">
        <f t="shared" ref="BD553:BF554" si="1981">+BD541+BD547</f>
        <v>907970.32199999946</v>
      </c>
      <c r="BE553" s="63">
        <f t="shared" si="1981"/>
        <v>1203517.352</v>
      </c>
      <c r="BF553" s="63">
        <f t="shared" si="1981"/>
        <v>963874.48800000013</v>
      </c>
      <c r="BG553" s="142"/>
      <c r="BH553" s="63"/>
      <c r="BI553" s="63"/>
      <c r="BJ553" s="63"/>
      <c r="BK553" s="63"/>
      <c r="BL553" s="63"/>
      <c r="BM553" s="63"/>
      <c r="BN553" s="63">
        <f t="shared" ref="BN553:BQ554" si="1982">+BN541+BN547</f>
        <v>1293013</v>
      </c>
      <c r="BO553" s="63">
        <f t="shared" si="1982"/>
        <v>1380907</v>
      </c>
      <c r="BP553" s="63">
        <f t="shared" si="1982"/>
        <v>1447575.5269999998</v>
      </c>
      <c r="BQ553" s="63">
        <f t="shared" si="1982"/>
        <v>1267046.9100000006</v>
      </c>
      <c r="BR553" s="63">
        <f t="shared" ref="BR553:BT554" si="1983">+BR541+BR547</f>
        <v>981122.81100000115</v>
      </c>
      <c r="BS553" s="63">
        <f t="shared" si="1983"/>
        <v>1421093.1140000001</v>
      </c>
      <c r="BT553" s="63">
        <f t="shared" si="1983"/>
        <v>1569270.4499999993</v>
      </c>
      <c r="BU553" s="63">
        <f t="shared" ref="BU553:BW554" si="1984">+BU541+BU547</f>
        <v>1360974.6760000004</v>
      </c>
      <c r="BV553" s="63">
        <f t="shared" si="1984"/>
        <v>1595061.5389999999</v>
      </c>
      <c r="BW553" s="63">
        <f t="shared" si="1984"/>
        <v>1860269.5919999992</v>
      </c>
      <c r="BX553" s="63"/>
      <c r="BY553" s="63"/>
      <c r="BZ553" s="63">
        <f>+BZ541+BZ547</f>
        <v>1267046.9100000006</v>
      </c>
      <c r="CA553" s="63"/>
    </row>
    <row r="554" spans="2:83" ht="13.5" customHeight="1">
      <c r="B554" s="1" t="s">
        <v>533</v>
      </c>
      <c r="C554" s="63">
        <f t="shared" si="1968"/>
        <v>314370.78500000003</v>
      </c>
      <c r="D554" s="63">
        <f t="shared" si="1968"/>
        <v>352903.266</v>
      </c>
      <c r="E554" s="63">
        <f t="shared" si="1968"/>
        <v>363351.14100000012</v>
      </c>
      <c r="F554" s="63">
        <f t="shared" si="1969"/>
        <v>383199.67099999997</v>
      </c>
      <c r="G554" s="63">
        <f t="shared" si="1969"/>
        <v>385434.36500000005</v>
      </c>
      <c r="H554" s="63">
        <f t="shared" si="1969"/>
        <v>415981.58100000006</v>
      </c>
      <c r="I554" s="63">
        <f t="shared" si="1970"/>
        <v>704585.103</v>
      </c>
      <c r="J554" s="63">
        <f t="shared" si="1970"/>
        <v>741755.7649999999</v>
      </c>
      <c r="K554" s="63">
        <f t="shared" si="1970"/>
        <v>601855.60799999989</v>
      </c>
      <c r="L554" s="63">
        <f t="shared" si="1971"/>
        <v>815457.87999999977</v>
      </c>
      <c r="M554" s="63">
        <f>+M542+M548</f>
        <v>752799.27299999981</v>
      </c>
      <c r="N554" s="63">
        <f t="shared" si="1971"/>
        <v>667408.80199999968</v>
      </c>
      <c r="O554" s="63">
        <f>+O542+O548</f>
        <v>949901.66099999985</v>
      </c>
      <c r="P554" s="63">
        <f>+P542+P548</f>
        <v>1157547.9830000002</v>
      </c>
      <c r="Q554" s="63"/>
      <c r="R554" s="151">
        <f t="shared" si="1972"/>
        <v>90054.837000000014</v>
      </c>
      <c r="S554" s="151">
        <f t="shared" si="1972"/>
        <v>86957.347000000023</v>
      </c>
      <c r="T554" s="63">
        <f t="shared" si="1972"/>
        <v>95474.560999999987</v>
      </c>
      <c r="U554" s="63">
        <f t="shared" si="1972"/>
        <v>90864.396000000052</v>
      </c>
      <c r="V554" s="63">
        <f t="shared" si="1972"/>
        <v>92926.524999999994</v>
      </c>
      <c r="W554" s="63">
        <f t="shared" si="1972"/>
        <v>94281.537999999971</v>
      </c>
      <c r="X554" s="63">
        <f t="shared" si="1973"/>
        <v>97886.027000000002</v>
      </c>
      <c r="Y554" s="63">
        <f t="shared" si="1973"/>
        <v>98105.581000000006</v>
      </c>
      <c r="Z554" s="63">
        <f t="shared" si="1973"/>
        <v>101656.03500000002</v>
      </c>
      <c r="AA554" s="63">
        <f t="shared" si="1973"/>
        <v>104665.61799999996</v>
      </c>
      <c r="AB554" s="63">
        <f t="shared" si="1974"/>
        <v>98002.520000000019</v>
      </c>
      <c r="AC554" s="63">
        <f t="shared" si="1974"/>
        <v>111657.40800000001</v>
      </c>
      <c r="AD554" s="63">
        <f t="shared" si="1974"/>
        <v>183134.68399999995</v>
      </c>
      <c r="AE554" s="63">
        <f t="shared" si="1974"/>
        <v>200407.49800000008</v>
      </c>
      <c r="AF554" s="63">
        <f t="shared" si="1975"/>
        <v>191352.62400000004</v>
      </c>
      <c r="AG554" s="63">
        <f t="shared" si="1975"/>
        <v>166860.95899999992</v>
      </c>
      <c r="AH554" s="63">
        <f t="shared" si="1975"/>
        <v>174996.93300000005</v>
      </c>
      <c r="AI554" s="63">
        <f t="shared" si="1975"/>
        <v>94631.224999999977</v>
      </c>
      <c r="AJ554" s="63">
        <f t="shared" si="1976"/>
        <v>139409.60100000008</v>
      </c>
      <c r="AK554" s="63">
        <f t="shared" si="1976"/>
        <v>192817.8489999999</v>
      </c>
      <c r="AL554" s="63">
        <f t="shared" si="1976"/>
        <v>210761.39199999999</v>
      </c>
      <c r="AM554" s="63">
        <f t="shared" si="1976"/>
        <v>190202.49499999994</v>
      </c>
      <c r="AN554" s="63">
        <f t="shared" si="1977"/>
        <v>199370.94800000009</v>
      </c>
      <c r="AO554" s="63">
        <f t="shared" si="1977"/>
        <v>215123.04499999993</v>
      </c>
      <c r="AP554" s="63">
        <f t="shared" si="1977"/>
        <v>218725.51599999997</v>
      </c>
      <c r="AQ554" s="63">
        <f t="shared" si="1977"/>
        <v>200115.36100000003</v>
      </c>
      <c r="AR554" s="63">
        <f t="shared" si="1978"/>
        <v>190047.24399999989</v>
      </c>
      <c r="AS554" s="63">
        <f t="shared" si="1978"/>
        <v>143911.15200000018</v>
      </c>
      <c r="AT554" s="63">
        <f t="shared" si="1978"/>
        <v>145633.46899999998</v>
      </c>
      <c r="AU554" s="63">
        <f t="shared" si="1978"/>
        <v>144539.65999999992</v>
      </c>
      <c r="AV554" s="63">
        <f t="shared" si="1979"/>
        <v>206423.18199999997</v>
      </c>
      <c r="AW554" s="63">
        <f t="shared" si="1979"/>
        <v>170812.4910000001</v>
      </c>
      <c r="AX554" s="63">
        <f t="shared" si="1979"/>
        <v>220445.07099999994</v>
      </c>
      <c r="AY554" s="63">
        <f t="shared" si="1979"/>
        <v>213570.38699999999</v>
      </c>
      <c r="AZ554" s="63">
        <f t="shared" si="1980"/>
        <v>254578.46399999989</v>
      </c>
      <c r="BA554" s="63">
        <f t="shared" si="1980"/>
        <v>261307.73900000015</v>
      </c>
      <c r="BB554" s="63">
        <f t="shared" si="1980"/>
        <v>296638.57399999996</v>
      </c>
      <c r="BC554" s="63">
        <f t="shared" si="1980"/>
        <v>289167.07799999998</v>
      </c>
      <c r="BD554" s="63">
        <f t="shared" si="1981"/>
        <v>290541.95000000019</v>
      </c>
      <c r="BE554" s="63">
        <f t="shared" si="1981"/>
        <v>281200.38099999994</v>
      </c>
      <c r="BF554" s="63">
        <f t="shared" si="1981"/>
        <v>351517.08100000006</v>
      </c>
      <c r="BG554" s="142"/>
      <c r="BH554" s="63"/>
      <c r="BI554" s="63"/>
      <c r="BJ554" s="63"/>
      <c r="BK554" s="63"/>
      <c r="BL554" s="63"/>
      <c r="BM554" s="63"/>
      <c r="BN554" s="63">
        <f t="shared" si="1982"/>
        <v>177012.18400000001</v>
      </c>
      <c r="BO554" s="63">
        <f t="shared" si="1982"/>
        <v>187208.06299999999</v>
      </c>
      <c r="BP554" s="63">
        <f t="shared" si="1982"/>
        <v>206321.6529999999</v>
      </c>
      <c r="BQ554" s="63">
        <f t="shared" si="1982"/>
        <v>383542.18200000003</v>
      </c>
      <c r="BR554" s="63">
        <f t="shared" si="1983"/>
        <v>269628.15799999994</v>
      </c>
      <c r="BS554" s="63">
        <f t="shared" si="1983"/>
        <v>400963.88699999993</v>
      </c>
      <c r="BT554" s="63">
        <f t="shared" si="1983"/>
        <v>418840.87699999998</v>
      </c>
      <c r="BU554" s="63">
        <f t="shared" si="1984"/>
        <v>290173.12899999984</v>
      </c>
      <c r="BV554" s="63">
        <f t="shared" si="1984"/>
        <v>434015.45799999993</v>
      </c>
      <c r="BW554" s="63">
        <f t="shared" si="1984"/>
        <v>585805.652</v>
      </c>
      <c r="BX554" s="63"/>
      <c r="BY554" s="63"/>
      <c r="BZ554" s="63">
        <f>+BZ542+BZ548</f>
        <v>383542.18200000003</v>
      </c>
      <c r="CA554" s="63"/>
      <c r="CC554" s="63">
        <f>+CC542+CC548</f>
        <v>85368.823999999993</v>
      </c>
      <c r="CD554" s="63">
        <f>+CD542+CD548</f>
        <v>169942.19899999996</v>
      </c>
      <c r="CE554" s="63">
        <f>+CE542+CE548</f>
        <v>261031.29799999998</v>
      </c>
    </row>
    <row r="555" spans="2:83" ht="13.5" customHeight="1" thickBot="1">
      <c r="B555" s="1" t="s">
        <v>546</v>
      </c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68"/>
      <c r="R555" s="96"/>
      <c r="S555" s="97"/>
      <c r="T555" s="97"/>
      <c r="U555" s="98"/>
      <c r="V555" s="96"/>
      <c r="W555" s="96"/>
      <c r="X555" s="96"/>
      <c r="Y555" s="98"/>
      <c r="Z555" s="96"/>
      <c r="AA555" s="96"/>
      <c r="AB555" s="96"/>
      <c r="AC555" s="96"/>
      <c r="AD555" s="96"/>
      <c r="AE555" s="96"/>
      <c r="AF555" s="96"/>
      <c r="AG555" s="96"/>
      <c r="AH555" s="96"/>
      <c r="AI555" s="96"/>
      <c r="AJ555" s="96"/>
      <c r="AK555" s="96"/>
      <c r="AL555" s="96"/>
      <c r="AM555" s="96"/>
      <c r="AN555" s="96"/>
      <c r="AO555" s="96"/>
      <c r="AP555" s="96"/>
      <c r="AQ555" s="96"/>
      <c r="AR555" s="96"/>
      <c r="AS555" s="96"/>
      <c r="AT555" s="96"/>
      <c r="AU555" s="96"/>
      <c r="AV555" s="96"/>
      <c r="AW555" s="96"/>
      <c r="AX555" s="96"/>
      <c r="AY555" s="96"/>
      <c r="AZ555" s="96"/>
      <c r="BA555" s="96"/>
      <c r="BB555" s="96"/>
      <c r="BC555" s="96"/>
      <c r="BD555" s="96"/>
      <c r="BE555" s="96"/>
      <c r="BF555" s="96"/>
      <c r="BG555" s="142"/>
      <c r="BH555" s="96"/>
      <c r="BI555" s="96"/>
      <c r="BJ555" s="96"/>
      <c r="BK555" s="96"/>
      <c r="BL555" s="96"/>
      <c r="BM555" s="227"/>
      <c r="BN555" s="61"/>
      <c r="BO555" s="94"/>
      <c r="BP555" s="94"/>
      <c r="BQ555" s="94"/>
      <c r="BR555" s="94"/>
      <c r="BS555" s="94"/>
      <c r="BT555" s="94"/>
      <c r="BU555" s="94"/>
      <c r="BV555" s="94"/>
      <c r="BW555" s="94"/>
      <c r="BX555" s="68"/>
      <c r="BY555" s="68"/>
      <c r="BZ555" s="94"/>
      <c r="CA555" s="68"/>
    </row>
    <row r="556" spans="2:83" ht="13.5" customHeight="1" thickTop="1">
      <c r="B556" s="5" t="s">
        <v>547</v>
      </c>
      <c r="C556" s="63">
        <f>SUM(C553:C555)</f>
        <v>2697760.7850000001</v>
      </c>
      <c r="D556" s="63">
        <f>SUM(D553:D555)</f>
        <v>3007980.2659999998</v>
      </c>
      <c r="E556" s="63">
        <f>SUM(E553:E555)</f>
        <v>3080932.1410000003</v>
      </c>
      <c r="F556" s="63">
        <f t="shared" ref="F556:K556" si="1985">SUM(F553:F555)</f>
        <v>3265492.8840000005</v>
      </c>
      <c r="G556" s="63">
        <f t="shared" si="1985"/>
        <v>3298642.91</v>
      </c>
      <c r="H556" s="63">
        <f t="shared" si="1985"/>
        <v>3391013.54</v>
      </c>
      <c r="I556" s="63">
        <f t="shared" si="1985"/>
        <v>3425727.1550000012</v>
      </c>
      <c r="J556" s="63">
        <f t="shared" si="1985"/>
        <v>3362268.3500000015</v>
      </c>
      <c r="K556" s="63">
        <f t="shared" si="1985"/>
        <v>3092171.8669999978</v>
      </c>
      <c r="L556" s="63">
        <f>SUM(L553:L555)</f>
        <v>4102981.3749999991</v>
      </c>
      <c r="M556" s="63">
        <f>SUM(M553:M555)</f>
        <v>3948742.3779999968</v>
      </c>
      <c r="N556" s="63">
        <f>SUM(N553:N555)</f>
        <v>3598956.3150000018</v>
      </c>
      <c r="O556" s="63">
        <f>SUM(O553:O555)</f>
        <v>4427261.0309999995</v>
      </c>
      <c r="P556" s="63">
        <f>SUM(P553:P555)</f>
        <v>5129305.2490000008</v>
      </c>
      <c r="Q556" s="63"/>
      <c r="R556" s="63">
        <f t="shared" ref="R556:W556" si="1986">SUM(R553:R555)</f>
        <v>713296.85799999977</v>
      </c>
      <c r="S556" s="63">
        <f t="shared" si="1986"/>
        <v>756727.81300000055</v>
      </c>
      <c r="T556" s="63">
        <f t="shared" si="1986"/>
        <v>730759.17700000014</v>
      </c>
      <c r="U556" s="63">
        <f t="shared" si="1986"/>
        <v>880149.0769999997</v>
      </c>
      <c r="V556" s="63">
        <f t="shared" si="1986"/>
        <v>763888.66299999959</v>
      </c>
      <c r="W556" s="63">
        <f t="shared" si="1986"/>
        <v>804226.41800000053</v>
      </c>
      <c r="X556" s="63">
        <f t="shared" ref="X556:AC556" si="1987">SUM(X553:X555)</f>
        <v>758822.31800000044</v>
      </c>
      <c r="Y556" s="63">
        <f t="shared" si="1987"/>
        <v>938555.4850000001</v>
      </c>
      <c r="Z556" s="63">
        <f t="shared" si="1987"/>
        <v>803238.94800000044</v>
      </c>
      <c r="AA556" s="63">
        <f t="shared" si="1987"/>
        <v>850658.23200000031</v>
      </c>
      <c r="AB556" s="63">
        <f t="shared" si="1987"/>
        <v>785420.60900000017</v>
      </c>
      <c r="AC556" s="63">
        <f t="shared" si="1987"/>
        <v>951695.7510000004</v>
      </c>
      <c r="AD556" s="63">
        <f t="shared" ref="AD556:AI556" si="1988">SUM(AD553:AD555)</f>
        <v>787015.93400000012</v>
      </c>
      <c r="AE556" s="63">
        <f t="shared" si="1988"/>
        <v>863573.15800000005</v>
      </c>
      <c r="AF556" s="63">
        <f t="shared" si="1988"/>
        <v>795603.52700000047</v>
      </c>
      <c r="AG556" s="63">
        <f t="shared" si="1988"/>
        <v>916075.73099999956</v>
      </c>
      <c r="AH556" s="63">
        <f t="shared" si="1988"/>
        <v>761664.576</v>
      </c>
      <c r="AI556" s="63">
        <f t="shared" si="1988"/>
        <v>489086.39300000004</v>
      </c>
      <c r="AJ556" s="63">
        <f t="shared" ref="AJ556:AO556" si="1989">SUM(AJ553:AJ555)</f>
        <v>743404.34699999983</v>
      </c>
      <c r="AK556" s="63">
        <f t="shared" si="1989"/>
        <v>1098016.550999999</v>
      </c>
      <c r="AL556" s="63">
        <f t="shared" si="1989"/>
        <v>894638.53300000075</v>
      </c>
      <c r="AM556" s="63">
        <f t="shared" si="1989"/>
        <v>927418.46799999964</v>
      </c>
      <c r="AN556" s="63">
        <f t="shared" si="1989"/>
        <v>1027652.4980000008</v>
      </c>
      <c r="AO556" s="63">
        <f t="shared" si="1989"/>
        <v>1253271.8760000006</v>
      </c>
      <c r="AP556" s="63">
        <f t="shared" ref="AP556:AU556" si="1990">SUM(AP553:AP555)</f>
        <v>968271.28199999954</v>
      </c>
      <c r="AQ556" s="63">
        <f t="shared" si="1990"/>
        <v>1019840.0449999995</v>
      </c>
      <c r="AR556" s="63">
        <f t="shared" si="1990"/>
        <v>945403.63099999959</v>
      </c>
      <c r="AS556" s="63">
        <f t="shared" si="1990"/>
        <v>1015227.4199999999</v>
      </c>
      <c r="AT556" s="63">
        <f t="shared" si="1990"/>
        <v>806157.98699999973</v>
      </c>
      <c r="AU556" s="63">
        <f t="shared" si="1990"/>
        <v>844989.81800000044</v>
      </c>
      <c r="AV556" s="63">
        <f t="shared" ref="AV556:BA556" si="1991">SUM(AV553:AV555)</f>
        <v>889897.60199999972</v>
      </c>
      <c r="AW556" s="63">
        <f t="shared" si="1991"/>
        <v>1057910.9080000005</v>
      </c>
      <c r="AX556" s="63">
        <f t="shared" si="1991"/>
        <v>992148.07000000007</v>
      </c>
      <c r="AY556" s="63">
        <f t="shared" si="1991"/>
        <v>1036928.927</v>
      </c>
      <c r="AZ556" s="63">
        <f t="shared" si="1991"/>
        <v>1064526.1880000001</v>
      </c>
      <c r="BA556" s="63">
        <f t="shared" si="1991"/>
        <v>1333657.8460000006</v>
      </c>
      <c r="BB556" s="63">
        <f>SUM(BB553:BB555)</f>
        <v>1212804.7819999999</v>
      </c>
      <c r="BC556" s="63">
        <f>SUM(BC553:BC555)</f>
        <v>1233270.4619999996</v>
      </c>
      <c r="BD556" s="63">
        <f>SUM(BD553:BD555)</f>
        <v>1198512.2719999996</v>
      </c>
      <c r="BE556" s="63">
        <f>SUM(BE553:BE555)</f>
        <v>1484717.733</v>
      </c>
      <c r="BF556" s="63">
        <f>SUM(BF553:BF555)</f>
        <v>1315391.5690000001</v>
      </c>
      <c r="BG556" s="142"/>
      <c r="BH556" s="63"/>
      <c r="BI556" s="63"/>
      <c r="BJ556" s="63"/>
      <c r="BK556" s="63"/>
      <c r="BL556" s="63"/>
      <c r="BM556" s="63"/>
      <c r="BN556" s="63">
        <f t="shared" ref="BN556:BS556" si="1992">SUM(BN553:BN555)</f>
        <v>1470025.1839999999</v>
      </c>
      <c r="BO556" s="63">
        <f t="shared" si="1992"/>
        <v>1568115.0630000001</v>
      </c>
      <c r="BP556" s="63">
        <f t="shared" si="1992"/>
        <v>1653897.1799999997</v>
      </c>
      <c r="BQ556" s="63">
        <f t="shared" si="1992"/>
        <v>1650589.0920000006</v>
      </c>
      <c r="BR556" s="63">
        <f t="shared" si="1992"/>
        <v>1250750.969000001</v>
      </c>
      <c r="BS556" s="63">
        <f t="shared" si="1992"/>
        <v>1822057.0009999999</v>
      </c>
      <c r="BT556" s="63">
        <f>SUM(BT553:BT555)</f>
        <v>1988111.3269999991</v>
      </c>
      <c r="BU556" s="63">
        <f>SUM(BU553:BU555)</f>
        <v>1651147.8050000002</v>
      </c>
      <c r="BV556" s="63">
        <f>SUM(BV553:BV555)</f>
        <v>2029076.9969999997</v>
      </c>
      <c r="BW556" s="63">
        <f>SUM(BW553:BW555)</f>
        <v>2446075.243999999</v>
      </c>
      <c r="BX556" s="63"/>
      <c r="BY556" s="63"/>
      <c r="BZ556" s="63">
        <f>SUM(BZ553:BZ555)</f>
        <v>1650589.0920000006</v>
      </c>
      <c r="CA556" s="63"/>
    </row>
    <row r="557" spans="2:83" ht="13.5" customHeight="1"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227"/>
      <c r="R557" s="78"/>
      <c r="S557" s="75"/>
      <c r="T557" s="76"/>
      <c r="U557" s="77"/>
      <c r="V557" s="227"/>
      <c r="W557" s="227"/>
      <c r="X557" s="227"/>
      <c r="Y557" s="77"/>
      <c r="Z557" s="227"/>
      <c r="AA557" s="227"/>
      <c r="AB557" s="227"/>
      <c r="AC557" s="227"/>
      <c r="AD557" s="227"/>
      <c r="AE557" s="227"/>
      <c r="AF557" s="227"/>
      <c r="AG557" s="227"/>
      <c r="AH557" s="227"/>
      <c r="AI557" s="227"/>
      <c r="AJ557" s="227"/>
      <c r="AK557" s="227"/>
      <c r="AL557" s="227"/>
      <c r="AM557" s="227"/>
      <c r="AN557" s="227"/>
      <c r="AO557" s="227"/>
      <c r="AP557" s="227"/>
      <c r="AQ557" s="227"/>
      <c r="AR557" s="227"/>
      <c r="AS557" s="227"/>
      <c r="AT557" s="227"/>
      <c r="AU557" s="227"/>
      <c r="AV557" s="227"/>
      <c r="AW557" s="227"/>
      <c r="AX557" s="227"/>
      <c r="AY557" s="227"/>
      <c r="AZ557" s="227"/>
      <c r="BA557" s="227"/>
      <c r="BB557" s="227"/>
      <c r="BC557" s="227"/>
      <c r="BD557" s="227"/>
      <c r="BE557" s="227"/>
      <c r="BF557" s="227"/>
      <c r="BG557" s="142"/>
      <c r="BH557" s="227"/>
      <c r="BI557" s="227"/>
      <c r="BJ557" s="227"/>
      <c r="BK557" s="227"/>
      <c r="BL557" s="227"/>
      <c r="BM557" s="227"/>
      <c r="BO557" s="68"/>
      <c r="BP557" s="68"/>
      <c r="BQ557" s="68"/>
      <c r="BR557" s="68"/>
      <c r="BS557" s="68"/>
      <c r="BT557" s="68"/>
      <c r="BU557" s="68"/>
      <c r="BV557" s="68"/>
      <c r="BW557" s="68"/>
      <c r="BX557" s="68"/>
      <c r="BY557" s="68"/>
      <c r="BZ557" s="68"/>
      <c r="CA557" s="68"/>
    </row>
    <row r="558" spans="2:83" s="5" customFormat="1" ht="13.5" customHeight="1">
      <c r="B558" s="5" t="s">
        <v>292</v>
      </c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227"/>
      <c r="R558" s="78"/>
      <c r="S558" s="75"/>
      <c r="T558" s="76"/>
      <c r="U558" s="76"/>
      <c r="V558" s="227"/>
      <c r="W558" s="227"/>
      <c r="X558" s="227"/>
      <c r="Y558" s="76"/>
      <c r="Z558" s="227"/>
      <c r="AA558" s="227"/>
      <c r="AB558" s="227"/>
      <c r="AC558" s="227"/>
      <c r="AD558" s="227"/>
      <c r="AE558" s="227"/>
      <c r="AF558" s="227"/>
      <c r="AG558" s="227"/>
      <c r="AH558" s="227"/>
      <c r="AI558" s="227"/>
      <c r="AJ558" s="227"/>
      <c r="AK558" s="227"/>
      <c r="AL558" s="227"/>
      <c r="AM558" s="227"/>
      <c r="AN558" s="227"/>
      <c r="AO558" s="227"/>
      <c r="AP558" s="227"/>
      <c r="AQ558" s="227"/>
      <c r="AR558" s="227"/>
      <c r="AS558" s="227"/>
      <c r="AT558" s="227"/>
      <c r="AU558" s="227"/>
      <c r="AV558" s="227"/>
      <c r="AW558" s="227"/>
      <c r="AX558" s="227"/>
      <c r="AY558" s="227"/>
      <c r="AZ558" s="227"/>
      <c r="BA558" s="227"/>
      <c r="BB558" s="227"/>
      <c r="BC558" s="227"/>
      <c r="BD558" s="227"/>
      <c r="BE558" s="227"/>
      <c r="BF558" s="227"/>
      <c r="BG558" s="142"/>
      <c r="BH558" s="227"/>
      <c r="BI558" s="227"/>
      <c r="BJ558" s="227"/>
      <c r="BK558" s="227"/>
      <c r="BL558" s="227"/>
      <c r="BM558" s="227"/>
      <c r="BO558" s="87"/>
      <c r="BP558" s="87"/>
      <c r="BQ558" s="87"/>
      <c r="BR558" s="87"/>
      <c r="BS558" s="87"/>
      <c r="BT558" s="87"/>
      <c r="BU558" s="87"/>
      <c r="BV558" s="87"/>
      <c r="BW558" s="87"/>
      <c r="BX558" s="87"/>
      <c r="BY558" s="87"/>
      <c r="BZ558" s="87"/>
      <c r="CA558" s="87"/>
    </row>
    <row r="559" spans="2:83" ht="13.5" customHeight="1">
      <c r="B559" s="1" t="s">
        <v>545</v>
      </c>
      <c r="C559" s="63">
        <f t="shared" ref="C559:K559" si="1993">C18</f>
        <v>715259.95899999933</v>
      </c>
      <c r="D559" s="63">
        <f t="shared" si="1993"/>
        <v>780405.76999999955</v>
      </c>
      <c r="E559" s="63">
        <f t="shared" si="1993"/>
        <v>936752.27700000012</v>
      </c>
      <c r="F559" s="63">
        <f t="shared" si="1993"/>
        <v>823039.88800000062</v>
      </c>
      <c r="G559" s="63">
        <f t="shared" si="1993"/>
        <v>823039.8879999998</v>
      </c>
      <c r="H559" s="63">
        <f t="shared" si="1993"/>
        <v>793946.29600000079</v>
      </c>
      <c r="I559" s="63">
        <f t="shared" si="1993"/>
        <v>586885.48699999996</v>
      </c>
      <c r="J559" s="63">
        <f t="shared" si="1993"/>
        <v>411164.21999999986</v>
      </c>
      <c r="K559" s="63">
        <f t="shared" si="1993"/>
        <v>152993.90499999953</v>
      </c>
      <c r="L559" s="63">
        <f>L18</f>
        <v>776116.88600000006</v>
      </c>
      <c r="M559" s="63">
        <f>M18</f>
        <v>303254.03700000059</v>
      </c>
      <c r="N559" s="63">
        <f>N18</f>
        <v>487551.58799999958</v>
      </c>
      <c r="O559" s="63">
        <f>O18</f>
        <v>920128.68799999985</v>
      </c>
      <c r="P559" s="63">
        <f>P18</f>
        <v>2451227.0959999999</v>
      </c>
      <c r="Q559" s="63"/>
      <c r="R559" s="151">
        <f t="shared" ref="R559:AN559" si="1994">R18</f>
        <v>162523.57600000006</v>
      </c>
      <c r="S559" s="151">
        <f t="shared" si="1994"/>
        <v>188619.12900000007</v>
      </c>
      <c r="T559" s="63">
        <f t="shared" si="1994"/>
        <v>293069.25300000003</v>
      </c>
      <c r="U559" s="63">
        <f t="shared" si="1994"/>
        <v>292540.31900000025</v>
      </c>
      <c r="V559" s="63">
        <f t="shared" si="1994"/>
        <v>183257.40899999987</v>
      </c>
      <c r="W559" s="63">
        <f t="shared" si="1994"/>
        <v>206420.83300000016</v>
      </c>
      <c r="X559" s="63">
        <f t="shared" si="1994"/>
        <v>145659.82900000009</v>
      </c>
      <c r="Y559" s="63">
        <f t="shared" si="1994"/>
        <v>287701.81700000056</v>
      </c>
      <c r="Z559" s="63">
        <f t="shared" si="1994"/>
        <v>190260.90299999996</v>
      </c>
      <c r="AA559" s="63">
        <f t="shared" si="1994"/>
        <v>196907.68200000006</v>
      </c>
      <c r="AB559" s="63">
        <f t="shared" si="1994"/>
        <v>149553.98200000048</v>
      </c>
      <c r="AC559" s="63">
        <f t="shared" si="1994"/>
        <v>257223.72900000113</v>
      </c>
      <c r="AD559" s="63">
        <f t="shared" si="1994"/>
        <v>86659.383999999991</v>
      </c>
      <c r="AE559" s="63">
        <f t="shared" si="1994"/>
        <v>122601.56699999973</v>
      </c>
      <c r="AF559" s="63">
        <f t="shared" si="1994"/>
        <v>71150.907999999981</v>
      </c>
      <c r="AG559" s="63">
        <f t="shared" si="1994"/>
        <v>130752.36100000022</v>
      </c>
      <c r="AH559" s="63">
        <f t="shared" si="1994"/>
        <v>34957.887000000032</v>
      </c>
      <c r="AI559" s="63">
        <f t="shared" si="1994"/>
        <v>-140396.69299999994</v>
      </c>
      <c r="AJ559" s="63">
        <f t="shared" si="1994"/>
        <v>31351.423000000817</v>
      </c>
      <c r="AK559" s="63">
        <f t="shared" si="1994"/>
        <v>227081.28799999921</v>
      </c>
      <c r="AL559" s="63">
        <f t="shared" si="1994"/>
        <v>139620.63700000005</v>
      </c>
      <c r="AM559" s="63">
        <f t="shared" si="1994"/>
        <v>171725.71399999998</v>
      </c>
      <c r="AN559" s="63">
        <f t="shared" si="1994"/>
        <v>206689.51099999953</v>
      </c>
      <c r="AO559" s="63">
        <f t="shared" ref="AO559:AT559" si="1995">AO18</f>
        <v>258081.02400000009</v>
      </c>
      <c r="AP559" s="63">
        <f t="shared" si="1995"/>
        <v>96662.023999999801</v>
      </c>
      <c r="AQ559" s="63">
        <f t="shared" si="1995"/>
        <v>184156.65000000043</v>
      </c>
      <c r="AR559" s="63">
        <f t="shared" si="1995"/>
        <v>45704.764999999556</v>
      </c>
      <c r="AS559" s="63">
        <f t="shared" si="1995"/>
        <v>-23269.402000000038</v>
      </c>
      <c r="AT559" s="63">
        <f t="shared" si="1995"/>
        <v>8759.4620000001523</v>
      </c>
      <c r="AU559" s="63">
        <f t="shared" ref="AU559:AZ559" si="1996">AU18</f>
        <v>221741.47499999971</v>
      </c>
      <c r="AV559" s="63">
        <f t="shared" si="1996"/>
        <v>28939.463000000535</v>
      </c>
      <c r="AW559" s="63">
        <f t="shared" si="1996"/>
        <v>228111.18800000017</v>
      </c>
      <c r="AX559" s="63">
        <f t="shared" si="1996"/>
        <v>131449.14100000018</v>
      </c>
      <c r="AY559" s="63">
        <f t="shared" si="1996"/>
        <v>267307.74099999928</v>
      </c>
      <c r="AZ559" s="63">
        <f t="shared" si="1996"/>
        <v>142042.71600000042</v>
      </c>
      <c r="BA559" s="63">
        <f t="shared" ref="BA559:BF559" si="1997">BA18</f>
        <v>379329.09000000043</v>
      </c>
      <c r="BB559" s="63">
        <f t="shared" si="1997"/>
        <v>242699.47399999987</v>
      </c>
      <c r="BC559" s="63">
        <f t="shared" si="1997"/>
        <v>676964.00700000057</v>
      </c>
      <c r="BD559" s="63">
        <f t="shared" si="1997"/>
        <v>213502.21799999959</v>
      </c>
      <c r="BE559" s="63">
        <f t="shared" si="1997"/>
        <v>1318061.3969999996</v>
      </c>
      <c r="BF559" s="63">
        <f t="shared" si="1997"/>
        <v>261157.30999999991</v>
      </c>
      <c r="BG559" s="142"/>
      <c r="BH559" s="63"/>
      <c r="BI559" s="63"/>
      <c r="BJ559" s="63"/>
      <c r="BK559" s="63"/>
      <c r="BL559" s="63"/>
      <c r="BM559" s="63"/>
      <c r="BN559" s="63">
        <f t="shared" ref="BN559:BS559" si="1998">BN18</f>
        <v>351142.70500000013</v>
      </c>
      <c r="BO559" s="63">
        <f t="shared" si="1998"/>
        <v>389678.24200000003</v>
      </c>
      <c r="BP559" s="63">
        <f t="shared" si="1998"/>
        <v>387168.58499999996</v>
      </c>
      <c r="BQ559" s="63">
        <f t="shared" si="1998"/>
        <v>209260.95099999971</v>
      </c>
      <c r="BR559" s="63">
        <f t="shared" si="1998"/>
        <v>-105438.80599999989</v>
      </c>
      <c r="BS559" s="63">
        <f t="shared" si="1998"/>
        <v>311346.35100000008</v>
      </c>
      <c r="BT559" s="63">
        <f>BT18</f>
        <v>280818.67400000023</v>
      </c>
      <c r="BU559" s="63">
        <f>BU18</f>
        <v>230500.93699999986</v>
      </c>
      <c r="BV559" s="63">
        <f>BV18</f>
        <v>398756.88199999952</v>
      </c>
      <c r="BW559" s="63">
        <f>BW18</f>
        <v>919663.48100000026</v>
      </c>
      <c r="BX559" s="63"/>
      <c r="BY559" s="63"/>
      <c r="BZ559" s="63">
        <f>BZ18</f>
        <v>209260.95099999965</v>
      </c>
      <c r="CA559" s="63"/>
    </row>
    <row r="560" spans="2:83" ht="13.5" customHeight="1">
      <c r="B560" s="1" t="s">
        <v>533</v>
      </c>
      <c r="C560" s="63">
        <f t="shared" ref="C560:K560" si="1999">C45</f>
        <v>103611.19200000004</v>
      </c>
      <c r="D560" s="63">
        <f t="shared" si="1999"/>
        <v>123430.08999999994</v>
      </c>
      <c r="E560" s="63">
        <f t="shared" si="1999"/>
        <v>113265.19000000003</v>
      </c>
      <c r="F560" s="63">
        <f t="shared" si="1999"/>
        <v>109839.10800000001</v>
      </c>
      <c r="G560" s="63">
        <f t="shared" si="1999"/>
        <v>109839.10800000001</v>
      </c>
      <c r="H560" s="63">
        <f t="shared" si="1999"/>
        <v>109148.32399999996</v>
      </c>
      <c r="I560" s="63">
        <f t="shared" si="1999"/>
        <v>316689.75599999988</v>
      </c>
      <c r="J560" s="63">
        <f t="shared" si="1999"/>
        <v>315106.75399999996</v>
      </c>
      <c r="K560" s="63">
        <f t="shared" si="1999"/>
        <v>168396.44400000002</v>
      </c>
      <c r="L560" s="63">
        <f>L45</f>
        <v>311580.29099999985</v>
      </c>
      <c r="M560" s="63">
        <f>M45</f>
        <v>141436.61499999976</v>
      </c>
      <c r="N560" s="63">
        <f>N45</f>
        <v>22208.073999999906</v>
      </c>
      <c r="O560" s="63">
        <f>O45</f>
        <v>260948.51000000013</v>
      </c>
      <c r="P560" s="63">
        <f>P45</f>
        <v>403049.66100000008</v>
      </c>
      <c r="Q560" s="63"/>
      <c r="R560" s="151">
        <f t="shared" ref="R560:AN560" si="2000">R45</f>
        <v>30300.863999999994</v>
      </c>
      <c r="S560" s="151">
        <f t="shared" si="2000"/>
        <v>25328.08100000002</v>
      </c>
      <c r="T560" s="63">
        <f t="shared" si="2000"/>
        <v>30398.614999999998</v>
      </c>
      <c r="U560" s="63">
        <f t="shared" si="2000"/>
        <v>27237.63000000007</v>
      </c>
      <c r="V560" s="63">
        <f t="shared" si="2000"/>
        <v>26876.247000000018</v>
      </c>
      <c r="W560" s="63">
        <f t="shared" si="2000"/>
        <v>25962.328999999969</v>
      </c>
      <c r="X560" s="63">
        <f t="shared" si="2000"/>
        <v>29240.784999999974</v>
      </c>
      <c r="Y560" s="63">
        <f t="shared" si="2000"/>
        <v>27759.747000000018</v>
      </c>
      <c r="Z560" s="63">
        <f t="shared" si="2000"/>
        <v>28493.409999999974</v>
      </c>
      <c r="AA560" s="63">
        <f t="shared" si="2000"/>
        <v>30618.053999999946</v>
      </c>
      <c r="AB560" s="63">
        <f t="shared" si="2000"/>
        <v>19510.074000000022</v>
      </c>
      <c r="AC560" s="63">
        <f t="shared" si="2000"/>
        <v>30526.786000000022</v>
      </c>
      <c r="AD560" s="63">
        <f t="shared" si="2000"/>
        <v>83383.712999999989</v>
      </c>
      <c r="AE560" s="63">
        <f t="shared" si="2000"/>
        <v>95982.729000000094</v>
      </c>
      <c r="AF560" s="63">
        <f t="shared" si="2000"/>
        <v>80893.746000000014</v>
      </c>
      <c r="AG560" s="63">
        <f t="shared" si="2000"/>
        <v>54846.565999999948</v>
      </c>
      <c r="AH560" s="63">
        <f t="shared" si="2000"/>
        <v>60714.269000000029</v>
      </c>
      <c r="AI560" s="63">
        <f t="shared" si="2000"/>
        <v>-60.298000000024331</v>
      </c>
      <c r="AJ560" s="63">
        <f t="shared" si="2000"/>
        <v>35724.278000000078</v>
      </c>
      <c r="AK560" s="63">
        <f t="shared" si="2000"/>
        <v>72018.19499999992</v>
      </c>
      <c r="AL560" s="63">
        <f t="shared" si="2000"/>
        <v>98213.768000000025</v>
      </c>
      <c r="AM560" s="63">
        <f t="shared" si="2000"/>
        <v>73044.169999999969</v>
      </c>
      <c r="AN560" s="63">
        <f t="shared" si="2000"/>
        <v>69327.586000000054</v>
      </c>
      <c r="AO560" s="63">
        <f t="shared" ref="AO560:AT560" si="2001">AO45</f>
        <v>70994.766999999963</v>
      </c>
      <c r="AP560" s="63">
        <f t="shared" si="2001"/>
        <v>76994.890999999974</v>
      </c>
      <c r="AQ560" s="63">
        <f t="shared" si="2001"/>
        <v>48437.131000000081</v>
      </c>
      <c r="AR560" s="63">
        <f t="shared" si="2001"/>
        <v>34519.733999999851</v>
      </c>
      <c r="AS560" s="63">
        <f t="shared" si="2001"/>
        <v>-18515.1409999998</v>
      </c>
      <c r="AT560" s="63">
        <f t="shared" si="2001"/>
        <v>-836.94099999999162</v>
      </c>
      <c r="AU560" s="63">
        <f t="shared" ref="AU560:AZ560" si="2002">AU45</f>
        <v>-8170.8080000001064</v>
      </c>
      <c r="AV560" s="63">
        <f t="shared" si="2002"/>
        <v>40972.486000000004</v>
      </c>
      <c r="AW560" s="63">
        <f t="shared" si="2002"/>
        <v>-9756.6629999999714</v>
      </c>
      <c r="AX560" s="63">
        <f t="shared" si="2002"/>
        <v>57616.205999999976</v>
      </c>
      <c r="AY560" s="63">
        <f t="shared" si="2002"/>
        <v>57415.119000000006</v>
      </c>
      <c r="AZ560" s="63">
        <f t="shared" si="2002"/>
        <v>81502.304999999906</v>
      </c>
      <c r="BA560" s="63">
        <f t="shared" ref="BA560:BF560" si="2003">BA45</f>
        <v>64414.880000000063</v>
      </c>
      <c r="BB560" s="63">
        <f t="shared" si="2003"/>
        <v>125995.59299999991</v>
      </c>
      <c r="BC560" s="63">
        <f t="shared" si="2003"/>
        <v>116514.39399999997</v>
      </c>
      <c r="BD560" s="63">
        <f t="shared" si="2003"/>
        <v>101117.74100000021</v>
      </c>
      <c r="BE560" s="63">
        <f t="shared" si="2003"/>
        <v>59421.933000000048</v>
      </c>
      <c r="BF560" s="63">
        <f t="shared" si="2003"/>
        <v>177063.296</v>
      </c>
      <c r="BG560" s="142"/>
      <c r="BH560" s="63">
        <f>BH45</f>
        <v>85005.839999999982</v>
      </c>
      <c r="BI560" s="63">
        <f>BI45</f>
        <v>80910.340000000055</v>
      </c>
      <c r="BJ560" s="63">
        <f>BJ45</f>
        <v>69070.52899999998</v>
      </c>
      <c r="BK560" s="63">
        <f>BK45</f>
        <v>238068.21800000008</v>
      </c>
      <c r="BL560" s="63">
        <f>BL45</f>
        <v>83383.712999999989</v>
      </c>
      <c r="BM560" s="63"/>
      <c r="BN560" s="63">
        <f t="shared" ref="BN560:BS560" si="2004">BN45</f>
        <v>55628.945000000007</v>
      </c>
      <c r="BO560" s="63">
        <f t="shared" si="2004"/>
        <v>52838.575999999972</v>
      </c>
      <c r="BP560" s="63">
        <f t="shared" si="2004"/>
        <v>59111.463999999949</v>
      </c>
      <c r="BQ560" s="63">
        <f t="shared" si="2004"/>
        <v>179366.44199999998</v>
      </c>
      <c r="BR560" s="63">
        <f t="shared" si="2004"/>
        <v>60653.970999999961</v>
      </c>
      <c r="BS560" s="63">
        <f t="shared" si="2004"/>
        <v>171257.93799999999</v>
      </c>
      <c r="BT560" s="63">
        <f>BT45</f>
        <v>125432.022</v>
      </c>
      <c r="BU560" s="63">
        <f>BU45</f>
        <v>-9007.7490000000689</v>
      </c>
      <c r="BV560" s="63">
        <f>BV45</f>
        <v>115031.3249999999</v>
      </c>
      <c r="BW560" s="63">
        <f>BW45</f>
        <v>242509.98700000002</v>
      </c>
      <c r="BX560" s="63"/>
      <c r="BY560" s="63">
        <f>BY45</f>
        <v>165916.18000000002</v>
      </c>
      <c r="BZ560" s="63">
        <f>BZ45</f>
        <v>179366.44199999998</v>
      </c>
      <c r="CA560" s="63"/>
      <c r="CC560" s="63">
        <f>CC45</f>
        <v>30155.957999999999</v>
      </c>
      <c r="CD560" s="63">
        <f>CD45</f>
        <v>60147.445</v>
      </c>
      <c r="CE560" s="63">
        <f>CE45</f>
        <v>91648.225000000006</v>
      </c>
    </row>
    <row r="561" spans="2:79" ht="13.5" customHeight="1" thickBot="1">
      <c r="B561" s="1" t="s">
        <v>546</v>
      </c>
      <c r="C561" s="178"/>
      <c r="D561" s="178"/>
      <c r="E561" s="178"/>
      <c r="F561" s="178"/>
      <c r="G561" s="178"/>
      <c r="H561" s="178"/>
      <c r="I561" s="178"/>
      <c r="J561" s="178"/>
      <c r="K561" s="178"/>
      <c r="L561" s="178"/>
      <c r="M561" s="178"/>
      <c r="N561" s="178"/>
      <c r="O561" s="178"/>
      <c r="P561" s="178"/>
      <c r="Q561" s="63"/>
      <c r="R561" s="179"/>
      <c r="S561" s="179"/>
      <c r="T561" s="179"/>
      <c r="U561" s="178"/>
      <c r="V561" s="179"/>
      <c r="W561" s="179"/>
      <c r="X561" s="179"/>
      <c r="Y561" s="178"/>
      <c r="Z561" s="179"/>
      <c r="AA561" s="179"/>
      <c r="AB561" s="179"/>
      <c r="AC561" s="179"/>
      <c r="AD561" s="179"/>
      <c r="AE561" s="179"/>
      <c r="AF561" s="179"/>
      <c r="AG561" s="179"/>
      <c r="AH561" s="179"/>
      <c r="AI561" s="179"/>
      <c r="AJ561" s="179"/>
      <c r="AK561" s="179"/>
      <c r="AL561" s="179"/>
      <c r="AM561" s="179"/>
      <c r="AN561" s="179"/>
      <c r="AO561" s="179"/>
      <c r="AP561" s="179"/>
      <c r="AQ561" s="179"/>
      <c r="AR561" s="179"/>
      <c r="AS561" s="179"/>
      <c r="AT561" s="179"/>
      <c r="AU561" s="179"/>
      <c r="AV561" s="179"/>
      <c r="AW561" s="179"/>
      <c r="AX561" s="179"/>
      <c r="AY561" s="179"/>
      <c r="AZ561" s="179"/>
      <c r="BA561" s="179"/>
      <c r="BB561" s="179"/>
      <c r="BC561" s="179"/>
      <c r="BD561" s="179"/>
      <c r="BE561" s="179"/>
      <c r="BF561" s="179"/>
      <c r="BG561" s="142"/>
      <c r="BH561" s="179"/>
      <c r="BI561" s="179"/>
      <c r="BJ561" s="179"/>
      <c r="BK561" s="179"/>
      <c r="BL561" s="179"/>
      <c r="BM561" s="121"/>
      <c r="BN561" s="178"/>
      <c r="BO561" s="178"/>
      <c r="BP561" s="178"/>
      <c r="BQ561" s="178"/>
      <c r="BR561" s="178"/>
      <c r="BS561" s="178"/>
      <c r="BT561" s="178"/>
      <c r="BU561" s="178"/>
      <c r="BV561" s="178"/>
      <c r="BW561" s="178"/>
      <c r="BX561" s="63"/>
      <c r="BY561" s="63"/>
      <c r="BZ561" s="63"/>
      <c r="CA561" s="63"/>
    </row>
    <row r="562" spans="2:79" ht="13.5" customHeight="1" thickTop="1">
      <c r="B562" s="5" t="s">
        <v>547</v>
      </c>
      <c r="C562" s="63">
        <f t="shared" ref="C562:H562" si="2005">SUM(C559:C561)</f>
        <v>818871.15099999937</v>
      </c>
      <c r="D562" s="63">
        <f t="shared" si="2005"/>
        <v>903835.85999999952</v>
      </c>
      <c r="E562" s="63">
        <f t="shared" si="2005"/>
        <v>1050017.4670000002</v>
      </c>
      <c r="F562" s="63">
        <f t="shared" si="2005"/>
        <v>932878.99600000062</v>
      </c>
      <c r="G562" s="63">
        <f t="shared" si="2005"/>
        <v>932878.99599999981</v>
      </c>
      <c r="H562" s="63">
        <f t="shared" si="2005"/>
        <v>903094.62000000081</v>
      </c>
      <c r="I562" s="63">
        <f t="shared" ref="I562:N562" si="2006">SUM(I559:I561)</f>
        <v>903575.24299999978</v>
      </c>
      <c r="J562" s="63">
        <f t="shared" si="2006"/>
        <v>726270.97399999981</v>
      </c>
      <c r="K562" s="63">
        <f t="shared" si="2006"/>
        <v>321390.34899999958</v>
      </c>
      <c r="L562" s="63">
        <f t="shared" si="2006"/>
        <v>1087697.1769999999</v>
      </c>
      <c r="M562" s="63">
        <f>SUM(M559:M561)</f>
        <v>444690.65200000035</v>
      </c>
      <c r="N562" s="63">
        <f t="shared" si="2006"/>
        <v>509759.66199999949</v>
      </c>
      <c r="O562" s="63">
        <f>SUM(O559:O561)</f>
        <v>1181077.1979999999</v>
      </c>
      <c r="P562" s="63">
        <f>SUM(P559:P561)</f>
        <v>2854276.7570000002</v>
      </c>
      <c r="Q562" s="63"/>
      <c r="R562" s="63">
        <f t="shared" ref="R562:W562" si="2007">SUM(R559:R561)</f>
        <v>192824.44000000006</v>
      </c>
      <c r="S562" s="63">
        <f t="shared" si="2007"/>
        <v>213947.21000000008</v>
      </c>
      <c r="T562" s="63">
        <f t="shared" si="2007"/>
        <v>323467.86800000002</v>
      </c>
      <c r="U562" s="63">
        <f t="shared" si="2007"/>
        <v>319777.94900000031</v>
      </c>
      <c r="V562" s="63">
        <f t="shared" si="2007"/>
        <v>210133.6559999999</v>
      </c>
      <c r="W562" s="63">
        <f t="shared" si="2007"/>
        <v>232383.16200000013</v>
      </c>
      <c r="X562" s="63">
        <f t="shared" ref="X562:AC562" si="2008">SUM(X559:X561)</f>
        <v>174900.61400000006</v>
      </c>
      <c r="Y562" s="63">
        <f t="shared" si="2008"/>
        <v>315461.5640000006</v>
      </c>
      <c r="Z562" s="63">
        <f t="shared" si="2008"/>
        <v>218754.31299999994</v>
      </c>
      <c r="AA562" s="63">
        <f t="shared" si="2008"/>
        <v>227525.736</v>
      </c>
      <c r="AB562" s="63">
        <f t="shared" si="2008"/>
        <v>169064.05600000051</v>
      </c>
      <c r="AC562" s="63">
        <f t="shared" si="2008"/>
        <v>287750.51500000118</v>
      </c>
      <c r="AD562" s="63">
        <f t="shared" ref="AD562:AI562" si="2009">SUM(AD559:AD561)</f>
        <v>170043.09699999998</v>
      </c>
      <c r="AE562" s="63">
        <f t="shared" si="2009"/>
        <v>218584.29599999983</v>
      </c>
      <c r="AF562" s="63">
        <f t="shared" si="2009"/>
        <v>152044.65399999998</v>
      </c>
      <c r="AG562" s="63">
        <f t="shared" si="2009"/>
        <v>185598.92700000017</v>
      </c>
      <c r="AH562" s="63">
        <f t="shared" si="2009"/>
        <v>95672.156000000061</v>
      </c>
      <c r="AI562" s="63">
        <f t="shared" si="2009"/>
        <v>-140456.99099999998</v>
      </c>
      <c r="AJ562" s="63">
        <f t="shared" ref="AJ562:AO562" si="2010">SUM(AJ559:AJ561)</f>
        <v>67075.701000000903</v>
      </c>
      <c r="AK562" s="63">
        <f t="shared" si="2010"/>
        <v>299099.48299999913</v>
      </c>
      <c r="AL562" s="63">
        <f t="shared" si="2010"/>
        <v>237834.40500000009</v>
      </c>
      <c r="AM562" s="63">
        <f t="shared" si="2010"/>
        <v>244769.88399999996</v>
      </c>
      <c r="AN562" s="63">
        <f t="shared" si="2010"/>
        <v>276017.0969999996</v>
      </c>
      <c r="AO562" s="63">
        <f t="shared" si="2010"/>
        <v>329075.79100000008</v>
      </c>
      <c r="AP562" s="63">
        <f t="shared" ref="AP562:AU562" si="2011">SUM(AP559:AP561)</f>
        <v>173656.91499999978</v>
      </c>
      <c r="AQ562" s="63">
        <f t="shared" si="2011"/>
        <v>232593.78100000051</v>
      </c>
      <c r="AR562" s="63">
        <f t="shared" si="2011"/>
        <v>80224.4989999994</v>
      </c>
      <c r="AS562" s="63">
        <f t="shared" si="2011"/>
        <v>-41784.542999999838</v>
      </c>
      <c r="AT562" s="63">
        <f t="shared" si="2011"/>
        <v>7922.5210000001607</v>
      </c>
      <c r="AU562" s="63">
        <f t="shared" si="2011"/>
        <v>213570.66699999961</v>
      </c>
      <c r="AV562" s="63">
        <f t="shared" ref="AV562:BA562" si="2012">SUM(AV559:AV561)</f>
        <v>69911.949000000546</v>
      </c>
      <c r="AW562" s="63">
        <f t="shared" si="2012"/>
        <v>218354.5250000002</v>
      </c>
      <c r="AX562" s="63">
        <f t="shared" si="2012"/>
        <v>189065.34700000015</v>
      </c>
      <c r="AY562" s="63">
        <f t="shared" si="2012"/>
        <v>324722.85999999929</v>
      </c>
      <c r="AZ562" s="63">
        <f t="shared" si="2012"/>
        <v>223545.02100000033</v>
      </c>
      <c r="BA562" s="63">
        <f t="shared" si="2012"/>
        <v>443743.9700000005</v>
      </c>
      <c r="BB562" s="63">
        <f>SUM(BB559:BB561)</f>
        <v>368695.06699999981</v>
      </c>
      <c r="BC562" s="63">
        <f>SUM(BC559:BC561)</f>
        <v>793478.40100000054</v>
      </c>
      <c r="BD562" s="63">
        <f>SUM(BD559:BD561)</f>
        <v>314619.9589999998</v>
      </c>
      <c r="BE562" s="63">
        <f>SUM(BE559:BE561)</f>
        <v>1377483.3299999996</v>
      </c>
      <c r="BF562" s="63">
        <f>SUM(BF559:BF561)</f>
        <v>438220.60599999991</v>
      </c>
      <c r="BG562" s="142"/>
      <c r="BH562" s="63"/>
      <c r="BI562" s="63"/>
      <c r="BJ562" s="63"/>
      <c r="BK562" s="63"/>
      <c r="BL562" s="63"/>
      <c r="BM562" s="63"/>
      <c r="BN562" s="63">
        <f t="shared" ref="BN562:BS562" si="2013">SUM(BN559:BN561)</f>
        <v>406771.65000000014</v>
      </c>
      <c r="BO562" s="63">
        <f t="shared" si="2013"/>
        <v>442516.81799999997</v>
      </c>
      <c r="BP562" s="63">
        <f t="shared" si="2013"/>
        <v>446280.04899999988</v>
      </c>
      <c r="BQ562" s="63">
        <f t="shared" si="2013"/>
        <v>388627.39299999969</v>
      </c>
      <c r="BR562" s="63">
        <f t="shared" si="2013"/>
        <v>-44784.834999999934</v>
      </c>
      <c r="BS562" s="63">
        <f t="shared" si="2013"/>
        <v>482604.28900000011</v>
      </c>
      <c r="BT562" s="63">
        <f>SUM(BT559:BT561)</f>
        <v>406250.69600000023</v>
      </c>
      <c r="BU562" s="63">
        <f>SUM(BU559:BU561)</f>
        <v>221493.18799999979</v>
      </c>
      <c r="BV562" s="63">
        <f>SUM(BV559:BV561)</f>
        <v>513788.20699999941</v>
      </c>
      <c r="BW562" s="63">
        <f>SUM(BW559:BW561)</f>
        <v>1162173.4680000003</v>
      </c>
      <c r="BX562" s="63"/>
      <c r="BY562" s="63"/>
      <c r="BZ562" s="63">
        <f>SUM(BZ559:BZ561)</f>
        <v>388627.39299999963</v>
      </c>
      <c r="CA562" s="63"/>
    </row>
    <row r="563" spans="2:79" ht="13.5" customHeight="1">
      <c r="B563" s="5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227"/>
      <c r="R563" s="78"/>
      <c r="S563" s="75"/>
      <c r="T563" s="76"/>
      <c r="U563" s="77"/>
      <c r="V563" s="227"/>
      <c r="W563" s="227"/>
      <c r="X563" s="227"/>
      <c r="Y563" s="77"/>
      <c r="Z563" s="227"/>
      <c r="AA563" s="227"/>
      <c r="AB563" s="227"/>
      <c r="AC563" s="227"/>
      <c r="AD563" s="227"/>
      <c r="AE563" s="227"/>
      <c r="AF563" s="227"/>
      <c r="AG563" s="227"/>
      <c r="AH563" s="227"/>
      <c r="AI563" s="227"/>
      <c r="AJ563" s="227"/>
      <c r="AK563" s="227"/>
      <c r="AL563" s="227"/>
      <c r="AM563" s="227"/>
      <c r="AN563" s="227"/>
      <c r="AO563" s="227"/>
      <c r="AP563" s="227"/>
      <c r="AQ563" s="227"/>
      <c r="AR563" s="227"/>
      <c r="AS563" s="227"/>
      <c r="AT563" s="227"/>
      <c r="AU563" s="227"/>
      <c r="AV563" s="227"/>
      <c r="AW563" s="227"/>
      <c r="AX563" s="227"/>
      <c r="AY563" s="227"/>
      <c r="AZ563" s="227"/>
      <c r="BA563" s="227"/>
      <c r="BB563" s="227"/>
      <c r="BC563" s="227"/>
      <c r="BD563" s="227"/>
      <c r="BE563" s="227"/>
      <c r="BF563" s="227"/>
      <c r="BG563" s="142"/>
      <c r="BH563" s="227"/>
      <c r="BI563" s="227"/>
      <c r="BJ563" s="227"/>
      <c r="BK563" s="227"/>
      <c r="BL563" s="227"/>
      <c r="BM563" s="227"/>
      <c r="BO563" s="68"/>
      <c r="BP563" s="68"/>
      <c r="BQ563" s="68"/>
      <c r="BR563" s="68"/>
      <c r="BS563" s="68"/>
      <c r="BT563" s="68"/>
      <c r="BU563" s="68"/>
      <c r="BV563" s="68"/>
      <c r="BW563" s="68"/>
      <c r="BX563" s="68"/>
      <c r="BY563" s="68"/>
      <c r="BZ563" s="68"/>
      <c r="CA563" s="68"/>
    </row>
    <row r="564" spans="2:79" s="5" customFormat="1" ht="13.5" customHeight="1">
      <c r="B564" s="5" t="s">
        <v>549</v>
      </c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227"/>
      <c r="R564" s="78"/>
      <c r="S564" s="75"/>
      <c r="T564" s="76"/>
      <c r="U564" s="76"/>
      <c r="V564" s="227"/>
      <c r="W564" s="227"/>
      <c r="X564" s="227"/>
      <c r="Y564" s="76"/>
      <c r="Z564" s="227"/>
      <c r="AA564" s="227"/>
      <c r="AB564" s="227"/>
      <c r="AC564" s="227"/>
      <c r="AD564" s="227"/>
      <c r="AE564" s="227"/>
      <c r="AF564" s="227"/>
      <c r="AG564" s="227"/>
      <c r="AH564" s="227"/>
      <c r="AI564" s="227"/>
      <c r="AJ564" s="227"/>
      <c r="AK564" s="227"/>
      <c r="AL564" s="227"/>
      <c r="AM564" s="227"/>
      <c r="AN564" s="227"/>
      <c r="AO564" s="227"/>
      <c r="AP564" s="227"/>
      <c r="AQ564" s="227"/>
      <c r="AR564" s="227"/>
      <c r="AS564" s="227"/>
      <c r="AT564" s="227"/>
      <c r="AU564" s="227"/>
      <c r="AV564" s="227"/>
      <c r="AW564" s="227"/>
      <c r="AX564" s="227"/>
      <c r="AY564" s="227"/>
      <c r="AZ564" s="227"/>
      <c r="BA564" s="227"/>
      <c r="BB564" s="227"/>
      <c r="BC564" s="227"/>
      <c r="BD564" s="227"/>
      <c r="BE564" s="227"/>
      <c r="BF564" s="227"/>
      <c r="BG564" s="142"/>
      <c r="BH564" s="227"/>
      <c r="BI564" s="227"/>
      <c r="BJ564" s="227"/>
      <c r="BK564" s="227"/>
      <c r="BL564" s="227"/>
      <c r="BM564" s="227"/>
      <c r="BO564" s="87"/>
      <c r="BP564" s="87"/>
      <c r="BQ564" s="87"/>
      <c r="BR564" s="87"/>
      <c r="BS564" s="87"/>
      <c r="BT564" s="87"/>
      <c r="BU564" s="87"/>
      <c r="BV564" s="87"/>
      <c r="BW564" s="87"/>
      <c r="BX564" s="87"/>
      <c r="BY564" s="87"/>
      <c r="BZ564" s="87"/>
      <c r="CA564" s="87"/>
    </row>
    <row r="565" spans="2:79" ht="13.5" customHeight="1">
      <c r="B565" s="1" t="s">
        <v>545</v>
      </c>
      <c r="C565" s="57">
        <f t="shared" ref="C565:E566" si="2014">C553/C541</f>
        <v>0.33862768685801092</v>
      </c>
      <c r="D565" s="57">
        <f t="shared" si="2014"/>
        <v>0.34244878475480284</v>
      </c>
      <c r="E565" s="57">
        <f t="shared" si="2014"/>
        <v>0.34407159210569466</v>
      </c>
      <c r="F565" s="57">
        <f t="shared" ref="F565:H566" si="2015">F553/F541</f>
        <v>0.34968060871649814</v>
      </c>
      <c r="G565" s="57">
        <f t="shared" si="2015"/>
        <v>0.35484302504759913</v>
      </c>
      <c r="H565" s="57">
        <f t="shared" si="2015"/>
        <v>0.35068130367922934</v>
      </c>
      <c r="I565" s="57">
        <f t="shared" ref="I565:K566" si="2016">I553/I541</f>
        <v>0.3411278311247341</v>
      </c>
      <c r="J565" s="57">
        <f t="shared" si="2016"/>
        <v>0.32538469382987373</v>
      </c>
      <c r="K565" s="57">
        <f t="shared" si="2016"/>
        <v>0.30072469968626658</v>
      </c>
      <c r="L565" s="57">
        <f t="shared" ref="L565:N566" si="2017">L553/L541</f>
        <v>0.31808431865733511</v>
      </c>
      <c r="M565" s="57">
        <f>M553/M541</f>
        <v>0.30552002935597272</v>
      </c>
      <c r="N565" s="57">
        <f t="shared" si="2017"/>
        <v>0.31336307682840209</v>
      </c>
      <c r="O565" s="57">
        <f>O553/O541</f>
        <v>0.336884729021244</v>
      </c>
      <c r="P565" s="57">
        <f>P553/P541</f>
        <v>0.35016947079018157</v>
      </c>
      <c r="Q565" s="57"/>
      <c r="R565" s="57">
        <f t="shared" ref="R565:W566" si="2018">R553/R541</f>
        <v>0.32982821901482279</v>
      </c>
      <c r="S565" s="57">
        <f t="shared" si="2018"/>
        <v>0.34368570483509175</v>
      </c>
      <c r="T565" s="57">
        <f t="shared" si="2018"/>
        <v>0.33980476122490677</v>
      </c>
      <c r="U565" s="57">
        <f t="shared" si="2018"/>
        <v>0.36034463491048224</v>
      </c>
      <c r="V565" s="57">
        <f t="shared" si="2018"/>
        <v>0.34372463743112641</v>
      </c>
      <c r="W565" s="57">
        <f t="shared" si="2018"/>
        <v>0.35230161730653864</v>
      </c>
      <c r="X565" s="57">
        <f>X553/X541</f>
        <v>0.34033906806954339</v>
      </c>
      <c r="Y565" s="57">
        <f t="shared" ref="Y565:AA566" si="2019">Y553/Y541</f>
        <v>0.36017393547648868</v>
      </c>
      <c r="Z565" s="57">
        <f t="shared" si="2019"/>
        <v>0.34900148286213384</v>
      </c>
      <c r="AA565" s="57">
        <f t="shared" si="2019"/>
        <v>0.35413224922650149</v>
      </c>
      <c r="AB565" s="57">
        <f t="shared" ref="AB565:AE566" si="2020">AB553/AB541</f>
        <v>0.34291848724932444</v>
      </c>
      <c r="AC565" s="57">
        <f t="shared" si="2020"/>
        <v>0.35562114455799776</v>
      </c>
      <c r="AD565" s="57">
        <f t="shared" si="2020"/>
        <v>0.31339513702926458</v>
      </c>
      <c r="AE565" s="57">
        <f t="shared" si="2020"/>
        <v>0.33256706155353355</v>
      </c>
      <c r="AF565" s="57">
        <f t="shared" ref="AF565:AI566" si="2021">AF553/AF541</f>
        <v>0.32116128291582674</v>
      </c>
      <c r="AG565" s="57">
        <f t="shared" si="2021"/>
        <v>0.33281496706598945</v>
      </c>
      <c r="AH565" s="57">
        <f t="shared" si="2021"/>
        <v>0.31078464454594912</v>
      </c>
      <c r="AI565" s="57">
        <f t="shared" si="2021"/>
        <v>0.27047780964186419</v>
      </c>
      <c r="AJ565" s="57">
        <f t="shared" ref="AJ565:AM566" si="2022">AJ553/AJ541</f>
        <v>0.27238800465363794</v>
      </c>
      <c r="AK565" s="57">
        <f t="shared" si="2022"/>
        <v>0.33308979780551479</v>
      </c>
      <c r="AL565" s="57">
        <f t="shared" si="2022"/>
        <v>0.30831963561000397</v>
      </c>
      <c r="AM565" s="57">
        <f t="shared" si="2022"/>
        <v>0.30838260024870251</v>
      </c>
      <c r="AN565" s="57">
        <f t="shared" ref="AN565:AQ566" si="2023">AN553/AN541</f>
        <v>0.31603034780318562</v>
      </c>
      <c r="AO565" s="57">
        <f t="shared" si="2023"/>
        <v>0.33425873388459426</v>
      </c>
      <c r="AP565" s="57">
        <f t="shared" si="2023"/>
        <v>0.29438437277217128</v>
      </c>
      <c r="AQ565" s="57">
        <f t="shared" si="2023"/>
        <v>0.31296902500735496</v>
      </c>
      <c r="AR565" s="57">
        <f t="shared" ref="AR565:AU566" si="2024">AR553/AR541</f>
        <v>0.30309320761558445</v>
      </c>
      <c r="AS565" s="57">
        <f t="shared" si="2024"/>
        <v>0.31083212348686107</v>
      </c>
      <c r="AT565" s="57">
        <f t="shared" si="2024"/>
        <v>0.29037538633247362</v>
      </c>
      <c r="AU565" s="57">
        <f t="shared" si="2024"/>
        <v>0.31552983173136867</v>
      </c>
      <c r="AV565" s="57">
        <f t="shared" ref="AV565:AY566" si="2025">AV553/AV541</f>
        <v>0.30976385215007612</v>
      </c>
      <c r="AW565" s="57">
        <f t="shared" si="2025"/>
        <v>0.33424530682118903</v>
      </c>
      <c r="AX565" s="57">
        <f t="shared" si="2025"/>
        <v>0.32254742488896315</v>
      </c>
      <c r="AY565" s="57">
        <f t="shared" ref="AY565:BD565" si="2026">AY553/AY541</f>
        <v>0.33671228020898863</v>
      </c>
      <c r="AZ565" s="57">
        <f t="shared" si="2026"/>
        <v>0.33706336762217443</v>
      </c>
      <c r="BA565" s="57">
        <f t="shared" si="2026"/>
        <v>0.34801457213117509</v>
      </c>
      <c r="BB565" s="57">
        <f t="shared" si="2026"/>
        <v>0.34530882488845271</v>
      </c>
      <c r="BC565" s="57">
        <f t="shared" si="2026"/>
        <v>0.35051578236632441</v>
      </c>
      <c r="BD565" s="57">
        <f t="shared" si="2026"/>
        <v>0.34519652735587358</v>
      </c>
      <c r="BE565" s="57">
        <f>BE553/BE541</f>
        <v>0.3576109144137144</v>
      </c>
      <c r="BF565" s="57">
        <f>BF553/BF541</f>
        <v>0.34846906963901636</v>
      </c>
      <c r="BG565" s="142"/>
      <c r="BH565" s="57"/>
      <c r="BI565" s="57"/>
      <c r="BJ565" s="57"/>
      <c r="BK565" s="57"/>
      <c r="BL565" s="57"/>
      <c r="BM565" s="57"/>
      <c r="BN565" s="57">
        <f t="shared" ref="BN565:BP566" si="2027">BN553/BN541</f>
        <v>0.33686389897415164</v>
      </c>
      <c r="BO565" s="57">
        <f t="shared" si="2027"/>
        <v>0.34808136527663369</v>
      </c>
      <c r="BP565" s="57">
        <f t="shared" si="2027"/>
        <v>0.3516268624361219</v>
      </c>
      <c r="BQ565" s="57">
        <f t="shared" ref="BQ565:BS566" si="2028">BQ553/BQ541</f>
        <v>0.32314534124419481</v>
      </c>
      <c r="BR565" s="57">
        <f t="shared" si="2028"/>
        <v>0.29321711665327976</v>
      </c>
      <c r="BS565" s="57">
        <f t="shared" si="2028"/>
        <v>0.30835229636636646</v>
      </c>
      <c r="BT565" s="57">
        <f t="shared" ref="BT565:BV566" si="2029">BT553/BT541</f>
        <v>0.30380809865109193</v>
      </c>
      <c r="BU565" s="57">
        <f t="shared" si="2029"/>
        <v>0.30279923902496658</v>
      </c>
      <c r="BV565" s="57">
        <f t="shared" si="2029"/>
        <v>0.32970709532122322</v>
      </c>
      <c r="BW565" s="57">
        <f>BW553/BW541</f>
        <v>0.34793192216934954</v>
      </c>
      <c r="BX565" s="77"/>
      <c r="BY565" s="77"/>
      <c r="BZ565" s="57">
        <f>BZ553/BZ541</f>
        <v>0.32314534124419481</v>
      </c>
      <c r="CA565" s="77"/>
    </row>
    <row r="566" spans="2:79" ht="13.5" customHeight="1" thickBot="1">
      <c r="B566" s="1" t="s">
        <v>533</v>
      </c>
      <c r="C566" s="342">
        <f t="shared" si="2014"/>
        <v>0.56816564028776895</v>
      </c>
      <c r="D566" s="342">
        <f t="shared" si="2014"/>
        <v>0.56610990136785266</v>
      </c>
      <c r="E566" s="342">
        <f t="shared" si="2014"/>
        <v>0.52653577497433801</v>
      </c>
      <c r="F566" s="342">
        <f t="shared" si="2015"/>
        <v>0.52921301801117149</v>
      </c>
      <c r="G566" s="342">
        <f t="shared" si="2015"/>
        <v>0.53048731308119323</v>
      </c>
      <c r="H566" s="342">
        <f t="shared" si="2015"/>
        <v>0.55266568634224278</v>
      </c>
      <c r="I566" s="342">
        <f t="shared" si="2016"/>
        <v>0.55899748135289451</v>
      </c>
      <c r="J566" s="342">
        <f t="shared" si="2016"/>
        <v>0.54653717364441179</v>
      </c>
      <c r="K566" s="342">
        <f t="shared" si="2016"/>
        <v>0.50671889011544458</v>
      </c>
      <c r="L566" s="342">
        <f t="shared" si="2017"/>
        <v>0.71751744856755806</v>
      </c>
      <c r="M566" s="342">
        <f>M554/M542</f>
        <v>0.41333065600814423</v>
      </c>
      <c r="N566" s="342">
        <f t="shared" si="2017"/>
        <v>0.35308060409531877</v>
      </c>
      <c r="O566" s="342">
        <f>O554/O542</f>
        <v>0.51864243457843806</v>
      </c>
      <c r="P566" s="342">
        <f>P554/P542</f>
        <v>0.58659654384447257</v>
      </c>
      <c r="Q566" s="57"/>
      <c r="R566" s="342">
        <f t="shared" si="2018"/>
        <v>0.54862251787992999</v>
      </c>
      <c r="S566" s="342">
        <f t="shared" si="2018"/>
        <v>0.50775864397585846</v>
      </c>
      <c r="T566" s="342">
        <f t="shared" si="2018"/>
        <v>0.54678719937418507</v>
      </c>
      <c r="U566" s="342">
        <f t="shared" si="2018"/>
        <v>0.50462215081658868</v>
      </c>
      <c r="V566" s="342">
        <f t="shared" si="2018"/>
        <v>0.51692475376817915</v>
      </c>
      <c r="W566" s="342">
        <f t="shared" si="2018"/>
        <v>0.50462633048532213</v>
      </c>
      <c r="X566" s="342">
        <f>X554/X542</f>
        <v>0.55027283065385013</v>
      </c>
      <c r="Y566" s="342">
        <f t="shared" si="2019"/>
        <v>0.54623050650554439</v>
      </c>
      <c r="Z566" s="342">
        <f t="shared" si="2019"/>
        <v>0.57053352397955692</v>
      </c>
      <c r="AA566" s="342">
        <f t="shared" si="2019"/>
        <v>0.56836793528638296</v>
      </c>
      <c r="AB566" s="342">
        <f t="shared" si="2020"/>
        <v>0.50782203558710814</v>
      </c>
      <c r="AC566" s="342">
        <f t="shared" si="2020"/>
        <v>0.56573248972078061</v>
      </c>
      <c r="AD566" s="342">
        <f t="shared" si="2020"/>
        <v>0.56292748123813874</v>
      </c>
      <c r="AE566" s="342">
        <f t="shared" si="2020"/>
        <v>0.58936564017648896</v>
      </c>
      <c r="AF566" s="342">
        <f t="shared" si="2021"/>
        <v>0.55875135143118604</v>
      </c>
      <c r="AG566" s="342">
        <f t="shared" si="2021"/>
        <v>0.47761594166256199</v>
      </c>
      <c r="AH566" s="342">
        <f t="shared" si="2021"/>
        <v>0.49855281682905189</v>
      </c>
      <c r="AI566" s="342">
        <f t="shared" si="2021"/>
        <v>0.31604378142614864</v>
      </c>
      <c r="AJ566" s="342">
        <f t="shared" si="2022"/>
        <v>0.51907416667302153</v>
      </c>
      <c r="AK566" s="342">
        <f t="shared" si="2022"/>
        <v>0.71748129523034732</v>
      </c>
      <c r="AL566" s="342">
        <f t="shared" si="2022"/>
        <v>0.80711130983676871</v>
      </c>
      <c r="AM566" s="342">
        <f t="shared" si="2022"/>
        <v>0.73741752396564841</v>
      </c>
      <c r="AN566" s="342">
        <f t="shared" si="2023"/>
        <v>0.71348374915450685</v>
      </c>
      <c r="AO566" s="342">
        <f t="shared" si="2023"/>
        <v>0.6364494581387965</v>
      </c>
      <c r="AP566" s="342">
        <f t="shared" si="2023"/>
        <v>0.56460390430119467</v>
      </c>
      <c r="AQ566" s="342">
        <f t="shared" si="2023"/>
        <v>0.44045369225832598</v>
      </c>
      <c r="AR566" s="342">
        <f t="shared" si="2024"/>
        <v>0.39440777081531714</v>
      </c>
      <c r="AS566" s="342">
        <f t="shared" si="2024"/>
        <v>0.28914654195920975</v>
      </c>
      <c r="AT566" s="342">
        <f t="shared" si="2024"/>
        <v>0.30801578285783149</v>
      </c>
      <c r="AU566" s="342">
        <f t="shared" si="2024"/>
        <v>0.30851274513672705</v>
      </c>
      <c r="AV566" s="342">
        <f t="shared" si="2025"/>
        <v>0.42879771622724222</v>
      </c>
      <c r="AW566" s="342">
        <f t="shared" si="2025"/>
        <v>0.36535196917048457</v>
      </c>
      <c r="AX566" s="342">
        <f t="shared" si="2025"/>
        <v>0.46845965410936785</v>
      </c>
      <c r="AY566" s="342">
        <f t="shared" si="2025"/>
        <v>0.46668502228453546</v>
      </c>
      <c r="AZ566" s="342">
        <f>AZ554/AZ542</f>
        <v>0.57584559612162445</v>
      </c>
      <c r="BA566" s="342">
        <f>BA554/BA542</f>
        <v>0.56656583206539912</v>
      </c>
      <c r="BB566" s="342">
        <f>BB554/BB542</f>
        <v>0.63033050926313428</v>
      </c>
      <c r="BC566" s="342">
        <f>BC554/BC542</f>
        <v>0.59344263702049549</v>
      </c>
      <c r="BD566" s="342">
        <f>BD554/BD542</f>
        <v>0.58673353846642007</v>
      </c>
      <c r="BE566" s="342">
        <f>BE554/BE542</f>
        <v>0.54049448277837842</v>
      </c>
      <c r="BF566" s="342">
        <f>BF554/BF542</f>
        <v>0.61231303276854065</v>
      </c>
      <c r="BG566" s="142"/>
      <c r="BH566" s="342"/>
      <c r="BI566" s="342"/>
      <c r="BJ566" s="342"/>
      <c r="BK566" s="342"/>
      <c r="BL566" s="342"/>
      <c r="BM566" s="57"/>
      <c r="BN566" s="342">
        <f t="shared" si="2027"/>
        <v>0.52775745455138934</v>
      </c>
      <c r="BO566" s="342">
        <f t="shared" si="2027"/>
        <v>0.51065701424998766</v>
      </c>
      <c r="BP566" s="342">
        <f t="shared" si="2027"/>
        <v>0.56943287666683895</v>
      </c>
      <c r="BQ566" s="342">
        <f t="shared" si="2028"/>
        <v>0.57643888578871849</v>
      </c>
      <c r="BR566" s="342">
        <f t="shared" si="2028"/>
        <v>0.41453561929214194</v>
      </c>
      <c r="BS566" s="342">
        <f t="shared" si="2028"/>
        <v>0.77247924602502627</v>
      </c>
      <c r="BT566" s="342">
        <f t="shared" si="2029"/>
        <v>0.49759199906625301</v>
      </c>
      <c r="BU566" s="342">
        <f t="shared" si="2029"/>
        <v>0.30826312705785341</v>
      </c>
      <c r="BV566" s="342">
        <f t="shared" si="2029"/>
        <v>0.46758470953901521</v>
      </c>
      <c r="BW566" s="342">
        <f>BW554/BW542</f>
        <v>0.61156573715616114</v>
      </c>
      <c r="BX566" s="77"/>
      <c r="BY566" s="77"/>
      <c r="BZ566" s="342">
        <f>BZ554/BZ542</f>
        <v>0.57643888578871849</v>
      </c>
      <c r="CA566" s="77"/>
    </row>
    <row r="567" spans="2:79" ht="13.5" customHeight="1" thickTop="1">
      <c r="B567" s="5" t="s">
        <v>531</v>
      </c>
      <c r="C567" s="227">
        <f t="shared" ref="C567:H567" si="2030">C556/C544</f>
        <v>0.35535720395216236</v>
      </c>
      <c r="D567" s="227">
        <f t="shared" si="2030"/>
        <v>0.35909356458613984</v>
      </c>
      <c r="E567" s="227">
        <f t="shared" si="2030"/>
        <v>0.35873264066365051</v>
      </c>
      <c r="F567" s="227">
        <f t="shared" si="2030"/>
        <v>0.36417843707843456</v>
      </c>
      <c r="G567" s="227">
        <f t="shared" si="2030"/>
        <v>0.36912360951435264</v>
      </c>
      <c r="H567" s="227">
        <f t="shared" si="2030"/>
        <v>0.36714143392013898</v>
      </c>
      <c r="I567" s="227">
        <f t="shared" ref="I567:N567" si="2031">I556/I544</f>
        <v>0.37085635138962608</v>
      </c>
      <c r="J567" s="227">
        <f t="shared" si="2031"/>
        <v>0.35727859650023247</v>
      </c>
      <c r="K567" s="227">
        <f t="shared" si="2031"/>
        <v>0.32656426632144964</v>
      </c>
      <c r="L567" s="227">
        <f t="shared" si="2031"/>
        <v>0.3576554484914713</v>
      </c>
      <c r="M567" s="227">
        <f>M556/M544</f>
        <v>0.32150733310741386</v>
      </c>
      <c r="N567" s="227">
        <f t="shared" si="2031"/>
        <v>0.32003923974851894</v>
      </c>
      <c r="O567" s="227">
        <f>O556/O544</f>
        <v>0.36427509144011422</v>
      </c>
      <c r="P567" s="227">
        <f>P556/P544</f>
        <v>0.38520689892565241</v>
      </c>
      <c r="Q567" s="227"/>
      <c r="R567" s="227">
        <f t="shared" ref="R567:W567" si="2032">R556/R544</f>
        <v>0.34731554167931522</v>
      </c>
      <c r="S567" s="227">
        <f t="shared" si="2032"/>
        <v>0.35693951819007752</v>
      </c>
      <c r="T567" s="227">
        <f t="shared" si="2032"/>
        <v>0.35748492501945345</v>
      </c>
      <c r="U567" s="227">
        <f t="shared" si="2032"/>
        <v>0.37130436625279689</v>
      </c>
      <c r="V567" s="227">
        <f t="shared" si="2032"/>
        <v>0.35833004589915735</v>
      </c>
      <c r="W567" s="227">
        <f t="shared" si="2032"/>
        <v>0.36522602044574209</v>
      </c>
      <c r="X567" s="227">
        <f t="shared" ref="X567:AC567" si="2033">X556/X544</f>
        <v>0.35795532572493094</v>
      </c>
      <c r="Y567" s="227">
        <f t="shared" si="2033"/>
        <v>0.37347112482325462</v>
      </c>
      <c r="Z567" s="227">
        <f t="shared" si="2033"/>
        <v>0.36703809344551613</v>
      </c>
      <c r="AA567" s="227">
        <f t="shared" si="2033"/>
        <v>0.37135491421796946</v>
      </c>
      <c r="AB567" s="227">
        <f t="shared" si="2033"/>
        <v>0.35739979239766917</v>
      </c>
      <c r="AC567" s="227">
        <f t="shared" si="2033"/>
        <v>0.37182297237262069</v>
      </c>
      <c r="AD567" s="227">
        <f t="shared" ref="AD567:AI567" si="2034">AD556/AD544</f>
        <v>0.3494391404665253</v>
      </c>
      <c r="AE567" s="227">
        <f t="shared" si="2034"/>
        <v>0.36997799344394128</v>
      </c>
      <c r="AF567" s="227">
        <f t="shared" si="2034"/>
        <v>0.35774811175754001</v>
      </c>
      <c r="AG567" s="227">
        <f t="shared" si="2034"/>
        <v>0.3522680900786942</v>
      </c>
      <c r="AH567" s="227">
        <f t="shared" si="2034"/>
        <v>0.3402250488117452</v>
      </c>
      <c r="AI567" s="227">
        <f t="shared" si="2034"/>
        <v>0.27823958714827696</v>
      </c>
      <c r="AJ567" s="227">
        <f t="shared" ref="AJ567:AO567" si="2035">AJ556/AJ544</f>
        <v>0.29903882207776228</v>
      </c>
      <c r="AK567" s="227">
        <f t="shared" si="2035"/>
        <v>0.36768162149281752</v>
      </c>
      <c r="AL567" s="227">
        <f t="shared" si="2035"/>
        <v>0.360856444061672</v>
      </c>
      <c r="AM567" s="227">
        <f t="shared" si="2035"/>
        <v>0.35016489253213756</v>
      </c>
      <c r="AN567" s="227">
        <f t="shared" si="2035"/>
        <v>0.3543231602580576</v>
      </c>
      <c r="AO567" s="227">
        <f t="shared" si="2035"/>
        <v>0.36391814776667092</v>
      </c>
      <c r="AP567" s="227">
        <f t="shared" ref="AP567:AU567" si="2036">AP556/AP544</f>
        <v>0.33006889232623399</v>
      </c>
      <c r="AQ567" s="227">
        <f t="shared" si="2036"/>
        <v>0.33181423950259836</v>
      </c>
      <c r="AR567" s="227">
        <f t="shared" si="2036"/>
        <v>0.3178881483453892</v>
      </c>
      <c r="AS567" s="227">
        <f t="shared" si="2036"/>
        <v>0.30756235235885376</v>
      </c>
      <c r="AT567" s="227">
        <f t="shared" si="2036"/>
        <v>0.29341104448246974</v>
      </c>
      <c r="AU567" s="227">
        <f t="shared" si="2036"/>
        <v>0.31430698139722085</v>
      </c>
      <c r="AV567" s="227">
        <f t="shared" ref="AV567:BA567" si="2037">AV556/AV544</f>
        <v>0.33108318576004953</v>
      </c>
      <c r="AW567" s="227">
        <f t="shared" si="2037"/>
        <v>0.33890427278839014</v>
      </c>
      <c r="AX567" s="227">
        <f t="shared" si="2037"/>
        <v>0.34652931330745917</v>
      </c>
      <c r="AY567" s="227">
        <f t="shared" si="2037"/>
        <v>0.35720191620388231</v>
      </c>
      <c r="AZ567" s="227">
        <f t="shared" si="2037"/>
        <v>0.37416797844260585</v>
      </c>
      <c r="BA567" s="227">
        <f t="shared" si="2037"/>
        <v>0.37646830154095806</v>
      </c>
      <c r="BB567" s="227">
        <f>BB556/BB544</f>
        <v>0.38824820321781728</v>
      </c>
      <c r="BC567" s="227">
        <f>BC556/BC544</f>
        <v>0.3877307402881644</v>
      </c>
      <c r="BD567" s="227">
        <f>BD556/BD544</f>
        <v>0.38346438698479002</v>
      </c>
      <c r="BE567" s="227">
        <f>BE556/BE544</f>
        <v>0.382097584091457</v>
      </c>
      <c r="BF567" s="227">
        <f>BF556/BF544</f>
        <v>0.39381723911098721</v>
      </c>
      <c r="BG567" s="142"/>
      <c r="BH567" s="227"/>
      <c r="BI567" s="227"/>
      <c r="BJ567" s="227"/>
      <c r="BK567" s="227"/>
      <c r="BL567" s="227"/>
      <c r="BM567" s="227"/>
      <c r="BN567" s="227">
        <f t="shared" ref="BN567:BS567" si="2038">BN556/BN544</f>
        <v>0.35220404950368606</v>
      </c>
      <c r="BO567" s="227">
        <f t="shared" si="2038"/>
        <v>0.36183387764557584</v>
      </c>
      <c r="BP567" s="227">
        <f t="shared" si="2038"/>
        <v>0.36924577781512807</v>
      </c>
      <c r="BQ567" s="227">
        <f t="shared" si="2038"/>
        <v>0.35989193892507881</v>
      </c>
      <c r="BR567" s="227">
        <f t="shared" si="2038"/>
        <v>0.31296183602552191</v>
      </c>
      <c r="BS567" s="227">
        <f t="shared" si="2038"/>
        <v>0.35533415837042509</v>
      </c>
      <c r="BT567" s="227">
        <f>BT556/BT544</f>
        <v>0.33096190202022574</v>
      </c>
      <c r="BU567" s="227">
        <f>BU556/BU544</f>
        <v>0.30374539154470359</v>
      </c>
      <c r="BV567" s="227">
        <f>BV556/BV544</f>
        <v>0.35190246802387043</v>
      </c>
      <c r="BW567" s="227">
        <f>BW556/BW544</f>
        <v>0.38798713449113398</v>
      </c>
      <c r="BX567" s="76"/>
      <c r="BY567" s="76"/>
      <c r="BZ567" s="227">
        <f>BZ556/BZ544</f>
        <v>0.35989193892507881</v>
      </c>
      <c r="CA567" s="76"/>
    </row>
    <row r="568" spans="2:79" ht="13.5" customHeight="1"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227"/>
      <c r="R568" s="78"/>
      <c r="S568" s="78"/>
      <c r="T568" s="227"/>
      <c r="U568" s="57"/>
      <c r="V568" s="227"/>
      <c r="W568" s="227"/>
      <c r="X568" s="227"/>
      <c r="Y568" s="57"/>
      <c r="Z568" s="227"/>
      <c r="AA568" s="227"/>
      <c r="AB568" s="227"/>
      <c r="AC568" s="227"/>
      <c r="AD568" s="227"/>
      <c r="AE568" s="227"/>
      <c r="AF568" s="227"/>
      <c r="AG568" s="227"/>
      <c r="AH568" s="227"/>
      <c r="AI568" s="227"/>
      <c r="AJ568" s="227"/>
      <c r="AK568" s="227"/>
      <c r="AL568" s="227"/>
      <c r="AM568" s="227"/>
      <c r="AN568" s="227"/>
      <c r="AO568" s="227"/>
      <c r="AP568" s="227"/>
      <c r="AQ568" s="227"/>
      <c r="AR568" s="227"/>
      <c r="AS568" s="227"/>
      <c r="AT568" s="227"/>
      <c r="AU568" s="227"/>
      <c r="AV568" s="227"/>
      <c r="AW568" s="227"/>
      <c r="AX568" s="227"/>
      <c r="AY568" s="227"/>
      <c r="AZ568" s="227"/>
      <c r="BA568" s="227"/>
      <c r="BB568" s="227"/>
      <c r="BC568" s="227"/>
      <c r="BD568" s="227"/>
      <c r="BE568" s="227"/>
      <c r="BF568" s="227"/>
      <c r="BG568" s="142"/>
      <c r="BH568" s="227"/>
      <c r="BI568" s="227"/>
      <c r="BJ568" s="227"/>
      <c r="BK568" s="227"/>
      <c r="BL568" s="227"/>
      <c r="BM568" s="227"/>
      <c r="BN568" s="343"/>
      <c r="BO568" s="343"/>
      <c r="BP568" s="343"/>
      <c r="BQ568" s="343"/>
      <c r="BR568" s="343"/>
      <c r="BS568" s="343"/>
      <c r="BT568" s="343"/>
      <c r="BU568" s="343"/>
      <c r="BV568" s="343"/>
      <c r="BW568" s="343"/>
      <c r="BX568" s="68"/>
      <c r="BY568" s="68"/>
      <c r="BZ568" s="343"/>
      <c r="CA568" s="68"/>
    </row>
    <row r="569" spans="2:79" s="5" customFormat="1" ht="13.5" customHeight="1">
      <c r="B569" s="5" t="s">
        <v>550</v>
      </c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227"/>
      <c r="R569" s="78"/>
      <c r="S569" s="78"/>
      <c r="T569" s="227"/>
      <c r="U569" s="227"/>
      <c r="V569" s="227"/>
      <c r="W569" s="227"/>
      <c r="X569" s="227"/>
      <c r="Y569" s="227"/>
      <c r="Z569" s="227"/>
      <c r="AA569" s="227"/>
      <c r="AB569" s="227"/>
      <c r="AC569" s="227"/>
      <c r="AD569" s="227"/>
      <c r="AE569" s="227"/>
      <c r="AF569" s="227"/>
      <c r="AG569" s="227"/>
      <c r="AH569" s="227"/>
      <c r="AI569" s="227"/>
      <c r="AJ569" s="227"/>
      <c r="AK569" s="227"/>
      <c r="AL569" s="227"/>
      <c r="AM569" s="227"/>
      <c r="AN569" s="227"/>
      <c r="AO569" s="227"/>
      <c r="AP569" s="227"/>
      <c r="AQ569" s="227"/>
      <c r="AR569" s="227"/>
      <c r="AS569" s="227"/>
      <c r="AT569" s="227"/>
      <c r="AU569" s="227"/>
      <c r="AV569" s="227"/>
      <c r="AW569" s="227"/>
      <c r="AX569" s="227"/>
      <c r="AY569" s="227"/>
      <c r="AZ569" s="227"/>
      <c r="BA569" s="227"/>
      <c r="BB569" s="227"/>
      <c r="BC569" s="227"/>
      <c r="BD569" s="227"/>
      <c r="BE569" s="227"/>
      <c r="BF569" s="227"/>
      <c r="BG569" s="142"/>
      <c r="BH569" s="227"/>
      <c r="BI569" s="227"/>
      <c r="BJ569" s="227"/>
      <c r="BK569" s="227"/>
      <c r="BL569" s="227"/>
      <c r="BM569" s="227"/>
      <c r="BN569" s="344"/>
      <c r="BO569" s="344"/>
      <c r="BP569" s="344"/>
      <c r="BQ569" s="344"/>
      <c r="BR569" s="344"/>
      <c r="BS569" s="344"/>
      <c r="BT569" s="344"/>
      <c r="BU569" s="344"/>
      <c r="BV569" s="344"/>
      <c r="BW569" s="344"/>
      <c r="BX569" s="87"/>
      <c r="BY569" s="87"/>
      <c r="BZ569" s="344"/>
      <c r="CA569" s="87"/>
    </row>
    <row r="570" spans="2:79" ht="13.5" customHeight="1">
      <c r="B570" s="1" t="s">
        <v>545</v>
      </c>
      <c r="C570" s="57">
        <f t="shared" ref="C570:E571" si="2039">C559/C541</f>
        <v>0.10162282522722907</v>
      </c>
      <c r="D570" s="57">
        <f t="shared" si="2039"/>
        <v>0.10065584069770331</v>
      </c>
      <c r="E570" s="57">
        <f t="shared" si="2039"/>
        <v>0.11860174447643868</v>
      </c>
      <c r="F570" s="57">
        <f t="shared" ref="F570:H571" si="2040">F559/F541</f>
        <v>9.9851426543187932E-2</v>
      </c>
      <c r="G570" s="57">
        <f t="shared" si="2040"/>
        <v>0.10025027699922429</v>
      </c>
      <c r="H570" s="57">
        <f t="shared" si="2040"/>
        <v>9.3586262591330904E-2</v>
      </c>
      <c r="I570" s="57">
        <f t="shared" ref="I570:K571" si="2041">I559/I541</f>
        <v>7.3573142994040663E-2</v>
      </c>
      <c r="J570" s="57">
        <f t="shared" si="2041"/>
        <v>5.1053578068772643E-2</v>
      </c>
      <c r="K570" s="57">
        <f t="shared" si="2041"/>
        <v>1.8475182004967228E-2</v>
      </c>
      <c r="L570" s="57">
        <f t="shared" ref="L570:N571" si="2042">L559/L541</f>
        <v>7.5093185267642526E-2</v>
      </c>
      <c r="M570" s="57">
        <f>M559/M541</f>
        <v>2.8989934815049689E-2</v>
      </c>
      <c r="N570" s="57">
        <f t="shared" si="2042"/>
        <v>5.2116046235220342E-2</v>
      </c>
      <c r="O570" s="57">
        <f>O559/O541</f>
        <v>8.9141578634581206E-2</v>
      </c>
      <c r="P570" s="57">
        <f>P559/P541</f>
        <v>0.21611212304958452</v>
      </c>
      <c r="Q570" s="57"/>
      <c r="R570" s="57">
        <f t="shared" ref="R570:W571" si="2043">R559/R541</f>
        <v>8.6009703796914305E-2</v>
      </c>
      <c r="S570" s="57">
        <f t="shared" si="2043"/>
        <v>9.6787931965555005E-2</v>
      </c>
      <c r="T570" s="57">
        <f t="shared" si="2043"/>
        <v>0.15675860083793811</v>
      </c>
      <c r="U570" s="57">
        <f t="shared" si="2043"/>
        <v>0.1335580646429031</v>
      </c>
      <c r="V570" s="57">
        <f t="shared" si="2043"/>
        <v>9.3880239878889618E-2</v>
      </c>
      <c r="W570" s="57">
        <f t="shared" si="2043"/>
        <v>0.10243385840272969</v>
      </c>
      <c r="X570" s="57">
        <f>X559/X541</f>
        <v>7.5005308578265137E-2</v>
      </c>
      <c r="Y570" s="57">
        <f t="shared" ref="Y570:AA571" si="2044">Y559/Y541</f>
        <v>0.12329431555581062</v>
      </c>
      <c r="Z570" s="57">
        <f t="shared" si="2044"/>
        <v>9.4645032037273341E-2</v>
      </c>
      <c r="AA570" s="57">
        <f t="shared" si="2044"/>
        <v>9.3474598820406957E-2</v>
      </c>
      <c r="AB570" s="57">
        <f t="shared" ref="AB570:AE571" si="2045">AB559/AB541</f>
        <v>7.4604998166629355E-2</v>
      </c>
      <c r="AC570" s="57">
        <f t="shared" si="2045"/>
        <v>0.10889288289839004</v>
      </c>
      <c r="AD570" s="57">
        <f t="shared" si="2045"/>
        <v>4.4973460466857761E-2</v>
      </c>
      <c r="AE570" s="57">
        <f t="shared" si="2045"/>
        <v>6.1482741550653544E-2</v>
      </c>
      <c r="AF570" s="57">
        <f t="shared" ref="AF570:AI571" si="2046">AF559/AF541</f>
        <v>3.7816934621785647E-2</v>
      </c>
      <c r="AG570" s="57">
        <f t="shared" si="2046"/>
        <v>5.8082601072921E-2</v>
      </c>
      <c r="AH570" s="57">
        <f t="shared" si="2046"/>
        <v>1.8518789326467878E-2</v>
      </c>
      <c r="AI570" s="57">
        <f t="shared" si="2046"/>
        <v>-9.6269977133627588E-2</v>
      </c>
      <c r="AJ570" s="57">
        <f t="shared" ref="AJ570:AL571" si="2047">AJ559/AJ541</f>
        <v>1.4138784501980415E-2</v>
      </c>
      <c r="AK570" s="57">
        <f t="shared" si="2047"/>
        <v>8.356006271133129E-2</v>
      </c>
      <c r="AL570" s="57">
        <f t="shared" si="2047"/>
        <v>6.2946662993487307E-2</v>
      </c>
      <c r="AM570" s="57">
        <f t="shared" ref="AM570:AP571" si="2048">AM559/AM541</f>
        <v>7.1834067834128476E-2</v>
      </c>
      <c r="AN570" s="57">
        <f t="shared" si="2048"/>
        <v>7.8862263741840147E-2</v>
      </c>
      <c r="AO570" s="57">
        <f t="shared" si="2048"/>
        <v>8.3095827636567032E-2</v>
      </c>
      <c r="AP570" s="57">
        <f t="shared" si="2048"/>
        <v>3.796404515495392E-2</v>
      </c>
      <c r="AQ570" s="57">
        <f t="shared" ref="AQ570:AT571" si="2049">AQ559/AQ541</f>
        <v>7.031059125593063E-2</v>
      </c>
      <c r="AR570" s="57">
        <f t="shared" si="2049"/>
        <v>1.833942767358419E-2</v>
      </c>
      <c r="AS570" s="57">
        <f t="shared" si="2049"/>
        <v>-8.3010933016683056E-3</v>
      </c>
      <c r="AT570" s="57">
        <f t="shared" si="2049"/>
        <v>3.8507763042865089E-3</v>
      </c>
      <c r="AU570" s="57">
        <f t="shared" ref="AU570:AX571" si="2050">AU559/AU541</f>
        <v>9.9887264633346476E-2</v>
      </c>
      <c r="AV570" s="57">
        <f t="shared" si="2050"/>
        <v>1.3115925447560668E-2</v>
      </c>
      <c r="AW570" s="57">
        <f t="shared" si="2050"/>
        <v>8.5948855911898173E-2</v>
      </c>
      <c r="AX570" s="57">
        <f t="shared" si="2050"/>
        <v>5.4941579841412895E-2</v>
      </c>
      <c r="AY570" s="57">
        <f t="shared" ref="AY570:BB571" si="2051">AY559/AY541</f>
        <v>0.10931543746376093</v>
      </c>
      <c r="AZ570" s="57">
        <f t="shared" si="2051"/>
        <v>5.9111711512334894E-2</v>
      </c>
      <c r="BA570" s="57">
        <f t="shared" si="2051"/>
        <v>0.12310536464865396</v>
      </c>
      <c r="BB570" s="57">
        <f t="shared" si="2051"/>
        <v>9.1474963206660376E-2</v>
      </c>
      <c r="BC570" s="57">
        <f t="shared" ref="BC570:BF571" si="2052">BC559/BC541</f>
        <v>0.25133536492805031</v>
      </c>
      <c r="BD570" s="57">
        <f t="shared" si="2052"/>
        <v>8.1170300890491653E-2</v>
      </c>
      <c r="BE570" s="57">
        <f t="shared" si="2052"/>
        <v>0.39164631955766577</v>
      </c>
      <c r="BF570" s="57">
        <f t="shared" si="2052"/>
        <v>9.4416073854138721E-2</v>
      </c>
      <c r="BG570" s="142"/>
      <c r="BH570" s="57"/>
      <c r="BI570" s="57"/>
      <c r="BJ570" s="57"/>
      <c r="BK570" s="57"/>
      <c r="BL570" s="57"/>
      <c r="BM570" s="57"/>
      <c r="BN570" s="57">
        <f t="shared" ref="BN570:BP571" si="2053">BN559/BN541</f>
        <v>9.1481911398130084E-2</v>
      </c>
      <c r="BO570" s="57">
        <f t="shared" si="2053"/>
        <v>9.822510458268259E-2</v>
      </c>
      <c r="BP570" s="57">
        <f t="shared" si="2053"/>
        <v>9.4046129019272229E-2</v>
      </c>
      <c r="BQ570" s="57">
        <f t="shared" ref="BQ570:BS571" si="2054">BQ559/BQ541</f>
        <v>5.3369532640255291E-2</v>
      </c>
      <c r="BR570" s="57">
        <f t="shared" si="2054"/>
        <v>-3.151130758765374E-2</v>
      </c>
      <c r="BS570" s="57">
        <f t="shared" si="2054"/>
        <v>6.7556700789233981E-2</v>
      </c>
      <c r="BT570" s="57">
        <f t="shared" ref="BT570:BV571" si="2055">BT559/BT541</f>
        <v>5.4366019199342558E-2</v>
      </c>
      <c r="BU570" s="57">
        <f t="shared" si="2055"/>
        <v>5.1283473196779526E-2</v>
      </c>
      <c r="BV570" s="57">
        <f t="shared" si="2055"/>
        <v>8.242501626990055E-2</v>
      </c>
      <c r="BW570" s="57">
        <f>BW559/BW541</f>
        <v>0.1720074789532362</v>
      </c>
      <c r="BX570" s="77"/>
      <c r="BY570" s="77"/>
      <c r="BZ570" s="57">
        <f>BZ559/BZ541</f>
        <v>5.3369532640255277E-2</v>
      </c>
      <c r="CA570" s="77"/>
    </row>
    <row r="571" spans="2:79" ht="13.5" customHeight="1" thickBot="1">
      <c r="B571" s="61" t="s">
        <v>533</v>
      </c>
      <c r="C571" s="342">
        <f t="shared" si="2039"/>
        <v>0.18725760170004024</v>
      </c>
      <c r="D571" s="342">
        <f t="shared" si="2039"/>
        <v>0.19800042336736304</v>
      </c>
      <c r="E571" s="342">
        <f t="shared" si="2039"/>
        <v>0.16413372042848667</v>
      </c>
      <c r="F571" s="342">
        <f t="shared" si="2040"/>
        <v>0.15169189913092337</v>
      </c>
      <c r="G571" s="342">
        <f t="shared" si="2040"/>
        <v>0.15117555300019758</v>
      </c>
      <c r="H571" s="342">
        <f t="shared" si="2040"/>
        <v>0.14501251053364658</v>
      </c>
      <c r="I571" s="342">
        <f t="shared" si="2041"/>
        <v>0.25125251047815955</v>
      </c>
      <c r="J571" s="342">
        <f t="shared" si="2041"/>
        <v>0.23217555272714993</v>
      </c>
      <c r="K571" s="342">
        <f t="shared" si="2041"/>
        <v>0.14177762584388454</v>
      </c>
      <c r="L571" s="342">
        <f t="shared" si="2042"/>
        <v>0.27415799258970586</v>
      </c>
      <c r="M571" s="342">
        <f>M560/M542</f>
        <v>7.7656941177095484E-2</v>
      </c>
      <c r="N571" s="342">
        <f t="shared" si="2042"/>
        <v>1.1748781496761731E-2</v>
      </c>
      <c r="O571" s="342">
        <f>O560/O542</f>
        <v>0.14247682268871828</v>
      </c>
      <c r="P571" s="342">
        <f>P560/P542</f>
        <v>0.20424858546903649</v>
      </c>
      <c r="Q571" s="57"/>
      <c r="R571" s="342">
        <f t="shared" si="2043"/>
        <v>0.18459570696482766</v>
      </c>
      <c r="S571" s="342">
        <f t="shared" si="2043"/>
        <v>0.14789494512833645</v>
      </c>
      <c r="T571" s="342">
        <f t="shared" si="2043"/>
        <v>0.17409426538975228</v>
      </c>
      <c r="U571" s="342">
        <f t="shared" si="2043"/>
        <v>0.15126619488833085</v>
      </c>
      <c r="V571" s="342">
        <f t="shared" si="2043"/>
        <v>0.14950518555049566</v>
      </c>
      <c r="W571" s="342">
        <f t="shared" si="2043"/>
        <v>0.13895906973985353</v>
      </c>
      <c r="X571" s="342">
        <f>X560/X542</f>
        <v>0.16437902349934608</v>
      </c>
      <c r="Y571" s="342">
        <f t="shared" si="2044"/>
        <v>0.15456022490989352</v>
      </c>
      <c r="Z571" s="342">
        <f t="shared" si="2044"/>
        <v>0.15991618812886346</v>
      </c>
      <c r="AA571" s="342">
        <f t="shared" si="2044"/>
        <v>0.16626587094213649</v>
      </c>
      <c r="AB571" s="342">
        <f t="shared" si="2045"/>
        <v>0.10109582379244046</v>
      </c>
      <c r="AC571" s="342">
        <f t="shared" si="2045"/>
        <v>0.15466949265877175</v>
      </c>
      <c r="AD571" s="342">
        <f t="shared" si="2045"/>
        <v>0.25630854030563571</v>
      </c>
      <c r="AE571" s="342">
        <f t="shared" si="2045"/>
        <v>0.28226949134892892</v>
      </c>
      <c r="AF571" s="342">
        <f t="shared" si="2046"/>
        <v>0.23621045248813047</v>
      </c>
      <c r="AG571" s="342">
        <f t="shared" si="2046"/>
        <v>0.15699055323688896</v>
      </c>
      <c r="AH571" s="342">
        <f t="shared" si="2046"/>
        <v>0.17297028760879363</v>
      </c>
      <c r="AI571" s="342">
        <f t="shared" si="2046"/>
        <v>-2.0137970244432117E-4</v>
      </c>
      <c r="AJ571" s="342">
        <f t="shared" si="2047"/>
        <v>0.13301486913261723</v>
      </c>
      <c r="AK571" s="342">
        <f t="shared" si="2047"/>
        <v>0.26798197416231778</v>
      </c>
      <c r="AL571" s="342">
        <f t="shared" si="2047"/>
        <v>0.37610988512774934</v>
      </c>
      <c r="AM571" s="342">
        <f t="shared" si="2048"/>
        <v>0.28319318829926965</v>
      </c>
      <c r="AN571" s="342">
        <f t="shared" si="2048"/>
        <v>0.24810087164310177</v>
      </c>
      <c r="AO571" s="342">
        <f t="shared" si="2048"/>
        <v>0.21004063505999604</v>
      </c>
      <c r="AP571" s="342">
        <f t="shared" si="2048"/>
        <v>0.19874963316966138</v>
      </c>
      <c r="AQ571" s="342">
        <f t="shared" si="2049"/>
        <v>0.10661007273374808</v>
      </c>
      <c r="AR571" s="342">
        <f t="shared" si="2049"/>
        <v>7.1639298994926021E-2</v>
      </c>
      <c r="AS571" s="342">
        <f t="shared" si="2049"/>
        <v>-3.7200654151091223E-2</v>
      </c>
      <c r="AT571" s="342">
        <f t="shared" si="2049"/>
        <v>-1.770135938469019E-3</v>
      </c>
      <c r="AU571" s="342">
        <f t="shared" si="2050"/>
        <v>-1.7440184971136398E-2</v>
      </c>
      <c r="AV571" s="342">
        <f t="shared" si="2050"/>
        <v>8.5111121022020966E-2</v>
      </c>
      <c r="AW571" s="342">
        <f t="shared" si="2050"/>
        <v>-2.0868591159312784E-2</v>
      </c>
      <c r="AX571" s="342">
        <f t="shared" si="2050"/>
        <v>0.12243806500828536</v>
      </c>
      <c r="AY571" s="342">
        <f t="shared" si="2051"/>
        <v>0.1254611019175812</v>
      </c>
      <c r="AZ571" s="342">
        <f t="shared" si="2051"/>
        <v>0.18435472769610009</v>
      </c>
      <c r="BA571" s="342">
        <f t="shared" si="2051"/>
        <v>0.13966394651860214</v>
      </c>
      <c r="BB571" s="342">
        <f t="shared" si="2051"/>
        <v>0.26772939617960995</v>
      </c>
      <c r="BC571" s="342">
        <f t="shared" si="2052"/>
        <v>0.23911646410247639</v>
      </c>
      <c r="BD571" s="342">
        <f t="shared" si="2052"/>
        <v>0.20420173396186364</v>
      </c>
      <c r="BE571" s="342">
        <f t="shared" si="2052"/>
        <v>0.11421473480338737</v>
      </c>
      <c r="BF571" s="342">
        <f t="shared" si="2052"/>
        <v>0.30842929014238651</v>
      </c>
      <c r="BG571" s="142"/>
      <c r="BH571" s="342"/>
      <c r="BI571" s="342"/>
      <c r="BJ571" s="342"/>
      <c r="BK571" s="342"/>
      <c r="BL571" s="342"/>
      <c r="BM571" s="57"/>
      <c r="BN571" s="342">
        <f t="shared" si="2053"/>
        <v>0.16585632553168903</v>
      </c>
      <c r="BO571" s="342">
        <f t="shared" si="2053"/>
        <v>0.14413048789133104</v>
      </c>
      <c r="BP571" s="342">
        <f t="shared" si="2053"/>
        <v>0.16314337588943356</v>
      </c>
      <c r="BQ571" s="342">
        <f t="shared" si="2054"/>
        <v>0.26957606445062876</v>
      </c>
      <c r="BR571" s="342">
        <f t="shared" si="2054"/>
        <v>9.3251504655580547E-2</v>
      </c>
      <c r="BS571" s="342">
        <f t="shared" si="2054"/>
        <v>0.32993794980354607</v>
      </c>
      <c r="BT571" s="342">
        <f t="shared" si="2055"/>
        <v>0.14901594854100697</v>
      </c>
      <c r="BU571" s="342">
        <f t="shared" si="2055"/>
        <v>-9.5693108595602417E-3</v>
      </c>
      <c r="BV571" s="342">
        <f t="shared" si="2055"/>
        <v>0.12392850921916478</v>
      </c>
      <c r="BW571" s="342">
        <f>BW560/BW542</f>
        <v>0.25317406628126227</v>
      </c>
      <c r="BX571" s="77"/>
      <c r="BY571" s="77"/>
      <c r="BZ571" s="342">
        <f>BZ560/BZ542</f>
        <v>0.26957606445062876</v>
      </c>
      <c r="CA571" s="77"/>
    </row>
    <row r="572" spans="2:79" ht="13.5" customHeight="1" thickTop="1">
      <c r="B572" s="5" t="s">
        <v>531</v>
      </c>
      <c r="C572" s="227">
        <f t="shared" ref="C572:H572" si="2056">C562/C544</f>
        <v>0.10786418285654215</v>
      </c>
      <c r="D572" s="227">
        <f t="shared" si="2056"/>
        <v>0.10790018951812469</v>
      </c>
      <c r="E572" s="227">
        <f t="shared" si="2056"/>
        <v>0.12226025158658876</v>
      </c>
      <c r="F572" s="227">
        <f t="shared" si="2056"/>
        <v>0.10403771400366016</v>
      </c>
      <c r="G572" s="227">
        <f t="shared" si="2056"/>
        <v>0.10439070600813996</v>
      </c>
      <c r="H572" s="227">
        <f t="shared" si="2056"/>
        <v>9.7777095208049017E-2</v>
      </c>
      <c r="I572" s="227">
        <f t="shared" ref="I572:N572" si="2057">I562/I544</f>
        <v>9.7817661087190283E-2</v>
      </c>
      <c r="J572" s="227">
        <f t="shared" si="2057"/>
        <v>7.7174409433909893E-2</v>
      </c>
      <c r="K572" s="227">
        <f t="shared" si="2057"/>
        <v>3.3942034284726121E-2</v>
      </c>
      <c r="L572" s="227">
        <f t="shared" si="2057"/>
        <v>9.4814181715080853E-2</v>
      </c>
      <c r="M572" s="227">
        <f>M562/M544</f>
        <v>3.6206794947897025E-2</v>
      </c>
      <c r="N572" s="227">
        <f t="shared" si="2057"/>
        <v>4.5330668227614127E-2</v>
      </c>
      <c r="O572" s="227">
        <f>O562/O544</f>
        <v>9.7179046206386635E-2</v>
      </c>
      <c r="P572" s="227">
        <f>P562/P544</f>
        <v>0.21435400017456396</v>
      </c>
      <c r="Q572" s="227"/>
      <c r="R572" s="227">
        <f t="shared" ref="R572:W572" si="2058">R562/R544</f>
        <v>9.3889274958239968E-2</v>
      </c>
      <c r="S572" s="227">
        <f t="shared" si="2058"/>
        <v>0.10091635690349775</v>
      </c>
      <c r="T572" s="227">
        <f t="shared" si="2058"/>
        <v>0.15823939018172939</v>
      </c>
      <c r="U572" s="227">
        <f t="shared" si="2058"/>
        <v>0.13490322468981511</v>
      </c>
      <c r="V572" s="227">
        <f t="shared" si="2058"/>
        <v>9.8570912551215251E-2</v>
      </c>
      <c r="W572" s="227">
        <f t="shared" si="2058"/>
        <v>0.10553293895383847</v>
      </c>
      <c r="X572" s="227">
        <f t="shared" ref="X572:AC572" si="2059">X562/X544</f>
        <v>8.2504961660682746E-2</v>
      </c>
      <c r="Y572" s="227">
        <f t="shared" si="2059"/>
        <v>0.12552884408915191</v>
      </c>
      <c r="Z572" s="227">
        <f t="shared" si="2059"/>
        <v>9.9959253938597142E-2</v>
      </c>
      <c r="AA572" s="227">
        <f t="shared" si="2059"/>
        <v>9.9326376911685874E-2</v>
      </c>
      <c r="AB572" s="227">
        <f t="shared" si="2059"/>
        <v>7.693133822047199E-2</v>
      </c>
      <c r="AC572" s="227">
        <f t="shared" si="2059"/>
        <v>0.11242274821194695</v>
      </c>
      <c r="AD572" s="227">
        <f t="shared" ref="AD572:AI572" si="2060">AD562/AD544</f>
        <v>7.5500013520623299E-2</v>
      </c>
      <c r="AE572" s="227">
        <f t="shared" si="2060"/>
        <v>9.3647398003582294E-2</v>
      </c>
      <c r="AF572" s="227">
        <f t="shared" si="2060"/>
        <v>6.836783149570988E-2</v>
      </c>
      <c r="AG572" s="227">
        <f t="shared" si="2060"/>
        <v>7.1370277939330193E-2</v>
      </c>
      <c r="AH572" s="227">
        <f t="shared" si="2060"/>
        <v>4.2735431016060442E-2</v>
      </c>
      <c r="AI572" s="227">
        <f t="shared" si="2060"/>
        <v>-7.9905504931782556E-2</v>
      </c>
      <c r="AJ572" s="227">
        <f t="shared" ref="AJ572:AO572" si="2061">AJ562/AJ544</f>
        <v>2.6981599849429529E-2</v>
      </c>
      <c r="AK572" s="227">
        <f t="shared" si="2061"/>
        <v>0.10015639818629947</v>
      </c>
      <c r="AL572" s="227">
        <f t="shared" si="2061"/>
        <v>9.5931568447011561E-2</v>
      </c>
      <c r="AM572" s="227">
        <f t="shared" si="2061"/>
        <v>9.2417633553059458E-2</v>
      </c>
      <c r="AN572" s="227">
        <f t="shared" si="2061"/>
        <v>9.5167627466122895E-2</v>
      </c>
      <c r="AO572" s="227">
        <f t="shared" si="2061"/>
        <v>9.5555206040203275E-2</v>
      </c>
      <c r="AP572" s="227">
        <f t="shared" ref="AP572:AU572" si="2062">AP562/AP544</f>
        <v>5.9196990186930816E-2</v>
      </c>
      <c r="AQ572" s="227">
        <f t="shared" si="2062"/>
        <v>7.5676503324155237E-2</v>
      </c>
      <c r="AR572" s="227">
        <f t="shared" si="2062"/>
        <v>2.697516341466891E-2</v>
      </c>
      <c r="AS572" s="227">
        <f t="shared" si="2062"/>
        <v>-1.2658594600724661E-2</v>
      </c>
      <c r="AT572" s="227">
        <f t="shared" si="2062"/>
        <v>2.8834982708474347E-3</v>
      </c>
      <c r="AU572" s="227">
        <f t="shared" si="2062"/>
        <v>7.9440900031958597E-2</v>
      </c>
      <c r="AV572" s="227">
        <f t="shared" ref="AV572:BA572" si="2063">AV562/AV544</f>
        <v>2.601048788713816E-2</v>
      </c>
      <c r="AW572" s="227">
        <f t="shared" si="2063"/>
        <v>6.9950390855767014E-2</v>
      </c>
      <c r="AX572" s="227">
        <f t="shared" si="2063"/>
        <v>6.6035188544131859E-2</v>
      </c>
      <c r="AY572" s="227">
        <f t="shared" si="2063"/>
        <v>0.11186073105587567</v>
      </c>
      <c r="AZ572" s="227">
        <f t="shared" si="2063"/>
        <v>7.8573349854010349E-2</v>
      </c>
      <c r="BA572" s="227">
        <f t="shared" si="2063"/>
        <v>0.12526116740210888</v>
      </c>
      <c r="BB572" s="227">
        <f>BB562/BB544</f>
        <v>0.1180282263250696</v>
      </c>
      <c r="BC572" s="227">
        <f>BC562/BC544</f>
        <v>0.24946350156110306</v>
      </c>
      <c r="BD572" s="227">
        <f>BD562/BD544</f>
        <v>0.10066275709450119</v>
      </c>
      <c r="BE572" s="227">
        <f>BE562/BE544</f>
        <v>0.35450041500868573</v>
      </c>
      <c r="BF572" s="227">
        <f>BF562/BF544</f>
        <v>0.13119958592076369</v>
      </c>
      <c r="BG572" s="142"/>
      <c r="BH572" s="227"/>
      <c r="BI572" s="227"/>
      <c r="BJ572" s="227"/>
      <c r="BK572" s="227"/>
      <c r="BL572" s="227"/>
      <c r="BM572" s="227"/>
      <c r="BN572" s="227">
        <f t="shared" ref="BN572:BS572" si="2064">BN562/BN544</f>
        <v>9.7458617656781668E-2</v>
      </c>
      <c r="BO572" s="227">
        <f t="shared" si="2064"/>
        <v>0.10210830822197231</v>
      </c>
      <c r="BP572" s="227">
        <f t="shared" si="2064"/>
        <v>9.963559150416984E-2</v>
      </c>
      <c r="BQ572" s="227">
        <f t="shared" si="2064"/>
        <v>8.473572657426022E-2</v>
      </c>
      <c r="BR572" s="227">
        <f t="shared" si="2064"/>
        <v>-1.1206023049421298E-2</v>
      </c>
      <c r="BS572" s="227">
        <f t="shared" si="2064"/>
        <v>9.4116588429262002E-2</v>
      </c>
      <c r="BT572" s="227">
        <f>BT562/BT544</f>
        <v>6.7628759626900237E-2</v>
      </c>
      <c r="BU572" s="227">
        <f>BU562/BU544</f>
        <v>4.0745919238613877E-2</v>
      </c>
      <c r="BV572" s="227">
        <f>BV562/BV544</f>
        <v>8.910619870619875E-2</v>
      </c>
      <c r="BW572" s="227">
        <f>BW562/BW544</f>
        <v>0.18433952705951342</v>
      </c>
      <c r="BX572" s="76"/>
      <c r="BY572" s="76"/>
      <c r="BZ572" s="227">
        <f>BZ562/BZ544</f>
        <v>8.4735726574260206E-2</v>
      </c>
      <c r="CA572" s="76"/>
    </row>
    <row r="573" spans="2:79" ht="13.5" customHeight="1">
      <c r="Y573" s="77"/>
      <c r="AC573" s="77"/>
      <c r="AG573" s="77"/>
      <c r="BK573" s="77"/>
    </row>
    <row r="574" spans="2:79" ht="13.5" customHeight="1">
      <c r="Y574" s="77"/>
      <c r="AC574" s="77"/>
      <c r="AG574" s="77"/>
      <c r="BK574" s="77"/>
    </row>
    <row r="575" spans="2:79" ht="13.5" customHeight="1">
      <c r="Y575" s="77"/>
      <c r="AC575" s="77"/>
      <c r="AG575" s="77"/>
      <c r="BK575" s="77"/>
    </row>
  </sheetData>
  <pageMargins left="0.51181102362204722" right="0.47244094488188981" top="0.23622047244094491" bottom="0.43307086614173229" header="0.51181102362204722" footer="0.23622047244094491"/>
  <pageSetup paperSize="9" scale="89" fitToHeight="0" orientation="portrait" r:id="rId1"/>
  <headerFooter alignWithMargins="0">
    <oddFooter>&amp;L&amp;8U.S. Bank Loan Team&amp;C&amp;"Arial,Bold"&amp;8- Confidential -&amp;R&amp;8&amp;D &amp;T</oddFooter>
  </headerFooter>
  <rowBreaks count="1" manualBreakCount="1">
    <brk id="225" min="1" max="10" man="1"/>
  </rowBreaks>
  <ignoredErrors>
    <ignoredError sqref="AU69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B5403-354C-4410-8E0B-1977E7EC77CA}">
  <sheetPr>
    <pageSetUpPr autoPageBreaks="0"/>
  </sheetPr>
  <dimension ref="B1:BX162"/>
  <sheetViews>
    <sheetView showGridLines="0" zoomScaleNormal="100" zoomScaleSheetLayoutView="100" workbookViewId="0">
      <pane xSplit="2" ySplit="6" topLeftCell="N7" activePane="bottomRight" state="frozen"/>
      <selection pane="bottomRight" activeCell="BV2" sqref="BV2"/>
      <selection pane="bottomLeft" activeCell="P8" sqref="P8"/>
      <selection pane="topRight" activeCell="P8" sqref="P8"/>
    </sheetView>
  </sheetViews>
  <sheetFormatPr defaultRowHeight="12.75" outlineLevelRow="1" outlineLevelCol="1"/>
  <cols>
    <col min="1" max="1" width="2.7109375" customWidth="1"/>
    <col min="2" max="2" width="50.7109375" customWidth="1"/>
    <col min="3" max="11" width="12.7109375" hidden="1" customWidth="1" outlineLevel="1"/>
    <col min="12" max="12" width="12.7109375" hidden="1" customWidth="1" outlineLevel="1" collapsed="1"/>
    <col min="13" max="13" width="12.7109375" hidden="1" customWidth="1" outlineLevel="1"/>
    <col min="14" max="14" width="12.7109375" customWidth="1" collapsed="1"/>
    <col min="15" max="18" width="12.7109375" customWidth="1"/>
    <col min="19" max="41" width="12.7109375" hidden="1" customWidth="1" outlineLevel="1"/>
    <col min="42" max="42" width="12.7109375" hidden="1" customWidth="1" outlineLevel="1" collapsed="1"/>
    <col min="43" max="45" width="12.7109375" hidden="1" customWidth="1" outlineLevel="1"/>
    <col min="46" max="46" width="12.7109375" hidden="1" customWidth="1" outlineLevel="1" collapsed="1"/>
    <col min="47" max="56" width="12.7109375" hidden="1" customWidth="1" outlineLevel="1"/>
    <col min="57" max="57" width="12.7109375" customWidth="1" collapsed="1"/>
    <col min="58" max="63" width="12.7109375" customWidth="1"/>
    <col min="64" max="66" width="12.7109375" hidden="1" customWidth="1" outlineLevel="1"/>
    <col min="67" max="67" width="12.7109375" hidden="1" customWidth="1" outlineLevel="1" collapsed="1"/>
    <col min="68" max="70" width="12.7109375" hidden="1" customWidth="1" outlineLevel="1"/>
    <col min="71" max="71" width="12.7109375" customWidth="1" collapsed="1"/>
    <col min="72" max="74" width="12.7109375" customWidth="1"/>
    <col min="75" max="75" width="12.7109375" hidden="1" customWidth="1" outlineLevel="1"/>
    <col min="76" max="76" width="12.7109375" customWidth="1" collapsed="1"/>
    <col min="77" max="91" width="12.7109375" customWidth="1"/>
  </cols>
  <sheetData>
    <row r="1" spans="2:75">
      <c r="B1" s="1"/>
      <c r="C1" s="1"/>
      <c r="D1" s="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317" t="s">
        <v>551</v>
      </c>
      <c r="BM1" s="317" t="s">
        <v>552</v>
      </c>
      <c r="BN1" s="317" t="s">
        <v>553</v>
      </c>
      <c r="BO1" s="317" t="s">
        <v>554</v>
      </c>
      <c r="BP1" s="317" t="s">
        <v>555</v>
      </c>
      <c r="BQ1" s="317" t="s">
        <v>556</v>
      </c>
      <c r="BR1" s="317" t="s">
        <v>557</v>
      </c>
      <c r="BS1" s="317"/>
      <c r="BT1" s="317"/>
      <c r="BU1" s="317"/>
      <c r="BW1" s="317" t="s">
        <v>554</v>
      </c>
    </row>
    <row r="2" spans="2:75" ht="21">
      <c r="B2" s="486" t="s">
        <v>255</v>
      </c>
      <c r="C2" s="487"/>
      <c r="D2" s="487" t="s">
        <v>256</v>
      </c>
      <c r="E2" s="487" t="s">
        <v>256</v>
      </c>
      <c r="F2" s="487" t="s">
        <v>256</v>
      </c>
      <c r="G2" s="487" t="s">
        <v>256</v>
      </c>
      <c r="H2" s="487" t="s">
        <v>256</v>
      </c>
      <c r="I2" s="487" t="s">
        <v>256</v>
      </c>
      <c r="J2" s="487" t="s">
        <v>256</v>
      </c>
      <c r="K2" s="487" t="s">
        <v>256</v>
      </c>
      <c r="L2" s="487" t="s">
        <v>256</v>
      </c>
      <c r="M2" s="487" t="s">
        <v>256</v>
      </c>
      <c r="N2" s="487" t="s">
        <v>256</v>
      </c>
      <c r="O2" s="487" t="s">
        <v>256</v>
      </c>
      <c r="P2" s="487" t="s">
        <v>256</v>
      </c>
      <c r="Q2" s="487" t="s">
        <v>256</v>
      </c>
      <c r="R2" s="488"/>
      <c r="S2" s="487" t="s">
        <v>257</v>
      </c>
      <c r="T2" s="487" t="s">
        <v>257</v>
      </c>
      <c r="U2" s="487" t="s">
        <v>257</v>
      </c>
      <c r="V2" s="487" t="s">
        <v>257</v>
      </c>
      <c r="W2" s="487" t="s">
        <v>257</v>
      </c>
      <c r="X2" s="487" t="s">
        <v>257</v>
      </c>
      <c r="Y2" s="487" t="s">
        <v>257</v>
      </c>
      <c r="Z2" s="487" t="s">
        <v>257</v>
      </c>
      <c r="AA2" s="487" t="s">
        <v>257</v>
      </c>
      <c r="AB2" s="487" t="s">
        <v>257</v>
      </c>
      <c r="AC2" s="487" t="s">
        <v>257</v>
      </c>
      <c r="AD2" s="487" t="s">
        <v>257</v>
      </c>
      <c r="AE2" s="487" t="s">
        <v>257</v>
      </c>
      <c r="AF2" s="487" t="s">
        <v>257</v>
      </c>
      <c r="AG2" s="487" t="s">
        <v>257</v>
      </c>
      <c r="AH2" s="487" t="s">
        <v>257</v>
      </c>
      <c r="AI2" s="487" t="s">
        <v>257</v>
      </c>
      <c r="AJ2" s="487" t="s">
        <v>257</v>
      </c>
      <c r="AK2" s="487" t="s">
        <v>257</v>
      </c>
      <c r="AL2" s="487" t="s">
        <v>257</v>
      </c>
      <c r="AM2" s="487" t="s">
        <v>257</v>
      </c>
      <c r="AN2" s="487" t="s">
        <v>257</v>
      </c>
      <c r="AO2" s="487" t="s">
        <v>257</v>
      </c>
      <c r="AP2" s="487" t="s">
        <v>257</v>
      </c>
      <c r="AQ2" s="487" t="s">
        <v>257</v>
      </c>
      <c r="AR2" s="487" t="s">
        <v>257</v>
      </c>
      <c r="AS2" s="487" t="s">
        <v>257</v>
      </c>
      <c r="AT2" s="487" t="s">
        <v>257</v>
      </c>
      <c r="AU2" s="487" t="s">
        <v>257</v>
      </c>
      <c r="AV2" s="487" t="s">
        <v>257</v>
      </c>
      <c r="AW2" s="487" t="s">
        <v>257</v>
      </c>
      <c r="AX2" s="487" t="s">
        <v>257</v>
      </c>
      <c r="AY2" s="487" t="s">
        <v>257</v>
      </c>
      <c r="AZ2" s="487" t="s">
        <v>257</v>
      </c>
      <c r="BA2" s="487" t="s">
        <v>257</v>
      </c>
      <c r="BB2" s="487" t="s">
        <v>257</v>
      </c>
      <c r="BC2" s="487" t="s">
        <v>257</v>
      </c>
      <c r="BD2" s="487" t="s">
        <v>257</v>
      </c>
      <c r="BE2" s="487" t="s">
        <v>257</v>
      </c>
      <c r="BF2" s="487" t="s">
        <v>257</v>
      </c>
      <c r="BG2" s="487" t="s">
        <v>257</v>
      </c>
      <c r="BH2" s="487" t="s">
        <v>257</v>
      </c>
      <c r="BI2" s="487" t="s">
        <v>257</v>
      </c>
      <c r="BJ2" s="487" t="s">
        <v>257</v>
      </c>
      <c r="BK2" s="488"/>
      <c r="BL2" s="487" t="s">
        <v>258</v>
      </c>
      <c r="BM2" s="487" t="s">
        <v>258</v>
      </c>
      <c r="BN2" s="487" t="s">
        <v>258</v>
      </c>
      <c r="BO2" s="487" t="s">
        <v>258</v>
      </c>
      <c r="BP2" s="487" t="s">
        <v>258</v>
      </c>
      <c r="BQ2" s="487" t="s">
        <v>258</v>
      </c>
      <c r="BR2" s="487" t="s">
        <v>258</v>
      </c>
      <c r="BS2" s="487" t="s">
        <v>258</v>
      </c>
      <c r="BT2" s="487" t="s">
        <v>258</v>
      </c>
      <c r="BU2" s="487" t="s">
        <v>258</v>
      </c>
      <c r="BW2" s="317"/>
    </row>
    <row r="3" spans="2:75" ht="14.25" customHeight="1">
      <c r="B3" s="489"/>
      <c r="C3" s="209"/>
      <c r="D3" s="209">
        <v>41975</v>
      </c>
      <c r="E3" s="209">
        <v>42341</v>
      </c>
      <c r="F3" s="209">
        <v>42708</v>
      </c>
      <c r="G3" s="209">
        <v>43073</v>
      </c>
      <c r="H3" s="209">
        <v>43073</v>
      </c>
      <c r="I3" s="209">
        <v>43438</v>
      </c>
      <c r="J3" s="209">
        <v>43438</v>
      </c>
      <c r="K3" s="209">
        <v>43803</v>
      </c>
      <c r="L3" s="209">
        <v>44169</v>
      </c>
      <c r="M3" s="209">
        <v>44535</v>
      </c>
      <c r="N3" s="209">
        <v>44900</v>
      </c>
      <c r="O3" s="209">
        <v>45265</v>
      </c>
      <c r="P3" s="209">
        <v>45631</v>
      </c>
      <c r="Q3" s="209">
        <v>45996</v>
      </c>
      <c r="R3" s="452"/>
      <c r="S3" s="209">
        <v>42437</v>
      </c>
      <c r="T3" s="209">
        <v>42527</v>
      </c>
      <c r="U3" s="209">
        <v>42622</v>
      </c>
      <c r="V3" s="209">
        <v>42714</v>
      </c>
      <c r="W3" s="209">
        <v>42801</v>
      </c>
      <c r="X3" s="209">
        <v>42892</v>
      </c>
      <c r="Y3" s="209">
        <v>42987</v>
      </c>
      <c r="Z3" s="209">
        <v>43079</v>
      </c>
      <c r="AA3" s="209">
        <v>43166</v>
      </c>
      <c r="AB3" s="209">
        <v>43257</v>
      </c>
      <c r="AC3" s="209">
        <v>43348</v>
      </c>
      <c r="AD3" s="209">
        <v>43439</v>
      </c>
      <c r="AE3" s="209">
        <v>43439</v>
      </c>
      <c r="AF3" s="209">
        <v>43555</v>
      </c>
      <c r="AG3" s="209">
        <v>43555</v>
      </c>
      <c r="AH3" s="209">
        <v>43646</v>
      </c>
      <c r="AI3" s="209">
        <v>43738</v>
      </c>
      <c r="AJ3" s="209">
        <v>43830</v>
      </c>
      <c r="AK3" s="209">
        <v>43921</v>
      </c>
      <c r="AL3" s="209">
        <v>44012</v>
      </c>
      <c r="AM3" s="209">
        <v>44104</v>
      </c>
      <c r="AN3" s="209">
        <v>44104</v>
      </c>
      <c r="AO3" s="209">
        <v>44196</v>
      </c>
      <c r="AP3" s="209">
        <v>44286</v>
      </c>
      <c r="AQ3" s="209">
        <v>44377</v>
      </c>
      <c r="AR3" s="209">
        <v>44469</v>
      </c>
      <c r="AS3" s="209">
        <v>44561</v>
      </c>
      <c r="AT3" s="209">
        <v>44651</v>
      </c>
      <c r="AU3" s="209">
        <v>44742</v>
      </c>
      <c r="AV3" s="209">
        <v>44834</v>
      </c>
      <c r="AW3" s="209">
        <v>44926</v>
      </c>
      <c r="AX3" s="209">
        <v>45016</v>
      </c>
      <c r="AY3" s="209">
        <v>45107</v>
      </c>
      <c r="AZ3" s="209">
        <v>45199</v>
      </c>
      <c r="BA3" s="209">
        <v>45291</v>
      </c>
      <c r="BB3" s="209">
        <v>45382</v>
      </c>
      <c r="BC3" s="209">
        <v>45473</v>
      </c>
      <c r="BD3" s="209">
        <v>45565</v>
      </c>
      <c r="BE3" s="209">
        <v>45657</v>
      </c>
      <c r="BF3" s="209">
        <v>45747</v>
      </c>
      <c r="BG3" s="209">
        <v>45838</v>
      </c>
      <c r="BH3" s="209">
        <v>45930</v>
      </c>
      <c r="BI3" s="209">
        <v>46022</v>
      </c>
      <c r="BJ3" s="209">
        <v>46112</v>
      </c>
      <c r="BK3" s="452"/>
      <c r="BL3" s="209">
        <v>42530</v>
      </c>
      <c r="BM3" s="209">
        <v>42896</v>
      </c>
      <c r="BN3" s="209">
        <v>43261</v>
      </c>
      <c r="BO3" s="209">
        <v>43646</v>
      </c>
      <c r="BP3" s="209">
        <v>44012</v>
      </c>
      <c r="BQ3" s="209">
        <v>44377</v>
      </c>
      <c r="BR3" s="209">
        <v>44742</v>
      </c>
      <c r="BS3" s="209">
        <v>45107</v>
      </c>
      <c r="BT3" s="209">
        <v>45473</v>
      </c>
      <c r="BU3" s="209">
        <v>45838</v>
      </c>
      <c r="BW3" s="13">
        <v>43646</v>
      </c>
    </row>
    <row r="4" spans="2:75">
      <c r="B4" s="447"/>
      <c r="C4" s="14"/>
      <c r="D4" s="14" t="s">
        <v>261</v>
      </c>
      <c r="E4" s="14" t="s">
        <v>261</v>
      </c>
      <c r="F4" s="14" t="s">
        <v>261</v>
      </c>
      <c r="G4" s="14" t="s">
        <v>261</v>
      </c>
      <c r="H4" s="14" t="s">
        <v>262</v>
      </c>
      <c r="I4" s="14" t="s">
        <v>261</v>
      </c>
      <c r="J4" s="14" t="s">
        <v>262</v>
      </c>
      <c r="K4" s="14" t="s">
        <v>261</v>
      </c>
      <c r="L4" s="14" t="s">
        <v>261</v>
      </c>
      <c r="M4" s="14" t="s">
        <v>261</v>
      </c>
      <c r="N4" s="209" t="s">
        <v>261</v>
      </c>
      <c r="O4" s="209" t="s">
        <v>261</v>
      </c>
      <c r="P4" s="209" t="s">
        <v>261</v>
      </c>
      <c r="Q4" s="209" t="s">
        <v>261</v>
      </c>
      <c r="R4" s="452"/>
      <c r="S4" s="209" t="s">
        <v>261</v>
      </c>
      <c r="T4" s="209" t="s">
        <v>261</v>
      </c>
      <c r="U4" s="209" t="s">
        <v>261</v>
      </c>
      <c r="V4" s="209" t="s">
        <v>261</v>
      </c>
      <c r="W4" s="209" t="s">
        <v>261</v>
      </c>
      <c r="X4" s="209" t="s">
        <v>261</v>
      </c>
      <c r="Y4" s="209" t="s">
        <v>261</v>
      </c>
      <c r="Z4" s="209" t="s">
        <v>261</v>
      </c>
      <c r="AA4" s="209" t="s">
        <v>261</v>
      </c>
      <c r="AB4" s="209" t="s">
        <v>261</v>
      </c>
      <c r="AC4" s="209" t="s">
        <v>261</v>
      </c>
      <c r="AD4" s="209" t="s">
        <v>261</v>
      </c>
      <c r="AE4" s="490" t="s">
        <v>262</v>
      </c>
      <c r="AF4" s="209" t="s">
        <v>261</v>
      </c>
      <c r="AG4" s="490" t="s">
        <v>262</v>
      </c>
      <c r="AH4" s="209" t="s">
        <v>261</v>
      </c>
      <c r="AI4" s="209" t="s">
        <v>261</v>
      </c>
      <c r="AJ4" s="209" t="s">
        <v>261</v>
      </c>
      <c r="AK4" s="209" t="s">
        <v>261</v>
      </c>
      <c r="AL4" s="209" t="s">
        <v>261</v>
      </c>
      <c r="AM4" s="209" t="s">
        <v>261</v>
      </c>
      <c r="AN4" s="490" t="s">
        <v>262</v>
      </c>
      <c r="AO4" s="209" t="s">
        <v>261</v>
      </c>
      <c r="AP4" s="209" t="s">
        <v>261</v>
      </c>
      <c r="AQ4" s="209" t="s">
        <v>261</v>
      </c>
      <c r="AR4" s="209" t="s">
        <v>261</v>
      </c>
      <c r="AS4" s="209" t="s">
        <v>261</v>
      </c>
      <c r="AT4" s="209" t="s">
        <v>261</v>
      </c>
      <c r="AU4" s="209" t="s">
        <v>261</v>
      </c>
      <c r="AV4" s="209" t="s">
        <v>261</v>
      </c>
      <c r="AW4" s="209" t="s">
        <v>261</v>
      </c>
      <c r="AX4" s="209" t="s">
        <v>261</v>
      </c>
      <c r="AY4" s="209" t="s">
        <v>261</v>
      </c>
      <c r="AZ4" s="209" t="s">
        <v>261</v>
      </c>
      <c r="BA4" s="209" t="s">
        <v>261</v>
      </c>
      <c r="BB4" s="209" t="s">
        <v>261</v>
      </c>
      <c r="BC4" s="209" t="s">
        <v>261</v>
      </c>
      <c r="BD4" s="209" t="s">
        <v>261</v>
      </c>
      <c r="BE4" s="209" t="s">
        <v>261</v>
      </c>
      <c r="BF4" s="209" t="s">
        <v>261</v>
      </c>
      <c r="BG4" s="209" t="s">
        <v>261</v>
      </c>
      <c r="BH4" s="209" t="s">
        <v>261</v>
      </c>
      <c r="BI4" s="209" t="s">
        <v>261</v>
      </c>
      <c r="BJ4" s="209" t="s">
        <v>261</v>
      </c>
      <c r="BK4" s="452"/>
      <c r="BL4" s="209" t="s">
        <v>261</v>
      </c>
      <c r="BM4" s="209" t="s">
        <v>261</v>
      </c>
      <c r="BN4" s="209" t="s">
        <v>261</v>
      </c>
      <c r="BO4" s="209" t="s">
        <v>261</v>
      </c>
      <c r="BP4" s="209" t="s">
        <v>261</v>
      </c>
      <c r="BQ4" s="209" t="s">
        <v>261</v>
      </c>
      <c r="BR4" s="209" t="s">
        <v>261</v>
      </c>
      <c r="BS4" s="209" t="s">
        <v>261</v>
      </c>
      <c r="BT4" s="209" t="s">
        <v>261</v>
      </c>
      <c r="BU4" s="209" t="s">
        <v>261</v>
      </c>
      <c r="BW4" s="15" t="s">
        <v>262</v>
      </c>
    </row>
    <row r="5" spans="2:75">
      <c r="B5" s="332"/>
      <c r="C5" s="329"/>
      <c r="D5" s="24" t="s">
        <v>263</v>
      </c>
      <c r="E5" s="24" t="s">
        <v>263</v>
      </c>
      <c r="F5" s="24" t="s">
        <v>263</v>
      </c>
      <c r="G5" s="24" t="s">
        <v>263</v>
      </c>
      <c r="H5" s="24" t="s">
        <v>263</v>
      </c>
      <c r="I5" s="24" t="s">
        <v>263</v>
      </c>
      <c r="J5" s="24" t="s">
        <v>263</v>
      </c>
      <c r="K5" s="24" t="s">
        <v>263</v>
      </c>
      <c r="L5" s="24" t="s">
        <v>263</v>
      </c>
      <c r="M5" s="24" t="s">
        <v>263</v>
      </c>
      <c r="N5" s="24" t="s">
        <v>263</v>
      </c>
      <c r="O5" s="24" t="s">
        <v>263</v>
      </c>
      <c r="P5" s="24" t="s">
        <v>263</v>
      </c>
      <c r="Q5" s="24" t="s">
        <v>263</v>
      </c>
      <c r="R5" s="62"/>
      <c r="S5" s="24" t="s">
        <v>264</v>
      </c>
      <c r="T5" s="24" t="s">
        <v>265</v>
      </c>
      <c r="U5" s="24" t="s">
        <v>266</v>
      </c>
      <c r="V5" s="24" t="s">
        <v>267</v>
      </c>
      <c r="W5" s="24" t="s">
        <v>264</v>
      </c>
      <c r="X5" s="24" t="s">
        <v>265</v>
      </c>
      <c r="Y5" s="24" t="s">
        <v>266</v>
      </c>
      <c r="Z5" s="24" t="s">
        <v>267</v>
      </c>
      <c r="AA5" s="24" t="s">
        <v>264</v>
      </c>
      <c r="AB5" s="24" t="s">
        <v>265</v>
      </c>
      <c r="AC5" s="24" t="s">
        <v>266</v>
      </c>
      <c r="AD5" s="24" t="s">
        <v>267</v>
      </c>
      <c r="AE5" s="24" t="s">
        <v>267</v>
      </c>
      <c r="AF5" s="24" t="s">
        <v>264</v>
      </c>
      <c r="AG5" s="24" t="s">
        <v>264</v>
      </c>
      <c r="AH5" s="24" t="s">
        <v>265</v>
      </c>
      <c r="AI5" s="24" t="s">
        <v>266</v>
      </c>
      <c r="AJ5" s="24" t="s">
        <v>267</v>
      </c>
      <c r="AK5" s="24" t="s">
        <v>264</v>
      </c>
      <c r="AL5" s="24" t="s">
        <v>265</v>
      </c>
      <c r="AM5" s="24" t="s">
        <v>266</v>
      </c>
      <c r="AN5" s="24" t="s">
        <v>266</v>
      </c>
      <c r="AO5" s="24" t="s">
        <v>267</v>
      </c>
      <c r="AP5" s="24" t="s">
        <v>264</v>
      </c>
      <c r="AQ5" s="24" t="s">
        <v>265</v>
      </c>
      <c r="AR5" s="24" t="s">
        <v>266</v>
      </c>
      <c r="AS5" s="24" t="s">
        <v>267</v>
      </c>
      <c r="AT5" s="24" t="s">
        <v>264</v>
      </c>
      <c r="AU5" s="24" t="s">
        <v>265</v>
      </c>
      <c r="AV5" s="24" t="s">
        <v>266</v>
      </c>
      <c r="AW5" s="24" t="s">
        <v>267</v>
      </c>
      <c r="AX5" s="24" t="s">
        <v>264</v>
      </c>
      <c r="AY5" s="24" t="s">
        <v>265</v>
      </c>
      <c r="AZ5" s="24" t="s">
        <v>266</v>
      </c>
      <c r="BA5" s="24" t="s">
        <v>267</v>
      </c>
      <c r="BB5" s="24" t="s">
        <v>264</v>
      </c>
      <c r="BC5" s="24" t="s">
        <v>265</v>
      </c>
      <c r="BD5" s="24" t="s">
        <v>266</v>
      </c>
      <c r="BE5" s="524" t="s">
        <v>267</v>
      </c>
      <c r="BF5" s="24" t="s">
        <v>264</v>
      </c>
      <c r="BG5" s="24" t="s">
        <v>265</v>
      </c>
      <c r="BH5" s="24" t="s">
        <v>266</v>
      </c>
      <c r="BI5" s="524" t="s">
        <v>267</v>
      </c>
      <c r="BJ5" s="24" t="s">
        <v>264</v>
      </c>
      <c r="BK5" s="62"/>
      <c r="BL5" s="24" t="s">
        <v>558</v>
      </c>
      <c r="BM5" s="24" t="s">
        <v>558</v>
      </c>
      <c r="BN5" s="24" t="s">
        <v>558</v>
      </c>
      <c r="BO5" s="24" t="s">
        <v>558</v>
      </c>
      <c r="BP5" s="24" t="s">
        <v>558</v>
      </c>
      <c r="BQ5" s="24" t="s">
        <v>558</v>
      </c>
      <c r="BR5" s="24" t="s">
        <v>558</v>
      </c>
      <c r="BS5" s="24" t="s">
        <v>558</v>
      </c>
      <c r="BT5" s="24" t="s">
        <v>558</v>
      </c>
      <c r="BU5" s="24" t="s">
        <v>558</v>
      </c>
      <c r="BW5" s="448"/>
    </row>
    <row r="6" spans="2:75">
      <c r="B6" s="447"/>
      <c r="C6" s="447"/>
      <c r="D6" s="13"/>
      <c r="E6" s="13"/>
      <c r="F6" s="13"/>
      <c r="G6" s="14"/>
      <c r="H6" s="14"/>
      <c r="I6" s="14"/>
      <c r="J6" s="14"/>
      <c r="K6" s="14"/>
      <c r="L6" s="14"/>
      <c r="M6" s="13"/>
      <c r="N6" s="13"/>
      <c r="O6" s="13"/>
      <c r="P6" s="13"/>
      <c r="Q6" s="13"/>
      <c r="R6" s="62"/>
      <c r="S6" s="13"/>
      <c r="T6" s="13"/>
      <c r="U6" s="13"/>
      <c r="V6" s="13"/>
      <c r="W6" s="13"/>
      <c r="X6" s="13"/>
      <c r="Y6" s="13"/>
      <c r="Z6" s="13"/>
      <c r="AA6" s="13"/>
      <c r="AB6" s="14"/>
      <c r="AC6" s="14"/>
      <c r="AD6" s="14"/>
      <c r="AE6" s="15"/>
      <c r="AF6" s="13"/>
      <c r="AG6" s="15"/>
      <c r="AH6" s="13"/>
      <c r="AI6" s="13"/>
      <c r="AJ6" s="13"/>
      <c r="AK6" s="13"/>
      <c r="AL6" s="13"/>
      <c r="AM6" s="13"/>
      <c r="AN6" s="15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62"/>
      <c r="BL6" s="13"/>
      <c r="BM6" s="13"/>
      <c r="BN6" s="13"/>
      <c r="BO6" s="13"/>
      <c r="BP6" s="13"/>
      <c r="BQ6" s="13"/>
      <c r="BR6" s="13"/>
      <c r="BS6" s="13"/>
      <c r="BT6" s="13"/>
      <c r="BU6" s="13"/>
      <c r="BW6" s="448"/>
    </row>
    <row r="7" spans="2:75" ht="17.25" customHeight="1">
      <c r="B7" s="332"/>
      <c r="C7" s="332"/>
      <c r="D7" s="62"/>
      <c r="E7" s="62"/>
      <c r="F7" s="62"/>
      <c r="G7" s="329"/>
      <c r="H7" s="329"/>
      <c r="I7" s="329"/>
      <c r="J7" s="329"/>
      <c r="K7" s="329"/>
      <c r="L7" s="329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329"/>
      <c r="AC7" s="329"/>
      <c r="AD7" s="329"/>
      <c r="AE7" s="448"/>
      <c r="AF7" s="62"/>
      <c r="AG7" s="448"/>
      <c r="AH7" s="62"/>
      <c r="AI7" s="62"/>
      <c r="AJ7" s="62"/>
      <c r="AK7" s="62"/>
      <c r="AL7" s="62"/>
      <c r="AM7" s="62"/>
      <c r="AN7" s="448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W7" s="448"/>
    </row>
    <row r="8" spans="2:75">
      <c r="B8" s="447" t="s">
        <v>559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W8" s="119"/>
    </row>
    <row r="9" spans="2:75">
      <c r="B9" s="5" t="s">
        <v>560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62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W9" s="5"/>
    </row>
    <row r="10" spans="2:75">
      <c r="B10" s="1" t="s">
        <v>521</v>
      </c>
      <c r="C10" s="1"/>
      <c r="D10" s="125">
        <v>45</v>
      </c>
      <c r="E10" s="125">
        <v>45</v>
      </c>
      <c r="F10" s="125">
        <v>44</v>
      </c>
      <c r="G10" s="125">
        <v>45</v>
      </c>
      <c r="H10" s="125">
        <v>45</v>
      </c>
      <c r="I10" s="125">
        <v>47</v>
      </c>
      <c r="J10" s="125">
        <v>47</v>
      </c>
      <c r="K10" s="125">
        <v>47</v>
      </c>
      <c r="L10" s="125">
        <v>46</v>
      </c>
      <c r="M10" s="125">
        <v>46</v>
      </c>
      <c r="N10" s="125">
        <v>47</v>
      </c>
      <c r="O10" s="125">
        <v>45</v>
      </c>
      <c r="P10" s="125">
        <v>44</v>
      </c>
      <c r="Q10" s="125">
        <v>45</v>
      </c>
      <c r="R10" s="62"/>
      <c r="S10" s="125">
        <v>45</v>
      </c>
      <c r="T10" s="135">
        <f>BL10</f>
        <v>44</v>
      </c>
      <c r="U10" s="125">
        <v>44</v>
      </c>
      <c r="V10" s="135">
        <f>F10</f>
        <v>44</v>
      </c>
      <c r="W10" s="125">
        <v>44</v>
      </c>
      <c r="X10" s="135">
        <f>BM10</f>
        <v>44</v>
      </c>
      <c r="Y10" s="125">
        <v>45</v>
      </c>
      <c r="Z10" s="135">
        <f>G10</f>
        <v>45</v>
      </c>
      <c r="AA10" s="125">
        <v>45</v>
      </c>
      <c r="AB10" s="135">
        <f>BN10</f>
        <v>46</v>
      </c>
      <c r="AC10" s="125">
        <v>46</v>
      </c>
      <c r="AD10" s="135">
        <f t="shared" ref="AD10:AE13" si="0">I10</f>
        <v>47</v>
      </c>
      <c r="AE10" s="135">
        <f t="shared" si="0"/>
        <v>47</v>
      </c>
      <c r="AF10" s="125">
        <v>47</v>
      </c>
      <c r="AG10" s="125">
        <v>47</v>
      </c>
      <c r="AH10" s="135">
        <f>BO10</f>
        <v>47</v>
      </c>
      <c r="AI10" s="125">
        <v>47</v>
      </c>
      <c r="AJ10" s="135">
        <f>K10</f>
        <v>47</v>
      </c>
      <c r="AK10" s="125">
        <v>47</v>
      </c>
      <c r="AL10" s="135">
        <f>BP10</f>
        <v>47</v>
      </c>
      <c r="AM10" s="125">
        <v>47</v>
      </c>
      <c r="AN10" s="125">
        <v>47</v>
      </c>
      <c r="AO10" s="135">
        <f>L10</f>
        <v>46</v>
      </c>
      <c r="AP10" s="125">
        <v>46</v>
      </c>
      <c r="AQ10" s="135">
        <f>BQ10</f>
        <v>46</v>
      </c>
      <c r="AR10" s="125">
        <v>46</v>
      </c>
      <c r="AS10" s="135">
        <f>M10</f>
        <v>46</v>
      </c>
      <c r="AT10" s="125">
        <v>46</v>
      </c>
      <c r="AU10" s="135">
        <f>BR10</f>
        <v>46</v>
      </c>
      <c r="AV10" s="125">
        <v>46</v>
      </c>
      <c r="AW10" s="135">
        <f>N10</f>
        <v>47</v>
      </c>
      <c r="AX10" s="125">
        <v>47</v>
      </c>
      <c r="AY10" s="135">
        <f>BS10</f>
        <v>46</v>
      </c>
      <c r="AZ10" s="125">
        <v>46</v>
      </c>
      <c r="BA10" s="135">
        <f>O10</f>
        <v>45</v>
      </c>
      <c r="BB10" s="125">
        <v>44</v>
      </c>
      <c r="BC10" s="135">
        <f>BT10</f>
        <v>44</v>
      </c>
      <c r="BD10" s="125">
        <v>44</v>
      </c>
      <c r="BE10" s="135">
        <f>P10</f>
        <v>44</v>
      </c>
      <c r="BF10" s="125">
        <v>44</v>
      </c>
      <c r="BG10" s="135">
        <f>BU10</f>
        <v>44</v>
      </c>
      <c r="BH10" s="125">
        <v>44</v>
      </c>
      <c r="BI10" s="135">
        <f>Q10</f>
        <v>45</v>
      </c>
      <c r="BJ10" s="125">
        <v>45</v>
      </c>
      <c r="BK10" s="125"/>
      <c r="BL10" s="125">
        <v>44</v>
      </c>
      <c r="BM10" s="125">
        <v>44</v>
      </c>
      <c r="BN10" s="125">
        <v>46</v>
      </c>
      <c r="BO10" s="125">
        <v>47</v>
      </c>
      <c r="BP10" s="125">
        <v>47</v>
      </c>
      <c r="BQ10" s="125">
        <v>46</v>
      </c>
      <c r="BR10" s="125">
        <v>46</v>
      </c>
      <c r="BS10" s="125">
        <v>46</v>
      </c>
      <c r="BT10" s="125">
        <v>44</v>
      </c>
      <c r="BU10" s="125">
        <v>44</v>
      </c>
      <c r="BW10" s="125">
        <v>47</v>
      </c>
    </row>
    <row r="11" spans="2:75">
      <c r="B11" s="1" t="s">
        <v>522</v>
      </c>
      <c r="C11" s="1"/>
      <c r="D11" s="125">
        <v>25</v>
      </c>
      <c r="E11" s="125">
        <v>27</v>
      </c>
      <c r="F11" s="125">
        <v>29</v>
      </c>
      <c r="G11" s="125">
        <v>29</v>
      </c>
      <c r="H11" s="125">
        <v>29</v>
      </c>
      <c r="I11" s="125">
        <v>29</v>
      </c>
      <c r="J11" s="125">
        <v>29</v>
      </c>
      <c r="K11" s="125">
        <v>29</v>
      </c>
      <c r="L11" s="125">
        <v>30</v>
      </c>
      <c r="M11" s="125">
        <v>31</v>
      </c>
      <c r="N11" s="125">
        <v>33</v>
      </c>
      <c r="O11" s="125">
        <v>35</v>
      </c>
      <c r="P11" s="125">
        <v>35</v>
      </c>
      <c r="Q11" s="125">
        <v>35</v>
      </c>
      <c r="R11" s="125"/>
      <c r="S11" s="125">
        <v>28</v>
      </c>
      <c r="T11" s="135">
        <f t="shared" ref="T11:T26" si="1">BL11</f>
        <v>28</v>
      </c>
      <c r="U11" s="125">
        <v>28</v>
      </c>
      <c r="V11" s="135">
        <f>F11</f>
        <v>29</v>
      </c>
      <c r="W11" s="125">
        <v>29</v>
      </c>
      <c r="X11" s="135">
        <f t="shared" ref="X11:X26" si="2">BM11</f>
        <v>29</v>
      </c>
      <c r="Y11" s="125">
        <v>29</v>
      </c>
      <c r="Z11" s="135">
        <f>G11</f>
        <v>29</v>
      </c>
      <c r="AA11" s="125">
        <v>29</v>
      </c>
      <c r="AB11" s="135">
        <f>BN11</f>
        <v>29</v>
      </c>
      <c r="AC11" s="125">
        <v>29</v>
      </c>
      <c r="AD11" s="135">
        <f t="shared" si="0"/>
        <v>29</v>
      </c>
      <c r="AE11" s="135">
        <f t="shared" si="0"/>
        <v>29</v>
      </c>
      <c r="AF11" s="125">
        <v>29</v>
      </c>
      <c r="AG11" s="125">
        <v>29</v>
      </c>
      <c r="AH11" s="135">
        <f t="shared" ref="AH11:AH26" si="3">BO11</f>
        <v>29</v>
      </c>
      <c r="AI11" s="125">
        <v>29</v>
      </c>
      <c r="AJ11" s="135">
        <f>K11</f>
        <v>29</v>
      </c>
      <c r="AK11" s="125">
        <v>29</v>
      </c>
      <c r="AL11" s="135">
        <f>BP11</f>
        <v>29</v>
      </c>
      <c r="AM11" s="125">
        <v>29</v>
      </c>
      <c r="AN11" s="125">
        <v>29</v>
      </c>
      <c r="AO11" s="135">
        <f>L11</f>
        <v>30</v>
      </c>
      <c r="AP11" s="125">
        <v>30</v>
      </c>
      <c r="AQ11" s="135">
        <f>BQ11</f>
        <v>30</v>
      </c>
      <c r="AR11" s="125">
        <v>31</v>
      </c>
      <c r="AS11" s="135">
        <f>M11</f>
        <v>31</v>
      </c>
      <c r="AT11" s="125">
        <v>31</v>
      </c>
      <c r="AU11" s="135">
        <f>BR11</f>
        <v>31</v>
      </c>
      <c r="AV11" s="125">
        <v>33</v>
      </c>
      <c r="AW11" s="135">
        <f>N11</f>
        <v>33</v>
      </c>
      <c r="AX11" s="125">
        <v>33</v>
      </c>
      <c r="AY11" s="135">
        <f>BS11</f>
        <v>33</v>
      </c>
      <c r="AZ11" s="125">
        <v>34</v>
      </c>
      <c r="BA11" s="135">
        <f>O11</f>
        <v>35</v>
      </c>
      <c r="BB11" s="125">
        <v>33</v>
      </c>
      <c r="BC11" s="135">
        <f>BT11</f>
        <v>34</v>
      </c>
      <c r="BD11" s="125">
        <v>35</v>
      </c>
      <c r="BE11" s="135">
        <f>P11</f>
        <v>35</v>
      </c>
      <c r="BF11" s="125">
        <v>35</v>
      </c>
      <c r="BG11" s="135">
        <f>BU11</f>
        <v>35</v>
      </c>
      <c r="BH11" s="125">
        <v>35</v>
      </c>
      <c r="BI11" s="135">
        <f>Q11</f>
        <v>35</v>
      </c>
      <c r="BJ11" s="125">
        <v>35</v>
      </c>
      <c r="BK11" s="125"/>
      <c r="BL11" s="125">
        <v>28</v>
      </c>
      <c r="BM11" s="125">
        <v>29</v>
      </c>
      <c r="BN11" s="125">
        <v>29</v>
      </c>
      <c r="BO11" s="125">
        <v>29</v>
      </c>
      <c r="BP11" s="125">
        <v>29</v>
      </c>
      <c r="BQ11" s="125">
        <v>30</v>
      </c>
      <c r="BR11" s="125">
        <v>31</v>
      </c>
      <c r="BS11" s="125">
        <v>33</v>
      </c>
      <c r="BT11" s="125">
        <v>34</v>
      </c>
      <c r="BU11" s="125">
        <v>35</v>
      </c>
      <c r="BW11" s="125">
        <v>29</v>
      </c>
    </row>
    <row r="12" spans="2:75">
      <c r="B12" s="1" t="s">
        <v>523</v>
      </c>
      <c r="C12" s="1"/>
      <c r="D12" s="125">
        <v>11</v>
      </c>
      <c r="E12" s="125">
        <v>11</v>
      </c>
      <c r="F12" s="125">
        <v>11</v>
      </c>
      <c r="G12" s="125">
        <v>11</v>
      </c>
      <c r="H12" s="125">
        <v>11</v>
      </c>
      <c r="I12" s="125">
        <v>11</v>
      </c>
      <c r="J12" s="125">
        <v>11</v>
      </c>
      <c r="K12" s="125">
        <v>10</v>
      </c>
      <c r="L12" s="125">
        <v>6</v>
      </c>
      <c r="M12" s="125">
        <v>7</v>
      </c>
      <c r="N12" s="125">
        <v>0</v>
      </c>
      <c r="O12" s="125">
        <v>0</v>
      </c>
      <c r="P12" s="125">
        <v>0</v>
      </c>
      <c r="Q12" s="125">
        <v>0</v>
      </c>
      <c r="R12" s="125"/>
      <c r="S12" s="125">
        <v>11</v>
      </c>
      <c r="T12" s="135">
        <f t="shared" si="1"/>
        <v>11</v>
      </c>
      <c r="U12" s="125">
        <v>11</v>
      </c>
      <c r="V12" s="135">
        <f>F12</f>
        <v>11</v>
      </c>
      <c r="W12" s="125">
        <v>11</v>
      </c>
      <c r="X12" s="135">
        <f t="shared" si="2"/>
        <v>11</v>
      </c>
      <c r="Y12" s="125">
        <v>11</v>
      </c>
      <c r="Z12" s="135">
        <f>G12</f>
        <v>11</v>
      </c>
      <c r="AA12" s="125">
        <v>11</v>
      </c>
      <c r="AB12" s="135">
        <f>BN12</f>
        <v>11</v>
      </c>
      <c r="AC12" s="125">
        <v>11</v>
      </c>
      <c r="AD12" s="135">
        <f t="shared" si="0"/>
        <v>11</v>
      </c>
      <c r="AE12" s="135">
        <f t="shared" si="0"/>
        <v>11</v>
      </c>
      <c r="AF12" s="125">
        <v>10</v>
      </c>
      <c r="AG12" s="125">
        <v>10</v>
      </c>
      <c r="AH12" s="135">
        <f t="shared" si="3"/>
        <v>10</v>
      </c>
      <c r="AI12" s="125">
        <v>10</v>
      </c>
      <c r="AJ12" s="135">
        <f>K12</f>
        <v>10</v>
      </c>
      <c r="AK12" s="125">
        <v>10</v>
      </c>
      <c r="AL12" s="135">
        <f>BP12</f>
        <v>10</v>
      </c>
      <c r="AM12" s="125">
        <v>10</v>
      </c>
      <c r="AN12" s="125">
        <v>10</v>
      </c>
      <c r="AO12" s="135">
        <f>L12</f>
        <v>6</v>
      </c>
      <c r="AP12" s="125">
        <v>3</v>
      </c>
      <c r="AQ12" s="135">
        <f>BQ12</f>
        <v>0</v>
      </c>
      <c r="AR12" s="125">
        <v>0</v>
      </c>
      <c r="AS12" s="135">
        <f>M12</f>
        <v>7</v>
      </c>
      <c r="AT12" s="125">
        <v>0</v>
      </c>
      <c r="AU12" s="135">
        <f>BR12</f>
        <v>0</v>
      </c>
      <c r="AV12" s="125">
        <v>0</v>
      </c>
      <c r="AW12" s="135">
        <f>N12</f>
        <v>0</v>
      </c>
      <c r="AX12" s="125">
        <v>0</v>
      </c>
      <c r="AY12" s="135">
        <f>BS12</f>
        <v>0</v>
      </c>
      <c r="AZ12" s="125">
        <v>0</v>
      </c>
      <c r="BA12" s="135">
        <f>O12</f>
        <v>0</v>
      </c>
      <c r="BB12" s="125">
        <v>0</v>
      </c>
      <c r="BC12" s="135">
        <f>BT12</f>
        <v>0</v>
      </c>
      <c r="BD12" s="125">
        <v>0</v>
      </c>
      <c r="BE12" s="135">
        <f>P12</f>
        <v>0</v>
      </c>
      <c r="BF12" s="125">
        <v>0</v>
      </c>
      <c r="BG12" s="135">
        <f>BU12</f>
        <v>0</v>
      </c>
      <c r="BH12" s="125">
        <v>0</v>
      </c>
      <c r="BI12" s="135">
        <f>Q12</f>
        <v>0</v>
      </c>
      <c r="BJ12" s="125">
        <v>0</v>
      </c>
      <c r="BK12" s="125"/>
      <c r="BL12" s="125">
        <v>11</v>
      </c>
      <c r="BM12" s="125">
        <v>11</v>
      </c>
      <c r="BN12" s="125">
        <v>11</v>
      </c>
      <c r="BO12" s="125">
        <v>10</v>
      </c>
      <c r="BP12" s="125">
        <v>10</v>
      </c>
      <c r="BQ12" s="125">
        <v>0</v>
      </c>
      <c r="BR12" s="125">
        <v>0</v>
      </c>
      <c r="BS12" s="125">
        <v>0</v>
      </c>
      <c r="BT12" s="125">
        <v>0</v>
      </c>
      <c r="BU12" s="125">
        <v>0</v>
      </c>
      <c r="BW12" s="125">
        <v>10</v>
      </c>
    </row>
    <row r="13" spans="2:75">
      <c r="B13" s="1" t="s">
        <v>524</v>
      </c>
      <c r="C13" s="1"/>
      <c r="D13" s="125">
        <v>18</v>
      </c>
      <c r="E13" s="125">
        <v>20</v>
      </c>
      <c r="F13" s="125">
        <v>25</v>
      </c>
      <c r="G13" s="125">
        <v>26</v>
      </c>
      <c r="H13" s="125">
        <v>26</v>
      </c>
      <c r="I13" s="125">
        <v>27</v>
      </c>
      <c r="J13" s="125">
        <v>27</v>
      </c>
      <c r="K13" s="125">
        <v>25</v>
      </c>
      <c r="L13" s="125">
        <v>26</v>
      </c>
      <c r="M13" s="125">
        <v>26</v>
      </c>
      <c r="N13" s="125">
        <v>26</v>
      </c>
      <c r="O13" s="125">
        <v>26</v>
      </c>
      <c r="P13" s="125">
        <v>26</v>
      </c>
      <c r="Q13" s="125">
        <v>25</v>
      </c>
      <c r="R13" s="125"/>
      <c r="S13" s="125">
        <v>20</v>
      </c>
      <c r="T13" s="135">
        <f t="shared" si="1"/>
        <v>21</v>
      </c>
      <c r="U13" s="125">
        <v>23</v>
      </c>
      <c r="V13" s="135">
        <f>F13</f>
        <v>25</v>
      </c>
      <c r="W13" s="125">
        <v>25</v>
      </c>
      <c r="X13" s="135">
        <f t="shared" si="2"/>
        <v>26</v>
      </c>
      <c r="Y13" s="125">
        <v>26</v>
      </c>
      <c r="Z13" s="135">
        <f>G13</f>
        <v>26</v>
      </c>
      <c r="AA13" s="125">
        <v>26</v>
      </c>
      <c r="AB13" s="135">
        <f>BN13</f>
        <v>26</v>
      </c>
      <c r="AC13" s="125">
        <v>27</v>
      </c>
      <c r="AD13" s="135">
        <f t="shared" si="0"/>
        <v>27</v>
      </c>
      <c r="AE13" s="135">
        <f t="shared" si="0"/>
        <v>27</v>
      </c>
      <c r="AF13" s="125">
        <v>27</v>
      </c>
      <c r="AG13" s="125">
        <v>27</v>
      </c>
      <c r="AH13" s="135">
        <f t="shared" si="3"/>
        <v>25</v>
      </c>
      <c r="AI13" s="125">
        <v>25</v>
      </c>
      <c r="AJ13" s="135">
        <f>K13</f>
        <v>25</v>
      </c>
      <c r="AK13" s="125">
        <v>26</v>
      </c>
      <c r="AL13" s="135">
        <f>BP13</f>
        <v>26</v>
      </c>
      <c r="AM13" s="125">
        <v>26</v>
      </c>
      <c r="AN13" s="125">
        <v>26</v>
      </c>
      <c r="AO13" s="135">
        <f>L13</f>
        <v>26</v>
      </c>
      <c r="AP13" s="125">
        <v>26</v>
      </c>
      <c r="AQ13" s="135">
        <f>BQ13</f>
        <v>26</v>
      </c>
      <c r="AR13" s="125">
        <v>26</v>
      </c>
      <c r="AS13" s="135">
        <f>M13</f>
        <v>26</v>
      </c>
      <c r="AT13" s="125">
        <v>26</v>
      </c>
      <c r="AU13" s="135">
        <f>BR13</f>
        <v>27</v>
      </c>
      <c r="AV13" s="125">
        <v>26</v>
      </c>
      <c r="AW13" s="135">
        <f>N13</f>
        <v>26</v>
      </c>
      <c r="AX13" s="125">
        <v>27</v>
      </c>
      <c r="AY13" s="135">
        <f>BS13</f>
        <v>27</v>
      </c>
      <c r="AZ13" s="125">
        <v>26</v>
      </c>
      <c r="BA13" s="135">
        <f>O13</f>
        <v>26</v>
      </c>
      <c r="BB13" s="125">
        <v>26</v>
      </c>
      <c r="BC13" s="135">
        <f>BT13</f>
        <v>26</v>
      </c>
      <c r="BD13" s="125">
        <v>26</v>
      </c>
      <c r="BE13" s="135">
        <f>P13</f>
        <v>26</v>
      </c>
      <c r="BF13" s="125">
        <v>25</v>
      </c>
      <c r="BG13" s="135">
        <f>BU13</f>
        <v>25</v>
      </c>
      <c r="BH13" s="125">
        <v>25</v>
      </c>
      <c r="BI13" s="135">
        <f>Q13</f>
        <v>25</v>
      </c>
      <c r="BJ13" s="125">
        <v>25</v>
      </c>
      <c r="BK13" s="125"/>
      <c r="BL13" s="125">
        <v>21</v>
      </c>
      <c r="BM13" s="125">
        <v>26</v>
      </c>
      <c r="BN13" s="125">
        <v>26</v>
      </c>
      <c r="BO13" s="125">
        <v>25</v>
      </c>
      <c r="BP13" s="125">
        <v>26</v>
      </c>
      <c r="BQ13" s="125">
        <v>26</v>
      </c>
      <c r="BR13" s="125">
        <v>27</v>
      </c>
      <c r="BS13" s="125">
        <v>27</v>
      </c>
      <c r="BT13" s="125">
        <v>26</v>
      </c>
      <c r="BU13" s="125">
        <v>25</v>
      </c>
      <c r="BW13" s="125">
        <v>25</v>
      </c>
    </row>
    <row r="14" spans="2:75">
      <c r="B14" s="1"/>
      <c r="C14" s="1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35"/>
      <c r="U14" s="125"/>
      <c r="V14" s="135"/>
      <c r="W14" s="125"/>
      <c r="X14" s="135"/>
      <c r="Y14" s="125"/>
      <c r="Z14" s="135"/>
      <c r="AA14" s="125"/>
      <c r="AB14" s="135"/>
      <c r="AC14" s="125"/>
      <c r="AD14" s="135"/>
      <c r="AE14" s="135"/>
      <c r="AF14" s="125"/>
      <c r="AG14" s="125"/>
      <c r="AH14" s="135"/>
      <c r="AI14" s="125"/>
      <c r="AJ14" s="125"/>
      <c r="AK14" s="125"/>
      <c r="AL14" s="135"/>
      <c r="AM14" s="125"/>
      <c r="AN14" s="125"/>
      <c r="AO14" s="135"/>
      <c r="AP14" s="125"/>
      <c r="AQ14" s="135"/>
      <c r="AR14" s="125"/>
      <c r="AS14" s="135"/>
      <c r="AT14" s="125"/>
      <c r="AU14" s="135"/>
      <c r="AV14" s="125"/>
      <c r="AW14" s="135"/>
      <c r="AX14" s="125"/>
      <c r="AY14" s="135"/>
      <c r="AZ14" s="125"/>
      <c r="BA14" s="135"/>
      <c r="BB14" s="125"/>
      <c r="BC14" s="135"/>
      <c r="BD14" s="125"/>
      <c r="BE14" s="135"/>
      <c r="BF14" s="125"/>
      <c r="BG14" s="135"/>
      <c r="BH14" s="125"/>
      <c r="BI14" s="13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W14" s="125"/>
    </row>
    <row r="15" spans="2:75">
      <c r="B15" s="5" t="s">
        <v>561</v>
      </c>
      <c r="C15" s="5"/>
      <c r="D15" s="126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35"/>
      <c r="U15" s="127"/>
      <c r="V15" s="192"/>
      <c r="W15" s="127"/>
      <c r="X15" s="192"/>
      <c r="Y15" s="127"/>
      <c r="Z15" s="192"/>
      <c r="AA15" s="127"/>
      <c r="AB15" s="192"/>
      <c r="AC15" s="127"/>
      <c r="AD15" s="135"/>
      <c r="AE15" s="135"/>
      <c r="AF15" s="127"/>
      <c r="AG15" s="127"/>
      <c r="AH15" s="135"/>
      <c r="AI15" s="127"/>
      <c r="AJ15" s="127"/>
      <c r="AK15" s="127"/>
      <c r="AL15" s="135"/>
      <c r="AM15" s="127"/>
      <c r="AN15" s="127"/>
      <c r="AO15" s="135"/>
      <c r="AP15" s="127"/>
      <c r="AQ15" s="135"/>
      <c r="AR15" s="127"/>
      <c r="AS15" s="135"/>
      <c r="AT15" s="127"/>
      <c r="AU15" s="135"/>
      <c r="AV15" s="127"/>
      <c r="AW15" s="135"/>
      <c r="AX15" s="127"/>
      <c r="AY15" s="135"/>
      <c r="AZ15" s="127"/>
      <c r="BA15" s="135"/>
      <c r="BB15" s="127"/>
      <c r="BC15" s="135"/>
      <c r="BD15" s="127"/>
      <c r="BE15" s="135"/>
      <c r="BF15" s="127"/>
      <c r="BG15" s="135"/>
      <c r="BH15" s="127"/>
      <c r="BI15" s="135"/>
      <c r="BJ15" s="127"/>
      <c r="BK15" s="127"/>
      <c r="BL15" s="126"/>
      <c r="BM15" s="126"/>
      <c r="BN15" s="126"/>
      <c r="BO15" s="127"/>
      <c r="BP15" s="127"/>
      <c r="BQ15" s="127"/>
      <c r="BR15" s="127"/>
      <c r="BS15" s="127"/>
      <c r="BT15" s="127"/>
      <c r="BU15" s="127"/>
      <c r="BW15" s="127"/>
    </row>
    <row r="16" spans="2:75">
      <c r="B16" s="1" t="s">
        <v>521</v>
      </c>
      <c r="C16" s="1"/>
      <c r="D16" s="125">
        <v>83</v>
      </c>
      <c r="E16" s="125">
        <v>86</v>
      </c>
      <c r="F16" s="125">
        <v>85</v>
      </c>
      <c r="G16" s="125">
        <v>89</v>
      </c>
      <c r="H16" s="125">
        <v>89</v>
      </c>
      <c r="I16" s="125">
        <v>90</v>
      </c>
      <c r="J16" s="125">
        <v>90</v>
      </c>
      <c r="K16" s="125">
        <v>89</v>
      </c>
      <c r="L16" s="125">
        <v>85</v>
      </c>
      <c r="M16" s="125">
        <v>84</v>
      </c>
      <c r="N16" s="125">
        <v>85</v>
      </c>
      <c r="O16" s="125">
        <v>86</v>
      </c>
      <c r="P16" s="125">
        <v>87</v>
      </c>
      <c r="Q16" s="125">
        <v>86</v>
      </c>
      <c r="R16" s="125"/>
      <c r="S16" s="125">
        <v>85</v>
      </c>
      <c r="T16" s="125">
        <f t="shared" si="1"/>
        <v>85</v>
      </c>
      <c r="U16" s="125">
        <v>85</v>
      </c>
      <c r="V16" s="125">
        <f t="shared" ref="V16:V21" si="4">F16</f>
        <v>85</v>
      </c>
      <c r="W16" s="125">
        <v>85</v>
      </c>
      <c r="X16" s="125">
        <f t="shared" si="2"/>
        <v>85</v>
      </c>
      <c r="Y16" s="125">
        <v>87</v>
      </c>
      <c r="Z16" s="125">
        <f t="shared" ref="Z16:Z21" si="5">G16</f>
        <v>89</v>
      </c>
      <c r="AA16" s="125">
        <v>89</v>
      </c>
      <c r="AB16" s="125">
        <f t="shared" ref="AB16:AB21" si="6">BN16</f>
        <v>90</v>
      </c>
      <c r="AC16" s="125">
        <v>90</v>
      </c>
      <c r="AD16" s="125">
        <f t="shared" ref="AD16:AE22" si="7">I16</f>
        <v>90</v>
      </c>
      <c r="AE16" s="125">
        <f t="shared" si="7"/>
        <v>90</v>
      </c>
      <c r="AF16" s="125">
        <v>90</v>
      </c>
      <c r="AG16" s="125">
        <v>90</v>
      </c>
      <c r="AH16" s="125">
        <f t="shared" si="3"/>
        <v>90</v>
      </c>
      <c r="AI16" s="125">
        <v>89</v>
      </c>
      <c r="AJ16" s="125">
        <f t="shared" ref="AJ16:AJ22" si="8">K16</f>
        <v>89</v>
      </c>
      <c r="AK16" s="125">
        <v>88</v>
      </c>
      <c r="AL16" s="125">
        <f t="shared" ref="AL16:AL22" si="9">BP16</f>
        <v>89</v>
      </c>
      <c r="AM16" s="125">
        <v>88</v>
      </c>
      <c r="AN16" s="125">
        <v>88</v>
      </c>
      <c r="AO16" s="125">
        <f t="shared" ref="AO16:AO22" si="10">L16</f>
        <v>85</v>
      </c>
      <c r="AP16" s="125">
        <v>84</v>
      </c>
      <c r="AQ16" s="125">
        <f t="shared" ref="AQ16:AQ22" si="11">BQ16</f>
        <v>84</v>
      </c>
      <c r="AR16" s="125">
        <v>84</v>
      </c>
      <c r="AS16" s="125">
        <f t="shared" ref="AS16:AS22" si="12">M16</f>
        <v>84</v>
      </c>
      <c r="AT16" s="125">
        <v>85</v>
      </c>
      <c r="AU16" s="125">
        <f t="shared" ref="AU16:AU22" si="13">BR16</f>
        <v>85</v>
      </c>
      <c r="AV16" s="125">
        <v>85</v>
      </c>
      <c r="AW16" s="125">
        <f t="shared" ref="AW16:AW22" si="14">N16</f>
        <v>85</v>
      </c>
      <c r="AX16" s="125">
        <v>86</v>
      </c>
      <c r="AY16" s="125">
        <f t="shared" ref="AY16:AY22" si="15">BS16</f>
        <v>86</v>
      </c>
      <c r="AZ16" s="125">
        <v>86</v>
      </c>
      <c r="BA16" s="125">
        <f t="shared" ref="BA16:BA22" si="16">O16</f>
        <v>86</v>
      </c>
      <c r="BB16" s="125">
        <v>87</v>
      </c>
      <c r="BC16" s="135">
        <f t="shared" ref="BC16:BC22" si="17">BT16</f>
        <v>87</v>
      </c>
      <c r="BD16" s="125">
        <v>87</v>
      </c>
      <c r="BE16" s="135">
        <f t="shared" ref="BE16:BE22" si="18">P16</f>
        <v>87</v>
      </c>
      <c r="BF16" s="125">
        <v>86</v>
      </c>
      <c r="BG16" s="135">
        <f t="shared" ref="BG16:BG22" si="19">BU16</f>
        <v>86</v>
      </c>
      <c r="BH16" s="125">
        <v>86</v>
      </c>
      <c r="BI16" s="135">
        <f t="shared" ref="BI16:BI22" si="20">Q16</f>
        <v>86</v>
      </c>
      <c r="BJ16" s="125">
        <v>86</v>
      </c>
      <c r="BK16" s="125"/>
      <c r="BL16" s="125">
        <v>85</v>
      </c>
      <c r="BM16" s="125">
        <v>85</v>
      </c>
      <c r="BN16" s="125">
        <v>90</v>
      </c>
      <c r="BO16" s="125">
        <v>90</v>
      </c>
      <c r="BP16" s="125">
        <v>89</v>
      </c>
      <c r="BQ16" s="125">
        <v>84</v>
      </c>
      <c r="BR16" s="125">
        <v>85</v>
      </c>
      <c r="BS16" s="125">
        <v>86</v>
      </c>
      <c r="BT16" s="125">
        <v>87</v>
      </c>
      <c r="BU16" s="125">
        <v>86</v>
      </c>
      <c r="BW16" s="125">
        <v>90</v>
      </c>
    </row>
    <row r="17" spans="2:75">
      <c r="B17" s="1" t="s">
        <v>522</v>
      </c>
      <c r="C17" s="1"/>
      <c r="D17" s="125">
        <v>56</v>
      </c>
      <c r="E17" s="128">
        <v>57</v>
      </c>
      <c r="F17" s="128">
        <v>56</v>
      </c>
      <c r="G17" s="128">
        <v>56</v>
      </c>
      <c r="H17" s="128">
        <v>56</v>
      </c>
      <c r="I17" s="128">
        <v>56</v>
      </c>
      <c r="J17" s="128">
        <v>56</v>
      </c>
      <c r="K17" s="128">
        <v>55</v>
      </c>
      <c r="L17" s="128">
        <v>56</v>
      </c>
      <c r="M17" s="125">
        <v>56</v>
      </c>
      <c r="N17" s="125">
        <v>56</v>
      </c>
      <c r="O17" s="125">
        <v>56</v>
      </c>
      <c r="P17" s="125">
        <v>55</v>
      </c>
      <c r="Q17" s="125">
        <v>53</v>
      </c>
      <c r="R17" s="125"/>
      <c r="S17" s="125">
        <v>56</v>
      </c>
      <c r="T17" s="125">
        <f t="shared" si="1"/>
        <v>56</v>
      </c>
      <c r="U17" s="125">
        <v>56</v>
      </c>
      <c r="V17" s="125">
        <f t="shared" si="4"/>
        <v>56</v>
      </c>
      <c r="W17" s="125">
        <v>56</v>
      </c>
      <c r="X17" s="125">
        <f t="shared" si="2"/>
        <v>56</v>
      </c>
      <c r="Y17" s="125">
        <v>56</v>
      </c>
      <c r="Z17" s="125">
        <f t="shared" si="5"/>
        <v>56</v>
      </c>
      <c r="AA17" s="125">
        <v>56</v>
      </c>
      <c r="AB17" s="125">
        <f t="shared" si="6"/>
        <v>56</v>
      </c>
      <c r="AC17" s="125">
        <v>56</v>
      </c>
      <c r="AD17" s="125">
        <f t="shared" si="7"/>
        <v>56</v>
      </c>
      <c r="AE17" s="125">
        <f t="shared" si="7"/>
        <v>56</v>
      </c>
      <c r="AF17" s="125">
        <v>56</v>
      </c>
      <c r="AG17" s="125">
        <v>56</v>
      </c>
      <c r="AH17" s="125">
        <f t="shared" si="3"/>
        <v>56</v>
      </c>
      <c r="AI17" s="125">
        <v>54</v>
      </c>
      <c r="AJ17" s="125">
        <f t="shared" si="8"/>
        <v>55</v>
      </c>
      <c r="AK17" s="125">
        <v>55</v>
      </c>
      <c r="AL17" s="125">
        <f t="shared" si="9"/>
        <v>55</v>
      </c>
      <c r="AM17" s="125">
        <v>56</v>
      </c>
      <c r="AN17" s="125">
        <v>56</v>
      </c>
      <c r="AO17" s="125">
        <f t="shared" si="10"/>
        <v>56</v>
      </c>
      <c r="AP17" s="125">
        <v>56</v>
      </c>
      <c r="AQ17" s="125">
        <f t="shared" si="11"/>
        <v>56</v>
      </c>
      <c r="AR17" s="125">
        <v>56</v>
      </c>
      <c r="AS17" s="125">
        <f t="shared" si="12"/>
        <v>56</v>
      </c>
      <c r="AT17" s="125">
        <v>56</v>
      </c>
      <c r="AU17" s="125">
        <f t="shared" si="13"/>
        <v>56</v>
      </c>
      <c r="AV17" s="125">
        <v>56</v>
      </c>
      <c r="AW17" s="125">
        <f t="shared" si="14"/>
        <v>56</v>
      </c>
      <c r="AX17" s="125">
        <v>55</v>
      </c>
      <c r="AY17" s="125">
        <f t="shared" si="15"/>
        <v>55</v>
      </c>
      <c r="AZ17" s="125">
        <v>56</v>
      </c>
      <c r="BA17" s="125">
        <f t="shared" si="16"/>
        <v>56</v>
      </c>
      <c r="BB17" s="125">
        <v>56</v>
      </c>
      <c r="BC17" s="135">
        <f t="shared" si="17"/>
        <v>55</v>
      </c>
      <c r="BD17" s="125">
        <v>55</v>
      </c>
      <c r="BE17" s="135">
        <f t="shared" si="18"/>
        <v>55</v>
      </c>
      <c r="BF17" s="125">
        <v>55</v>
      </c>
      <c r="BG17" s="135">
        <f t="shared" si="19"/>
        <v>54</v>
      </c>
      <c r="BH17" s="125">
        <v>53</v>
      </c>
      <c r="BI17" s="135">
        <f t="shared" si="20"/>
        <v>53</v>
      </c>
      <c r="BJ17" s="125">
        <v>51</v>
      </c>
      <c r="BK17" s="125"/>
      <c r="BL17" s="125">
        <v>56</v>
      </c>
      <c r="BM17" s="125">
        <v>56</v>
      </c>
      <c r="BN17" s="125">
        <v>56</v>
      </c>
      <c r="BO17" s="125">
        <v>56</v>
      </c>
      <c r="BP17" s="125">
        <v>55</v>
      </c>
      <c r="BQ17" s="125">
        <v>56</v>
      </c>
      <c r="BR17" s="125">
        <v>56</v>
      </c>
      <c r="BS17" s="125">
        <v>55</v>
      </c>
      <c r="BT17" s="125">
        <v>55</v>
      </c>
      <c r="BU17" s="125">
        <v>54</v>
      </c>
      <c r="BW17" s="125">
        <v>56</v>
      </c>
    </row>
    <row r="18" spans="2:75">
      <c r="B18" s="1" t="s">
        <v>523</v>
      </c>
      <c r="C18" s="1"/>
      <c r="D18" s="125">
        <v>8</v>
      </c>
      <c r="E18" s="128">
        <v>8</v>
      </c>
      <c r="F18" s="128">
        <v>8</v>
      </c>
      <c r="G18" s="128">
        <v>8</v>
      </c>
      <c r="H18" s="128">
        <v>8</v>
      </c>
      <c r="I18" s="128">
        <v>9</v>
      </c>
      <c r="J18" s="128">
        <v>9</v>
      </c>
      <c r="K18" s="128">
        <v>9</v>
      </c>
      <c r="L18" s="128">
        <v>8</v>
      </c>
      <c r="M18" s="125">
        <v>7</v>
      </c>
      <c r="N18" s="125">
        <v>7</v>
      </c>
      <c r="O18" s="125">
        <v>7</v>
      </c>
      <c r="P18" s="125">
        <v>7</v>
      </c>
      <c r="Q18" s="125">
        <v>7</v>
      </c>
      <c r="R18" s="125"/>
      <c r="S18" s="125">
        <v>8</v>
      </c>
      <c r="T18" s="125">
        <f t="shared" si="1"/>
        <v>8</v>
      </c>
      <c r="U18" s="125">
        <v>8</v>
      </c>
      <c r="V18" s="125">
        <f t="shared" si="4"/>
        <v>8</v>
      </c>
      <c r="W18" s="125">
        <v>8</v>
      </c>
      <c r="X18" s="125">
        <f t="shared" si="2"/>
        <v>8</v>
      </c>
      <c r="Y18" s="125">
        <v>8</v>
      </c>
      <c r="Z18" s="125">
        <f t="shared" si="5"/>
        <v>8</v>
      </c>
      <c r="AA18" s="125">
        <v>8</v>
      </c>
      <c r="AB18" s="125">
        <f t="shared" si="6"/>
        <v>8</v>
      </c>
      <c r="AC18" s="125">
        <v>9</v>
      </c>
      <c r="AD18" s="125">
        <f t="shared" si="7"/>
        <v>9</v>
      </c>
      <c r="AE18" s="125">
        <f t="shared" si="7"/>
        <v>9</v>
      </c>
      <c r="AF18" s="125">
        <v>9</v>
      </c>
      <c r="AG18" s="125">
        <v>9</v>
      </c>
      <c r="AH18" s="125">
        <f t="shared" si="3"/>
        <v>9</v>
      </c>
      <c r="AI18" s="125">
        <v>9</v>
      </c>
      <c r="AJ18" s="125">
        <f t="shared" si="8"/>
        <v>9</v>
      </c>
      <c r="AK18" s="125">
        <v>9</v>
      </c>
      <c r="AL18" s="125">
        <f t="shared" si="9"/>
        <v>9</v>
      </c>
      <c r="AM18" s="125">
        <v>9</v>
      </c>
      <c r="AN18" s="125">
        <v>9</v>
      </c>
      <c r="AO18" s="125">
        <f t="shared" si="10"/>
        <v>8</v>
      </c>
      <c r="AP18" s="125">
        <v>7</v>
      </c>
      <c r="AQ18" s="125">
        <f t="shared" si="11"/>
        <v>7</v>
      </c>
      <c r="AR18" s="125">
        <v>7</v>
      </c>
      <c r="AS18" s="125">
        <f t="shared" si="12"/>
        <v>7</v>
      </c>
      <c r="AT18" s="125">
        <v>7</v>
      </c>
      <c r="AU18" s="125">
        <f t="shared" si="13"/>
        <v>7</v>
      </c>
      <c r="AV18" s="125">
        <v>7</v>
      </c>
      <c r="AW18" s="125">
        <f t="shared" si="14"/>
        <v>7</v>
      </c>
      <c r="AX18" s="125">
        <v>7</v>
      </c>
      <c r="AY18" s="125">
        <f t="shared" si="15"/>
        <v>7</v>
      </c>
      <c r="AZ18" s="125">
        <v>7</v>
      </c>
      <c r="BA18" s="125">
        <f t="shared" si="16"/>
        <v>7</v>
      </c>
      <c r="BB18" s="125">
        <v>7</v>
      </c>
      <c r="BC18" s="135">
        <f t="shared" si="17"/>
        <v>7</v>
      </c>
      <c r="BD18" s="125">
        <v>7</v>
      </c>
      <c r="BE18" s="135">
        <f t="shared" si="18"/>
        <v>7</v>
      </c>
      <c r="BF18" s="125">
        <v>7</v>
      </c>
      <c r="BG18" s="135">
        <f t="shared" si="19"/>
        <v>7</v>
      </c>
      <c r="BH18" s="125">
        <v>7</v>
      </c>
      <c r="BI18" s="135">
        <f t="shared" si="20"/>
        <v>7</v>
      </c>
      <c r="BJ18" s="125">
        <v>7</v>
      </c>
      <c r="BK18" s="125"/>
      <c r="BL18" s="125">
        <v>8</v>
      </c>
      <c r="BM18" s="125">
        <v>8</v>
      </c>
      <c r="BN18" s="125">
        <v>8</v>
      </c>
      <c r="BO18" s="125">
        <v>9</v>
      </c>
      <c r="BP18" s="125">
        <v>9</v>
      </c>
      <c r="BQ18" s="125">
        <v>7</v>
      </c>
      <c r="BR18" s="125">
        <v>7</v>
      </c>
      <c r="BS18" s="125">
        <v>7</v>
      </c>
      <c r="BT18" s="125">
        <v>7</v>
      </c>
      <c r="BU18" s="125">
        <v>7</v>
      </c>
      <c r="BW18" s="125">
        <v>9</v>
      </c>
    </row>
    <row r="19" spans="2:75">
      <c r="B19" s="1" t="s">
        <v>524</v>
      </c>
      <c r="C19" s="1"/>
      <c r="D19" s="125">
        <v>34</v>
      </c>
      <c r="E19" s="128">
        <v>36</v>
      </c>
      <c r="F19" s="128">
        <v>38</v>
      </c>
      <c r="G19" s="128">
        <v>38</v>
      </c>
      <c r="H19" s="128">
        <v>38</v>
      </c>
      <c r="I19" s="128">
        <v>40</v>
      </c>
      <c r="J19" s="128">
        <v>40</v>
      </c>
      <c r="K19" s="128">
        <v>40</v>
      </c>
      <c r="L19" s="128">
        <v>40</v>
      </c>
      <c r="M19" s="125">
        <v>40</v>
      </c>
      <c r="N19" s="125">
        <v>40</v>
      </c>
      <c r="O19" s="125">
        <v>41</v>
      </c>
      <c r="P19" s="125">
        <v>42</v>
      </c>
      <c r="Q19" s="125">
        <v>42</v>
      </c>
      <c r="R19" s="125"/>
      <c r="S19" s="125">
        <v>35</v>
      </c>
      <c r="T19" s="125">
        <f t="shared" si="1"/>
        <v>35</v>
      </c>
      <c r="U19" s="125">
        <v>35</v>
      </c>
      <c r="V19" s="125">
        <f t="shared" si="4"/>
        <v>38</v>
      </c>
      <c r="W19" s="125">
        <v>38</v>
      </c>
      <c r="X19" s="125">
        <f t="shared" si="2"/>
        <v>38</v>
      </c>
      <c r="Y19" s="125">
        <v>38</v>
      </c>
      <c r="Z19" s="125">
        <f t="shared" si="5"/>
        <v>38</v>
      </c>
      <c r="AA19" s="125">
        <v>38</v>
      </c>
      <c r="AB19" s="125">
        <f t="shared" si="6"/>
        <v>38</v>
      </c>
      <c r="AC19" s="125">
        <v>40</v>
      </c>
      <c r="AD19" s="125">
        <f t="shared" si="7"/>
        <v>40</v>
      </c>
      <c r="AE19" s="125">
        <f t="shared" si="7"/>
        <v>40</v>
      </c>
      <c r="AF19" s="125">
        <v>40</v>
      </c>
      <c r="AG19" s="125">
        <v>40</v>
      </c>
      <c r="AH19" s="125">
        <f t="shared" si="3"/>
        <v>40</v>
      </c>
      <c r="AI19" s="125">
        <v>40</v>
      </c>
      <c r="AJ19" s="125">
        <f t="shared" si="8"/>
        <v>40</v>
      </c>
      <c r="AK19" s="125">
        <v>40</v>
      </c>
      <c r="AL19" s="125">
        <f t="shared" si="9"/>
        <v>40</v>
      </c>
      <c r="AM19" s="125">
        <v>40</v>
      </c>
      <c r="AN19" s="125">
        <v>40</v>
      </c>
      <c r="AO19" s="125">
        <f t="shared" si="10"/>
        <v>40</v>
      </c>
      <c r="AP19" s="125">
        <v>40</v>
      </c>
      <c r="AQ19" s="125">
        <f t="shared" si="11"/>
        <v>40</v>
      </c>
      <c r="AR19" s="125">
        <v>40</v>
      </c>
      <c r="AS19" s="125">
        <f t="shared" si="12"/>
        <v>40</v>
      </c>
      <c r="AT19" s="125">
        <v>40</v>
      </c>
      <c r="AU19" s="125">
        <f t="shared" si="13"/>
        <v>40</v>
      </c>
      <c r="AV19" s="125">
        <v>40</v>
      </c>
      <c r="AW19" s="125">
        <f t="shared" si="14"/>
        <v>40</v>
      </c>
      <c r="AX19" s="125">
        <v>40</v>
      </c>
      <c r="AY19" s="125">
        <f t="shared" si="15"/>
        <v>40</v>
      </c>
      <c r="AZ19" s="125">
        <v>41</v>
      </c>
      <c r="BA19" s="125">
        <f t="shared" si="16"/>
        <v>41</v>
      </c>
      <c r="BB19" s="125">
        <v>42</v>
      </c>
      <c r="BC19" s="135">
        <f t="shared" si="17"/>
        <v>42</v>
      </c>
      <c r="BD19" s="125">
        <v>42</v>
      </c>
      <c r="BE19" s="135">
        <f t="shared" si="18"/>
        <v>42</v>
      </c>
      <c r="BF19" s="125">
        <v>42</v>
      </c>
      <c r="BG19" s="135">
        <f t="shared" si="19"/>
        <v>42</v>
      </c>
      <c r="BH19" s="125">
        <v>42</v>
      </c>
      <c r="BI19" s="135">
        <f t="shared" si="20"/>
        <v>42</v>
      </c>
      <c r="BJ19" s="125">
        <v>42</v>
      </c>
      <c r="BK19" s="125"/>
      <c r="BL19" s="125">
        <v>35</v>
      </c>
      <c r="BM19" s="125">
        <v>38</v>
      </c>
      <c r="BN19" s="125">
        <v>38</v>
      </c>
      <c r="BO19" s="125">
        <v>40</v>
      </c>
      <c r="BP19" s="125">
        <v>40</v>
      </c>
      <c r="BQ19" s="125">
        <v>40</v>
      </c>
      <c r="BR19" s="125">
        <v>40</v>
      </c>
      <c r="BS19" s="125">
        <v>40</v>
      </c>
      <c r="BT19" s="125">
        <v>42</v>
      </c>
      <c r="BU19" s="125">
        <v>42</v>
      </c>
      <c r="BW19" s="125">
        <v>40</v>
      </c>
    </row>
    <row r="20" spans="2:75">
      <c r="B20" s="1" t="s">
        <v>525</v>
      </c>
      <c r="C20" s="1"/>
      <c r="D20" s="125">
        <v>57</v>
      </c>
      <c r="E20" s="128">
        <v>58</v>
      </c>
      <c r="F20" s="128">
        <v>56</v>
      </c>
      <c r="G20" s="128">
        <v>57</v>
      </c>
      <c r="H20" s="128">
        <v>57</v>
      </c>
      <c r="I20" s="128">
        <v>53</v>
      </c>
      <c r="J20" s="128">
        <v>53</v>
      </c>
      <c r="K20" s="128">
        <v>53</v>
      </c>
      <c r="L20" s="128">
        <v>53</v>
      </c>
      <c r="M20" s="125">
        <v>52</v>
      </c>
      <c r="N20" s="125">
        <v>55</v>
      </c>
      <c r="O20" s="125">
        <v>54</v>
      </c>
      <c r="P20" s="125">
        <v>52</v>
      </c>
      <c r="Q20" s="125">
        <v>51</v>
      </c>
      <c r="R20" s="125"/>
      <c r="S20" s="125">
        <v>57</v>
      </c>
      <c r="T20" s="125">
        <f t="shared" si="1"/>
        <v>57</v>
      </c>
      <c r="U20" s="125">
        <v>57</v>
      </c>
      <c r="V20" s="125">
        <f t="shared" si="4"/>
        <v>56</v>
      </c>
      <c r="W20" s="125">
        <v>55</v>
      </c>
      <c r="X20" s="125">
        <f t="shared" si="2"/>
        <v>56</v>
      </c>
      <c r="Y20" s="125">
        <v>56</v>
      </c>
      <c r="Z20" s="125">
        <f t="shared" si="5"/>
        <v>57</v>
      </c>
      <c r="AA20" s="125">
        <v>57</v>
      </c>
      <c r="AB20" s="125">
        <f t="shared" si="6"/>
        <v>57</v>
      </c>
      <c r="AC20" s="125">
        <v>53</v>
      </c>
      <c r="AD20" s="125">
        <f t="shared" si="7"/>
        <v>53</v>
      </c>
      <c r="AE20" s="125">
        <f t="shared" si="7"/>
        <v>53</v>
      </c>
      <c r="AF20" s="125">
        <v>53</v>
      </c>
      <c r="AG20" s="125">
        <v>53</v>
      </c>
      <c r="AH20" s="125">
        <f t="shared" si="3"/>
        <v>53</v>
      </c>
      <c r="AI20" s="125">
        <v>53</v>
      </c>
      <c r="AJ20" s="125">
        <f t="shared" si="8"/>
        <v>53</v>
      </c>
      <c r="AK20" s="125">
        <v>53</v>
      </c>
      <c r="AL20" s="125">
        <f t="shared" si="9"/>
        <v>53</v>
      </c>
      <c r="AM20" s="125">
        <v>53</v>
      </c>
      <c r="AN20" s="125">
        <v>53</v>
      </c>
      <c r="AO20" s="125">
        <f t="shared" si="10"/>
        <v>53</v>
      </c>
      <c r="AP20" s="125">
        <v>53</v>
      </c>
      <c r="AQ20" s="125">
        <f t="shared" si="11"/>
        <v>52</v>
      </c>
      <c r="AR20" s="125">
        <v>53</v>
      </c>
      <c r="AS20" s="125">
        <f t="shared" si="12"/>
        <v>52</v>
      </c>
      <c r="AT20" s="125">
        <v>53</v>
      </c>
      <c r="AU20" s="125">
        <f t="shared" si="13"/>
        <v>53</v>
      </c>
      <c r="AV20" s="125">
        <v>53</v>
      </c>
      <c r="AW20" s="125">
        <f t="shared" si="14"/>
        <v>55</v>
      </c>
      <c r="AX20" s="125">
        <v>55</v>
      </c>
      <c r="AY20" s="125">
        <f t="shared" si="15"/>
        <v>54</v>
      </c>
      <c r="AZ20" s="125">
        <v>54</v>
      </c>
      <c r="BA20" s="125">
        <f t="shared" si="16"/>
        <v>54</v>
      </c>
      <c r="BB20" s="125">
        <v>54</v>
      </c>
      <c r="BC20" s="193">
        <f t="shared" si="17"/>
        <v>54</v>
      </c>
      <c r="BD20" s="128">
        <v>54</v>
      </c>
      <c r="BE20" s="135">
        <f t="shared" si="18"/>
        <v>52</v>
      </c>
      <c r="BF20" s="125">
        <v>52</v>
      </c>
      <c r="BG20" s="135">
        <f t="shared" si="19"/>
        <v>52</v>
      </c>
      <c r="BH20" s="125">
        <v>52</v>
      </c>
      <c r="BI20" s="135">
        <f t="shared" si="20"/>
        <v>51</v>
      </c>
      <c r="BJ20" s="125">
        <v>51</v>
      </c>
      <c r="BK20" s="125"/>
      <c r="BL20" s="125">
        <v>57</v>
      </c>
      <c r="BM20" s="125">
        <v>56</v>
      </c>
      <c r="BN20" s="125">
        <v>57</v>
      </c>
      <c r="BO20" s="128">
        <v>53</v>
      </c>
      <c r="BP20" s="128">
        <v>53</v>
      </c>
      <c r="BQ20" s="128">
        <v>52</v>
      </c>
      <c r="BR20" s="128">
        <v>53</v>
      </c>
      <c r="BS20" s="128">
        <v>54</v>
      </c>
      <c r="BT20" s="128">
        <v>54</v>
      </c>
      <c r="BU20" s="128">
        <v>52</v>
      </c>
      <c r="BW20" s="128">
        <v>53</v>
      </c>
    </row>
    <row r="21" spans="2:75">
      <c r="B21" s="1" t="s">
        <v>562</v>
      </c>
      <c r="C21" s="1"/>
      <c r="D21" s="125">
        <v>0</v>
      </c>
      <c r="E21" s="128">
        <v>2</v>
      </c>
      <c r="F21" s="128">
        <v>3</v>
      </c>
      <c r="G21" s="128">
        <v>3</v>
      </c>
      <c r="H21" s="128">
        <v>3</v>
      </c>
      <c r="I21" s="128">
        <v>3</v>
      </c>
      <c r="J21" s="128">
        <v>3</v>
      </c>
      <c r="K21" s="128">
        <v>3</v>
      </c>
      <c r="L21" s="128">
        <v>3</v>
      </c>
      <c r="M21" s="125">
        <v>4</v>
      </c>
      <c r="N21" s="125">
        <v>4</v>
      </c>
      <c r="O21" s="125">
        <v>4</v>
      </c>
      <c r="P21" s="125">
        <v>4</v>
      </c>
      <c r="Q21" s="125">
        <v>4</v>
      </c>
      <c r="R21" s="125"/>
      <c r="S21" s="125">
        <v>2</v>
      </c>
      <c r="T21" s="125">
        <f t="shared" si="1"/>
        <v>2</v>
      </c>
      <c r="U21" s="125">
        <v>2</v>
      </c>
      <c r="V21" s="125">
        <f t="shared" si="4"/>
        <v>3</v>
      </c>
      <c r="W21" s="125">
        <v>3</v>
      </c>
      <c r="X21" s="125">
        <f t="shared" si="2"/>
        <v>3</v>
      </c>
      <c r="Y21" s="125">
        <v>3</v>
      </c>
      <c r="Z21" s="125">
        <f t="shared" si="5"/>
        <v>3</v>
      </c>
      <c r="AA21" s="125">
        <v>3</v>
      </c>
      <c r="AB21" s="125">
        <f t="shared" si="6"/>
        <v>3</v>
      </c>
      <c r="AC21" s="125">
        <v>3</v>
      </c>
      <c r="AD21" s="125">
        <f t="shared" si="7"/>
        <v>3</v>
      </c>
      <c r="AE21" s="125">
        <f t="shared" si="7"/>
        <v>3</v>
      </c>
      <c r="AF21" s="125">
        <v>3</v>
      </c>
      <c r="AG21" s="125">
        <v>3</v>
      </c>
      <c r="AH21" s="125">
        <f t="shared" si="3"/>
        <v>3</v>
      </c>
      <c r="AI21" s="125">
        <v>3</v>
      </c>
      <c r="AJ21" s="125">
        <f t="shared" si="8"/>
        <v>3</v>
      </c>
      <c r="AK21" s="125">
        <v>3</v>
      </c>
      <c r="AL21" s="125">
        <f t="shared" si="9"/>
        <v>3</v>
      </c>
      <c r="AM21" s="125">
        <v>3</v>
      </c>
      <c r="AN21" s="125">
        <v>3</v>
      </c>
      <c r="AO21" s="125">
        <f t="shared" si="10"/>
        <v>3</v>
      </c>
      <c r="AP21" s="125">
        <v>3</v>
      </c>
      <c r="AQ21" s="125">
        <f t="shared" si="11"/>
        <v>4</v>
      </c>
      <c r="AR21" s="125">
        <v>4</v>
      </c>
      <c r="AS21" s="125">
        <f t="shared" si="12"/>
        <v>4</v>
      </c>
      <c r="AT21" s="125">
        <v>4</v>
      </c>
      <c r="AU21" s="125">
        <f t="shared" si="13"/>
        <v>4</v>
      </c>
      <c r="AV21" s="125">
        <v>4</v>
      </c>
      <c r="AW21" s="125">
        <f t="shared" si="14"/>
        <v>4</v>
      </c>
      <c r="AX21" s="125">
        <v>4</v>
      </c>
      <c r="AY21" s="125">
        <f t="shared" si="15"/>
        <v>4</v>
      </c>
      <c r="AZ21" s="125">
        <v>4</v>
      </c>
      <c r="BA21" s="125">
        <f t="shared" si="16"/>
        <v>4</v>
      </c>
      <c r="BB21" s="125">
        <v>4</v>
      </c>
      <c r="BC21" s="193">
        <f t="shared" si="17"/>
        <v>4</v>
      </c>
      <c r="BD21" s="128">
        <v>4</v>
      </c>
      <c r="BE21" s="135">
        <f t="shared" si="18"/>
        <v>4</v>
      </c>
      <c r="BF21" s="125">
        <v>4</v>
      </c>
      <c r="BG21" s="135">
        <f t="shared" si="19"/>
        <v>4</v>
      </c>
      <c r="BH21" s="125">
        <v>4</v>
      </c>
      <c r="BI21" s="135">
        <f t="shared" si="20"/>
        <v>4</v>
      </c>
      <c r="BJ21" s="125">
        <v>4</v>
      </c>
      <c r="BK21" s="125"/>
      <c r="BL21" s="125">
        <v>2</v>
      </c>
      <c r="BM21" s="125">
        <v>3</v>
      </c>
      <c r="BN21" s="125">
        <v>3</v>
      </c>
      <c r="BO21" s="128">
        <v>3</v>
      </c>
      <c r="BP21" s="128">
        <v>3</v>
      </c>
      <c r="BQ21" s="128">
        <v>4</v>
      </c>
      <c r="BR21" s="128">
        <v>4</v>
      </c>
      <c r="BS21" s="128">
        <v>4</v>
      </c>
      <c r="BT21" s="128">
        <v>4</v>
      </c>
      <c r="BU21" s="128">
        <v>4</v>
      </c>
      <c r="BW21" s="128">
        <v>3</v>
      </c>
    </row>
    <row r="22" spans="2:75">
      <c r="B22" s="1" t="s">
        <v>563</v>
      </c>
      <c r="C22" s="1"/>
      <c r="D22" s="125"/>
      <c r="E22" s="128"/>
      <c r="F22" s="128"/>
      <c r="G22" s="128"/>
      <c r="H22" s="128">
        <v>0</v>
      </c>
      <c r="I22" s="128">
        <v>3</v>
      </c>
      <c r="J22" s="128">
        <v>3</v>
      </c>
      <c r="K22" s="128">
        <v>5</v>
      </c>
      <c r="L22" s="128">
        <v>6</v>
      </c>
      <c r="M22" s="125">
        <v>9</v>
      </c>
      <c r="N22" s="125">
        <v>12</v>
      </c>
      <c r="O22" s="125">
        <v>13</v>
      </c>
      <c r="P22" s="125">
        <v>15</v>
      </c>
      <c r="Q22" s="125">
        <v>15</v>
      </c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>
        <v>1</v>
      </c>
      <c r="AD22" s="125">
        <f t="shared" si="7"/>
        <v>3</v>
      </c>
      <c r="AE22" s="125">
        <f t="shared" si="7"/>
        <v>3</v>
      </c>
      <c r="AF22" s="125">
        <v>3</v>
      </c>
      <c r="AG22" s="125">
        <v>3</v>
      </c>
      <c r="AH22" s="125">
        <f t="shared" si="3"/>
        <v>3</v>
      </c>
      <c r="AI22" s="125">
        <v>3</v>
      </c>
      <c r="AJ22" s="125">
        <f t="shared" si="8"/>
        <v>5</v>
      </c>
      <c r="AK22" s="125">
        <v>6</v>
      </c>
      <c r="AL22" s="125">
        <f t="shared" si="9"/>
        <v>6</v>
      </c>
      <c r="AM22" s="125">
        <v>6</v>
      </c>
      <c r="AN22" s="125">
        <v>6</v>
      </c>
      <c r="AO22" s="125">
        <f t="shared" si="10"/>
        <v>6</v>
      </c>
      <c r="AP22" s="125">
        <v>6</v>
      </c>
      <c r="AQ22" s="125">
        <f t="shared" si="11"/>
        <v>7</v>
      </c>
      <c r="AR22" s="125">
        <v>8</v>
      </c>
      <c r="AS22" s="125">
        <f t="shared" si="12"/>
        <v>9</v>
      </c>
      <c r="AT22" s="125">
        <v>9</v>
      </c>
      <c r="AU22" s="125">
        <f t="shared" si="13"/>
        <v>10</v>
      </c>
      <c r="AV22" s="125">
        <v>10</v>
      </c>
      <c r="AW22" s="125">
        <f t="shared" si="14"/>
        <v>12</v>
      </c>
      <c r="AX22" s="125">
        <v>12</v>
      </c>
      <c r="AY22" s="125">
        <f t="shared" si="15"/>
        <v>12</v>
      </c>
      <c r="AZ22" s="125">
        <v>13</v>
      </c>
      <c r="BA22" s="125">
        <f t="shared" si="16"/>
        <v>13</v>
      </c>
      <c r="BB22" s="125">
        <v>13</v>
      </c>
      <c r="BC22" s="193">
        <f t="shared" si="17"/>
        <v>14</v>
      </c>
      <c r="BD22" s="128">
        <v>14</v>
      </c>
      <c r="BE22" s="135">
        <f t="shared" si="18"/>
        <v>15</v>
      </c>
      <c r="BF22" s="125">
        <v>15</v>
      </c>
      <c r="BG22" s="135">
        <f t="shared" si="19"/>
        <v>15</v>
      </c>
      <c r="BH22" s="125">
        <v>15</v>
      </c>
      <c r="BI22" s="135">
        <f t="shared" si="20"/>
        <v>15</v>
      </c>
      <c r="BJ22" s="125">
        <v>15</v>
      </c>
      <c r="BK22" s="125"/>
      <c r="BL22" s="125"/>
      <c r="BM22" s="125"/>
      <c r="BN22" s="125"/>
      <c r="BO22" s="128">
        <v>3</v>
      </c>
      <c r="BP22" s="128">
        <v>6</v>
      </c>
      <c r="BQ22" s="128">
        <v>7</v>
      </c>
      <c r="BR22" s="128">
        <v>10</v>
      </c>
      <c r="BS22" s="128">
        <v>12</v>
      </c>
      <c r="BT22" s="128">
        <v>14</v>
      </c>
      <c r="BU22" s="128">
        <v>15</v>
      </c>
      <c r="BW22" s="128">
        <v>3</v>
      </c>
    </row>
    <row r="23" spans="2:75">
      <c r="B23" s="5"/>
      <c r="C23" s="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35"/>
      <c r="BD23" s="125"/>
      <c r="BE23" s="135"/>
      <c r="BF23" s="125"/>
      <c r="BG23" s="135"/>
      <c r="BH23" s="125"/>
      <c r="BI23" s="13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W23" s="125"/>
    </row>
    <row r="24" spans="2:75">
      <c r="B24" s="5" t="s">
        <v>564</v>
      </c>
      <c r="C24" s="5"/>
      <c r="D24" s="125"/>
      <c r="E24" s="125"/>
      <c r="F24" s="125"/>
      <c r="G24" s="125"/>
      <c r="H24" s="125"/>
      <c r="I24" s="125"/>
      <c r="J24" s="125"/>
      <c r="K24" s="125"/>
      <c r="L24" s="125"/>
      <c r="M24" s="129"/>
      <c r="N24" s="129"/>
      <c r="O24" s="129"/>
      <c r="P24" s="129"/>
      <c r="Q24" s="129"/>
      <c r="R24" s="128"/>
      <c r="S24" s="128"/>
      <c r="T24" s="135"/>
      <c r="U24" s="128"/>
      <c r="V24" s="135"/>
      <c r="W24" s="125"/>
      <c r="X24" s="193"/>
      <c r="Y24" s="128"/>
      <c r="Z24" s="135"/>
      <c r="AA24" s="125"/>
      <c r="AB24" s="193"/>
      <c r="AC24" s="128"/>
      <c r="AD24" s="135"/>
      <c r="AE24" s="135"/>
      <c r="AF24" s="125"/>
      <c r="AG24" s="125"/>
      <c r="AH24" s="135"/>
      <c r="AI24" s="125"/>
      <c r="AJ24" s="125"/>
      <c r="AK24" s="125"/>
      <c r="AL24" s="135"/>
      <c r="AM24" s="125"/>
      <c r="AN24" s="125"/>
      <c r="AO24" s="135"/>
      <c r="AP24" s="125"/>
      <c r="AQ24" s="135"/>
      <c r="AR24" s="125"/>
      <c r="AS24" s="135"/>
      <c r="AT24" s="125"/>
      <c r="AU24" s="135"/>
      <c r="AV24" s="125"/>
      <c r="AW24" s="135"/>
      <c r="AX24" s="125"/>
      <c r="AY24" s="135"/>
      <c r="AZ24" s="125"/>
      <c r="BA24" s="135"/>
      <c r="BB24" s="125"/>
      <c r="BC24" s="135"/>
      <c r="BD24" s="125"/>
      <c r="BE24" s="135"/>
      <c r="BF24" s="125"/>
      <c r="BG24" s="135"/>
      <c r="BH24" s="125"/>
      <c r="BI24" s="13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W24" s="125"/>
    </row>
    <row r="25" spans="2:75">
      <c r="B25" s="1" t="s">
        <v>521</v>
      </c>
      <c r="C25" s="1"/>
      <c r="D25" s="125">
        <v>52</v>
      </c>
      <c r="E25" s="125">
        <v>57</v>
      </c>
      <c r="F25" s="125">
        <v>61</v>
      </c>
      <c r="G25" s="125">
        <v>64</v>
      </c>
      <c r="H25" s="125">
        <v>64</v>
      </c>
      <c r="I25" s="125">
        <v>67</v>
      </c>
      <c r="J25" s="125">
        <v>67</v>
      </c>
      <c r="K25" s="125">
        <v>69</v>
      </c>
      <c r="L25" s="125">
        <v>67</v>
      </c>
      <c r="M25" s="125">
        <v>70</v>
      </c>
      <c r="N25" s="125">
        <v>72</v>
      </c>
      <c r="O25" s="125">
        <v>72</v>
      </c>
      <c r="P25" s="125">
        <v>73</v>
      </c>
      <c r="Q25" s="125">
        <v>71</v>
      </c>
      <c r="R25" s="125"/>
      <c r="S25" s="125">
        <v>57</v>
      </c>
      <c r="T25" s="135">
        <f t="shared" si="1"/>
        <v>59</v>
      </c>
      <c r="U25" s="125">
        <v>61</v>
      </c>
      <c r="V25" s="135">
        <f>F25</f>
        <v>61</v>
      </c>
      <c r="W25" s="125">
        <v>61</v>
      </c>
      <c r="X25" s="135">
        <f t="shared" si="2"/>
        <v>62</v>
      </c>
      <c r="Y25" s="125">
        <v>63</v>
      </c>
      <c r="Z25" s="135">
        <f>G25</f>
        <v>64</v>
      </c>
      <c r="AA25" s="125">
        <v>65</v>
      </c>
      <c r="AB25" s="135">
        <f>BN25</f>
        <v>66</v>
      </c>
      <c r="AC25" s="125">
        <v>66</v>
      </c>
      <c r="AD25" s="135">
        <f>I25</f>
        <v>67</v>
      </c>
      <c r="AE25" s="135">
        <f>J25</f>
        <v>67</v>
      </c>
      <c r="AF25" s="125">
        <v>67</v>
      </c>
      <c r="AG25" s="125">
        <v>67</v>
      </c>
      <c r="AH25" s="135">
        <f t="shared" si="3"/>
        <v>68</v>
      </c>
      <c r="AI25" s="125">
        <v>68</v>
      </c>
      <c r="AJ25" s="135">
        <f>K25</f>
        <v>69</v>
      </c>
      <c r="AK25" s="125">
        <v>70</v>
      </c>
      <c r="AL25" s="135">
        <f>BP25</f>
        <v>70</v>
      </c>
      <c r="AM25" s="125">
        <v>70</v>
      </c>
      <c r="AN25" s="125">
        <v>70</v>
      </c>
      <c r="AO25" s="135">
        <f>L25</f>
        <v>67</v>
      </c>
      <c r="AP25" s="125">
        <v>67</v>
      </c>
      <c r="AQ25" s="135">
        <f>BQ25</f>
        <v>68</v>
      </c>
      <c r="AR25" s="125">
        <v>69</v>
      </c>
      <c r="AS25" s="135">
        <f>M25</f>
        <v>70</v>
      </c>
      <c r="AT25" s="125">
        <v>72</v>
      </c>
      <c r="AU25" s="135">
        <f>BR25</f>
        <v>72</v>
      </c>
      <c r="AV25" s="125">
        <v>72</v>
      </c>
      <c r="AW25" s="135">
        <f>N25</f>
        <v>72</v>
      </c>
      <c r="AX25" s="125">
        <v>72</v>
      </c>
      <c r="AY25" s="135">
        <f>BS25</f>
        <v>72</v>
      </c>
      <c r="AZ25" s="125">
        <v>72</v>
      </c>
      <c r="BA25" s="135">
        <f>O25</f>
        <v>72</v>
      </c>
      <c r="BB25" s="125">
        <v>72</v>
      </c>
      <c r="BC25" s="135">
        <f>BT25</f>
        <v>72</v>
      </c>
      <c r="BD25" s="125">
        <v>0</v>
      </c>
      <c r="BE25" s="135">
        <f>P25</f>
        <v>73</v>
      </c>
      <c r="BF25" s="125">
        <v>71</v>
      </c>
      <c r="BG25" s="135">
        <f>BU25</f>
        <v>71</v>
      </c>
      <c r="BH25" s="125">
        <v>71</v>
      </c>
      <c r="BI25" s="135">
        <f>Q25</f>
        <v>71</v>
      </c>
      <c r="BJ25" s="125">
        <v>71</v>
      </c>
      <c r="BK25" s="125"/>
      <c r="BL25" s="125">
        <v>59</v>
      </c>
      <c r="BM25" s="125">
        <v>62</v>
      </c>
      <c r="BN25" s="125">
        <v>66</v>
      </c>
      <c r="BO25" s="125">
        <v>68</v>
      </c>
      <c r="BP25" s="125">
        <v>70</v>
      </c>
      <c r="BQ25" s="125">
        <v>68</v>
      </c>
      <c r="BR25" s="125">
        <v>72</v>
      </c>
      <c r="BS25" s="125">
        <v>72</v>
      </c>
      <c r="BT25" s="125">
        <v>72</v>
      </c>
      <c r="BU25" s="125">
        <v>71</v>
      </c>
      <c r="BW25" s="125">
        <v>68</v>
      </c>
    </row>
    <row r="26" spans="2:75">
      <c r="B26" s="1" t="s">
        <v>522</v>
      </c>
      <c r="C26" s="1"/>
      <c r="D26" s="125">
        <v>49</v>
      </c>
      <c r="E26" s="125">
        <v>52</v>
      </c>
      <c r="F26" s="125">
        <v>60</v>
      </c>
      <c r="G26" s="125">
        <v>65</v>
      </c>
      <c r="H26" s="125">
        <v>65</v>
      </c>
      <c r="I26" s="125">
        <v>69</v>
      </c>
      <c r="J26" s="125">
        <v>69</v>
      </c>
      <c r="K26" s="125">
        <v>77</v>
      </c>
      <c r="L26" s="125">
        <v>81</v>
      </c>
      <c r="M26" s="128">
        <v>85</v>
      </c>
      <c r="N26" s="128">
        <v>88</v>
      </c>
      <c r="O26" s="128">
        <v>89</v>
      </c>
      <c r="P26" s="128">
        <v>90</v>
      </c>
      <c r="Q26" s="128">
        <v>91</v>
      </c>
      <c r="R26" s="130"/>
      <c r="S26" s="130">
        <v>54</v>
      </c>
      <c r="T26" s="135">
        <f t="shared" si="1"/>
        <v>55</v>
      </c>
      <c r="U26" s="130">
        <v>57</v>
      </c>
      <c r="V26" s="135">
        <f>F26</f>
        <v>60</v>
      </c>
      <c r="W26" s="125">
        <v>60</v>
      </c>
      <c r="X26" s="194">
        <f t="shared" si="2"/>
        <v>61</v>
      </c>
      <c r="Y26" s="130">
        <v>61</v>
      </c>
      <c r="Z26" s="135">
        <f>G26</f>
        <v>65</v>
      </c>
      <c r="AA26" s="125">
        <v>67</v>
      </c>
      <c r="AB26" s="135">
        <f>BN26</f>
        <v>66</v>
      </c>
      <c r="AC26" s="130">
        <v>68</v>
      </c>
      <c r="AD26" s="135">
        <f>I26</f>
        <v>69</v>
      </c>
      <c r="AE26" s="135">
        <f>J26</f>
        <v>69</v>
      </c>
      <c r="AF26" s="125">
        <v>70</v>
      </c>
      <c r="AG26" s="125">
        <v>70</v>
      </c>
      <c r="AH26" s="135">
        <f t="shared" si="3"/>
        <v>71</v>
      </c>
      <c r="AI26" s="125">
        <v>73</v>
      </c>
      <c r="AJ26" s="135">
        <f>K26</f>
        <v>77</v>
      </c>
      <c r="AK26" s="125">
        <v>78</v>
      </c>
      <c r="AL26" s="135">
        <f>BP26</f>
        <v>78</v>
      </c>
      <c r="AM26" s="125">
        <v>79</v>
      </c>
      <c r="AN26" s="125">
        <v>79</v>
      </c>
      <c r="AO26" s="135">
        <f>L26</f>
        <v>81</v>
      </c>
      <c r="AP26" s="125">
        <v>81</v>
      </c>
      <c r="AQ26" s="135">
        <f>BQ26</f>
        <v>83</v>
      </c>
      <c r="AR26" s="125">
        <v>84</v>
      </c>
      <c r="AS26" s="135">
        <f>M26</f>
        <v>85</v>
      </c>
      <c r="AT26" s="125">
        <v>85</v>
      </c>
      <c r="AU26" s="135">
        <f>BR26</f>
        <v>87</v>
      </c>
      <c r="AV26" s="125">
        <v>88</v>
      </c>
      <c r="AW26" s="135">
        <f>N26</f>
        <v>88</v>
      </c>
      <c r="AX26" s="125">
        <v>88</v>
      </c>
      <c r="AY26" s="135">
        <f>BS26</f>
        <v>88</v>
      </c>
      <c r="AZ26" s="125">
        <v>89</v>
      </c>
      <c r="BA26" s="135">
        <f>O26</f>
        <v>89</v>
      </c>
      <c r="BB26" s="125">
        <v>89</v>
      </c>
      <c r="BC26" s="135">
        <f>BT26</f>
        <v>89</v>
      </c>
      <c r="BD26" s="125">
        <v>0</v>
      </c>
      <c r="BE26" s="135">
        <f>P26</f>
        <v>90</v>
      </c>
      <c r="BF26" s="125">
        <v>90</v>
      </c>
      <c r="BG26" s="135">
        <f>BU26</f>
        <v>90</v>
      </c>
      <c r="BH26" s="125">
        <v>90</v>
      </c>
      <c r="BI26" s="135">
        <f>Q26</f>
        <v>91</v>
      </c>
      <c r="BJ26" s="125">
        <v>91</v>
      </c>
      <c r="BK26" s="125"/>
      <c r="BL26" s="125">
        <v>55</v>
      </c>
      <c r="BM26" s="125">
        <v>61</v>
      </c>
      <c r="BN26" s="125">
        <v>66</v>
      </c>
      <c r="BO26" s="125">
        <v>71</v>
      </c>
      <c r="BP26" s="125">
        <v>78</v>
      </c>
      <c r="BQ26" s="125">
        <v>83</v>
      </c>
      <c r="BR26" s="125">
        <v>87</v>
      </c>
      <c r="BS26" s="125">
        <v>88</v>
      </c>
      <c r="BT26" s="125">
        <v>89</v>
      </c>
      <c r="BU26" s="125">
        <v>90</v>
      </c>
      <c r="BW26" s="125">
        <v>71</v>
      </c>
    </row>
    <row r="27" spans="2:75">
      <c r="B27" s="1"/>
      <c r="C27" s="1"/>
      <c r="D27" s="125"/>
      <c r="E27" s="125"/>
      <c r="F27" s="125"/>
      <c r="G27" s="125"/>
      <c r="H27" s="125"/>
      <c r="I27" s="125"/>
      <c r="J27" s="125"/>
      <c r="K27" s="125"/>
      <c r="L27" s="125"/>
      <c r="M27" s="128"/>
      <c r="N27" s="128"/>
      <c r="O27" s="128"/>
      <c r="P27" s="128"/>
      <c r="Q27" s="128"/>
      <c r="R27" s="130"/>
      <c r="S27" s="130"/>
      <c r="T27" s="135"/>
      <c r="U27" s="130"/>
      <c r="V27" s="135"/>
      <c r="W27" s="125"/>
      <c r="X27" s="194"/>
      <c r="Y27" s="130"/>
      <c r="Z27" s="135"/>
      <c r="AA27" s="125"/>
      <c r="AB27" s="135"/>
      <c r="AC27" s="130"/>
      <c r="AD27" s="135"/>
      <c r="AE27" s="135"/>
      <c r="AF27" s="125"/>
      <c r="AG27" s="125"/>
      <c r="AH27" s="135"/>
      <c r="AI27" s="125"/>
      <c r="AJ27" s="135"/>
      <c r="AK27" s="125"/>
      <c r="AL27" s="135"/>
      <c r="AM27" s="125"/>
      <c r="AN27" s="125"/>
      <c r="AO27" s="135"/>
      <c r="AP27" s="125"/>
      <c r="AQ27" s="135"/>
      <c r="AR27" s="125"/>
      <c r="AS27" s="135"/>
      <c r="AT27" s="125"/>
      <c r="AU27" s="135"/>
      <c r="AV27" s="125"/>
      <c r="AW27" s="135"/>
      <c r="AX27" s="125"/>
      <c r="AY27" s="135"/>
      <c r="AZ27" s="125"/>
      <c r="BA27" s="135"/>
      <c r="BB27" s="125"/>
      <c r="BC27" s="135"/>
      <c r="BD27" s="125"/>
      <c r="BE27" s="135"/>
      <c r="BF27" s="125"/>
      <c r="BG27" s="135"/>
      <c r="BH27" s="125"/>
      <c r="BI27" s="13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W27" s="125"/>
    </row>
    <row r="28" spans="2:75">
      <c r="B28" s="5" t="s">
        <v>565</v>
      </c>
      <c r="C28" s="1"/>
      <c r="D28" s="125"/>
      <c r="E28" s="125"/>
      <c r="F28" s="125"/>
      <c r="G28" s="125"/>
      <c r="H28" s="125"/>
      <c r="I28" s="125"/>
      <c r="J28" s="125"/>
      <c r="K28" s="125"/>
      <c r="L28" s="125">
        <v>0</v>
      </c>
      <c r="M28" s="128">
        <v>0</v>
      </c>
      <c r="N28" s="128">
        <v>0</v>
      </c>
      <c r="O28" s="128">
        <v>1</v>
      </c>
      <c r="P28" s="128">
        <v>3</v>
      </c>
      <c r="Q28" s="128">
        <f>3+2</f>
        <v>5</v>
      </c>
      <c r="R28" s="130"/>
      <c r="S28" s="130"/>
      <c r="T28" s="135"/>
      <c r="U28" s="130"/>
      <c r="V28" s="135"/>
      <c r="W28" s="125"/>
      <c r="X28" s="194"/>
      <c r="Y28" s="130"/>
      <c r="Z28" s="135"/>
      <c r="AA28" s="125"/>
      <c r="AB28" s="135"/>
      <c r="AC28" s="130"/>
      <c r="AD28" s="135"/>
      <c r="AE28" s="135"/>
      <c r="AF28" s="125"/>
      <c r="AG28" s="125"/>
      <c r="AH28" s="135"/>
      <c r="AI28" s="125"/>
      <c r="AJ28" s="135"/>
      <c r="AK28" s="125"/>
      <c r="AL28" s="135"/>
      <c r="AM28" s="125"/>
      <c r="AN28" s="125"/>
      <c r="AO28" s="135"/>
      <c r="AP28" s="125">
        <v>0</v>
      </c>
      <c r="AQ28" s="135">
        <f>BQ28</f>
        <v>0</v>
      </c>
      <c r="AR28" s="125">
        <v>0</v>
      </c>
      <c r="AS28" s="135">
        <f>M28</f>
        <v>0</v>
      </c>
      <c r="AT28" s="125">
        <v>0</v>
      </c>
      <c r="AU28" s="135">
        <f>BR28</f>
        <v>0</v>
      </c>
      <c r="AV28" s="125">
        <v>1</v>
      </c>
      <c r="AW28" s="135">
        <f>N28</f>
        <v>0</v>
      </c>
      <c r="AX28" s="125">
        <v>0</v>
      </c>
      <c r="AY28" s="135">
        <f>BS28</f>
        <v>2</v>
      </c>
      <c r="AZ28" s="125">
        <v>2</v>
      </c>
      <c r="BA28" s="135">
        <f>O28</f>
        <v>1</v>
      </c>
      <c r="BB28" s="125">
        <v>1</v>
      </c>
      <c r="BC28" s="135">
        <f>BT28</f>
        <v>2</v>
      </c>
      <c r="BD28" s="125">
        <v>2</v>
      </c>
      <c r="BE28" s="135">
        <f>P28</f>
        <v>3</v>
      </c>
      <c r="BF28" s="125">
        <v>5</v>
      </c>
      <c r="BG28" s="135">
        <f>BU28</f>
        <v>5</v>
      </c>
      <c r="BH28" s="125">
        <f>2+3</f>
        <v>5</v>
      </c>
      <c r="BI28" s="135">
        <f>Q28</f>
        <v>5</v>
      </c>
      <c r="BJ28" s="125">
        <v>5</v>
      </c>
      <c r="BK28" s="125"/>
      <c r="BL28" s="125"/>
      <c r="BM28" s="125"/>
      <c r="BN28" s="125"/>
      <c r="BO28" s="125">
        <v>0</v>
      </c>
      <c r="BP28" s="125">
        <v>0</v>
      </c>
      <c r="BQ28" s="125">
        <v>0</v>
      </c>
      <c r="BR28" s="125">
        <v>0</v>
      </c>
      <c r="BS28" s="125">
        <v>2</v>
      </c>
      <c r="BT28" s="125">
        <v>2</v>
      </c>
      <c r="BU28" s="125">
        <v>5</v>
      </c>
      <c r="BW28" s="125"/>
    </row>
    <row r="29" spans="2:7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55"/>
      <c r="N29" s="55"/>
      <c r="O29" s="55"/>
      <c r="P29" s="55"/>
      <c r="Q29" s="55"/>
      <c r="R29" s="55"/>
      <c r="S29" s="55"/>
      <c r="T29" s="55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</row>
    <row r="30" spans="2:75" hidden="1">
      <c r="B30" s="120" t="s">
        <v>566</v>
      </c>
      <c r="C30" s="120"/>
      <c r="D30" s="46">
        <v>41975</v>
      </c>
      <c r="E30" s="46">
        <v>42341</v>
      </c>
      <c r="F30" s="46">
        <v>42708</v>
      </c>
      <c r="G30" s="253">
        <f t="shared" ref="G30:L30" si="21">G3</f>
        <v>43073</v>
      </c>
      <c r="H30" s="253">
        <f t="shared" si="21"/>
        <v>43073</v>
      </c>
      <c r="I30" s="253">
        <f t="shared" si="21"/>
        <v>43438</v>
      </c>
      <c r="J30" s="253">
        <f t="shared" si="21"/>
        <v>43438</v>
      </c>
      <c r="K30" s="253">
        <f t="shared" si="21"/>
        <v>43803</v>
      </c>
      <c r="L30" s="253">
        <f t="shared" si="21"/>
        <v>44169</v>
      </c>
      <c r="M30" s="253">
        <v>44535</v>
      </c>
      <c r="N30" s="253">
        <v>44900</v>
      </c>
      <c r="O30" s="253">
        <v>45265</v>
      </c>
      <c r="P30" s="253">
        <f>P3</f>
        <v>45631</v>
      </c>
      <c r="Q30" s="253">
        <f>Q3</f>
        <v>45996</v>
      </c>
      <c r="R30" s="1"/>
      <c r="S30" s="46">
        <v>42437</v>
      </c>
      <c r="T30" s="46">
        <v>42527</v>
      </c>
      <c r="U30" s="46">
        <v>42622</v>
      </c>
      <c r="V30" s="46">
        <v>42714</v>
      </c>
      <c r="W30" s="46">
        <v>42801</v>
      </c>
      <c r="X30" s="46">
        <v>42892</v>
      </c>
      <c r="Y30" s="46">
        <v>42987</v>
      </c>
      <c r="Z30" s="46">
        <v>43079</v>
      </c>
      <c r="AA30" s="46">
        <f t="shared" ref="AA30:AH30" si="22">AA3</f>
        <v>43166</v>
      </c>
      <c r="AB30" s="253">
        <f t="shared" si="22"/>
        <v>43257</v>
      </c>
      <c r="AC30" s="253">
        <f t="shared" si="22"/>
        <v>43348</v>
      </c>
      <c r="AD30" s="253">
        <f t="shared" si="22"/>
        <v>43439</v>
      </c>
      <c r="AE30" s="253">
        <f>AE3</f>
        <v>43439</v>
      </c>
      <c r="AF30" s="253">
        <f t="shared" si="22"/>
        <v>43555</v>
      </c>
      <c r="AG30" s="253">
        <f>AG3</f>
        <v>43555</v>
      </c>
      <c r="AH30" s="253">
        <f t="shared" si="22"/>
        <v>43646</v>
      </c>
      <c r="AI30" s="253">
        <f t="shared" ref="AI30:AO30" si="23">AI3</f>
        <v>43738</v>
      </c>
      <c r="AJ30" s="253">
        <f t="shared" si="23"/>
        <v>43830</v>
      </c>
      <c r="AK30" s="253">
        <f t="shared" si="23"/>
        <v>43921</v>
      </c>
      <c r="AL30" s="253">
        <f t="shared" si="23"/>
        <v>44012</v>
      </c>
      <c r="AM30" s="253">
        <f t="shared" si="23"/>
        <v>44104</v>
      </c>
      <c r="AN30" s="253">
        <f>AN3</f>
        <v>44104</v>
      </c>
      <c r="AO30" s="253">
        <f t="shared" si="23"/>
        <v>44196</v>
      </c>
      <c r="AP30" s="253">
        <f t="shared" ref="AP30:AU30" si="24">AP3</f>
        <v>44286</v>
      </c>
      <c r="AQ30" s="253">
        <f t="shared" si="24"/>
        <v>44377</v>
      </c>
      <c r="AR30" s="253">
        <f t="shared" si="24"/>
        <v>44469</v>
      </c>
      <c r="AS30" s="253">
        <f t="shared" si="24"/>
        <v>44561</v>
      </c>
      <c r="AT30" s="253">
        <f t="shared" si="24"/>
        <v>44651</v>
      </c>
      <c r="AU30" s="253">
        <f t="shared" si="24"/>
        <v>44742</v>
      </c>
      <c r="AV30" s="253">
        <f t="shared" ref="AV30:BA30" si="25">AV3</f>
        <v>44834</v>
      </c>
      <c r="AW30" s="253">
        <f t="shared" si="25"/>
        <v>44926</v>
      </c>
      <c r="AX30" s="253">
        <f t="shared" si="25"/>
        <v>45016</v>
      </c>
      <c r="AY30" s="253">
        <f t="shared" si="25"/>
        <v>45107</v>
      </c>
      <c r="AZ30" s="253">
        <f t="shared" si="25"/>
        <v>45199</v>
      </c>
      <c r="BA30" s="253">
        <f t="shared" si="25"/>
        <v>45291</v>
      </c>
      <c r="BB30" s="253">
        <f t="shared" ref="BB30:BG30" si="26">BB3</f>
        <v>45382</v>
      </c>
      <c r="BC30" s="253">
        <f t="shared" si="26"/>
        <v>45473</v>
      </c>
      <c r="BD30" s="253">
        <f t="shared" si="26"/>
        <v>45565</v>
      </c>
      <c r="BE30" s="253">
        <f t="shared" si="26"/>
        <v>45657</v>
      </c>
      <c r="BF30" s="253">
        <f t="shared" si="26"/>
        <v>45747</v>
      </c>
      <c r="BG30" s="253">
        <f t="shared" si="26"/>
        <v>45838</v>
      </c>
      <c r="BH30" s="253">
        <f>BH3</f>
        <v>45930</v>
      </c>
      <c r="BI30" s="253">
        <f>BI3</f>
        <v>46022</v>
      </c>
      <c r="BJ30" s="253">
        <f>BJ3</f>
        <v>46112</v>
      </c>
      <c r="BK30" s="62"/>
      <c r="BL30" s="46">
        <v>42530</v>
      </c>
      <c r="BM30" s="46">
        <v>42896</v>
      </c>
      <c r="BN30" s="46">
        <f t="shared" ref="BN30:BS30" si="27">BN3</f>
        <v>43261</v>
      </c>
      <c r="BO30" s="46">
        <f t="shared" si="27"/>
        <v>43646</v>
      </c>
      <c r="BP30" s="253">
        <f t="shared" si="27"/>
        <v>44012</v>
      </c>
      <c r="BQ30" s="253">
        <f t="shared" si="27"/>
        <v>44377</v>
      </c>
      <c r="BR30" s="253">
        <f t="shared" si="27"/>
        <v>44742</v>
      </c>
      <c r="BS30" s="253">
        <f t="shared" si="27"/>
        <v>45107</v>
      </c>
      <c r="BT30" s="253">
        <f>BT3</f>
        <v>45473</v>
      </c>
      <c r="BU30" s="253">
        <f>BU3</f>
        <v>45838</v>
      </c>
      <c r="BW30" s="46">
        <f>BW3</f>
        <v>43646</v>
      </c>
    </row>
    <row r="31" spans="2:75" hidden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55"/>
      <c r="N31" s="55"/>
      <c r="O31" s="55"/>
      <c r="P31" s="55"/>
      <c r="Q31" s="55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</row>
    <row r="32" spans="2:75" hidden="1">
      <c r="B32" s="5" t="s">
        <v>560</v>
      </c>
      <c r="C32" s="5"/>
      <c r="D32" s="1"/>
      <c r="E32" s="1"/>
      <c r="F32" s="1"/>
      <c r="G32" s="1"/>
      <c r="H32" s="1"/>
      <c r="I32" s="1"/>
      <c r="J32" s="1"/>
      <c r="K32" s="1"/>
      <c r="L32" s="1"/>
      <c r="M32" s="55"/>
      <c r="N32" s="55"/>
      <c r="O32" s="55"/>
      <c r="P32" s="55"/>
      <c r="Q32" s="55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</row>
    <row r="33" spans="2:75" hidden="1">
      <c r="B33" s="1" t="s">
        <v>521</v>
      </c>
      <c r="C33" s="1"/>
      <c r="D33" s="131">
        <v>1.4999999999999999E-2</v>
      </c>
      <c r="E33" s="131">
        <v>6.0999999999999999E-2</v>
      </c>
      <c r="F33" s="131">
        <v>0.10100000000000001</v>
      </c>
      <c r="G33" s="131">
        <v>4.8000000000000001E-2</v>
      </c>
      <c r="H33" s="131">
        <v>4.8000000000000001E-2</v>
      </c>
      <c r="I33" s="131">
        <v>-3.5999999999999997E-2</v>
      </c>
      <c r="J33" s="131">
        <v>-3.5999999999999997E-2</v>
      </c>
      <c r="K33" s="131">
        <v>-2.8000000000000001E-2</v>
      </c>
      <c r="L33" s="515"/>
      <c r="M33" s="515"/>
      <c r="N33" s="515"/>
      <c r="O33" s="515"/>
      <c r="P33" s="515"/>
      <c r="Q33" s="515"/>
      <c r="R33" s="132"/>
      <c r="S33" s="131">
        <v>0.13100000000000001</v>
      </c>
      <c r="T33" s="131">
        <v>9.6000000000000002E-2</v>
      </c>
      <c r="U33" s="131">
        <v>0.13300000000000001</v>
      </c>
      <c r="V33" s="131">
        <v>6.6000000000000003E-2</v>
      </c>
      <c r="W33" s="131">
        <v>8.1000000000000003E-2</v>
      </c>
      <c r="X33" s="131">
        <v>0.06</v>
      </c>
      <c r="Y33" s="131">
        <v>4.7E-2</v>
      </c>
      <c r="Z33" s="131">
        <v>1.7000000000000001E-2</v>
      </c>
      <c r="AA33" s="131">
        <v>-4.9000000000000002E-2</v>
      </c>
      <c r="AB33" s="131">
        <v>2E-3</v>
      </c>
      <c r="AC33" s="131">
        <v>-7.1999999999999995E-2</v>
      </c>
      <c r="AD33" s="131">
        <v>-3.3000000000000002E-2</v>
      </c>
      <c r="AE33" s="131">
        <v>-3.3000000000000002E-2</v>
      </c>
      <c r="AF33" s="131">
        <v>-0.03</v>
      </c>
      <c r="AG33" s="131">
        <v>-0.03</v>
      </c>
      <c r="AH33" s="131">
        <v>-1.2E-2</v>
      </c>
      <c r="AI33" s="131">
        <v>-3.5000000000000003E-2</v>
      </c>
      <c r="AJ33" s="131">
        <v>-3.5999999999999997E-2</v>
      </c>
      <c r="AK33" s="131" t="s">
        <v>567</v>
      </c>
      <c r="AL33" s="131" t="s">
        <v>567</v>
      </c>
      <c r="AM33" s="131">
        <v>-0.05</v>
      </c>
      <c r="AN33" s="131">
        <v>-0.05</v>
      </c>
      <c r="AO33" s="131">
        <v>0.22700000000000001</v>
      </c>
      <c r="AP33" s="131">
        <v>0.30099999999999999</v>
      </c>
      <c r="AQ33" s="131" t="s">
        <v>567</v>
      </c>
      <c r="AR33" s="131" t="s">
        <v>567</v>
      </c>
      <c r="AS33" s="131">
        <v>0.155</v>
      </c>
      <c r="AT33" s="131" t="s">
        <v>567</v>
      </c>
      <c r="AU33" s="131" t="s">
        <v>567</v>
      </c>
      <c r="AV33" s="131">
        <v>-0.33</v>
      </c>
      <c r="AW33" s="131">
        <v>-0.19800000000000001</v>
      </c>
      <c r="AX33" s="131">
        <v>-0.11700000000000001</v>
      </c>
      <c r="AY33" s="131">
        <v>-8.7999999999999995E-2</v>
      </c>
      <c r="AZ33" s="131">
        <v>-1.7999999999999999E-2</v>
      </c>
      <c r="BA33" s="131">
        <v>-1.2999999999999999E-2</v>
      </c>
      <c r="BB33" s="131">
        <v>6.4000000000000001E-2</v>
      </c>
      <c r="BC33" s="318"/>
      <c r="BD33" s="318"/>
      <c r="BE33" s="318"/>
      <c r="BF33" s="318"/>
      <c r="BG33" s="318"/>
      <c r="BH33" s="318"/>
      <c r="BI33" s="318"/>
      <c r="BJ33" s="318"/>
      <c r="BK33" s="132"/>
      <c r="BL33" s="131">
        <v>0.113</v>
      </c>
      <c r="BM33" s="131">
        <v>7.0000000000000007E-2</v>
      </c>
      <c r="BN33" s="131">
        <v>2E-3</v>
      </c>
      <c r="BO33" s="318"/>
      <c r="BP33" s="318"/>
      <c r="BQ33" s="318"/>
      <c r="BR33" s="318"/>
      <c r="BS33" s="318"/>
      <c r="BT33" s="318"/>
      <c r="BU33" s="318"/>
      <c r="BW33" s="318"/>
    </row>
    <row r="34" spans="2:75" hidden="1">
      <c r="B34" s="1" t="s">
        <v>522</v>
      </c>
      <c r="C34" s="1"/>
      <c r="D34" s="131">
        <v>-7.0000000000000001E-3</v>
      </c>
      <c r="E34" s="131">
        <v>-1.2E-2</v>
      </c>
      <c r="F34" s="131">
        <v>-1.6E-2</v>
      </c>
      <c r="G34" s="131">
        <v>3.0000000000000001E-3</v>
      </c>
      <c r="H34" s="131">
        <v>3.0000000000000001E-3</v>
      </c>
      <c r="I34" s="131">
        <v>5.3999999999999999E-2</v>
      </c>
      <c r="J34" s="131">
        <v>5.3999999999999999E-2</v>
      </c>
      <c r="K34" s="131">
        <v>-8.9999999999999993E-3</v>
      </c>
      <c r="L34" s="515"/>
      <c r="M34" s="515"/>
      <c r="N34" s="515"/>
      <c r="O34" s="515"/>
      <c r="P34" s="515"/>
      <c r="Q34" s="515"/>
      <c r="R34" s="132"/>
      <c r="S34" s="131">
        <v>1.4E-2</v>
      </c>
      <c r="T34" s="131">
        <v>1.4E-2</v>
      </c>
      <c r="U34" s="131">
        <v>-0.02</v>
      </c>
      <c r="V34" s="131">
        <v>-0.05</v>
      </c>
      <c r="W34" s="131">
        <v>-5.8999999999999997E-2</v>
      </c>
      <c r="X34" s="131">
        <v>0.05</v>
      </c>
      <c r="Y34" s="131">
        <v>-8.0000000000000002E-3</v>
      </c>
      <c r="Z34" s="131">
        <v>1.4E-2</v>
      </c>
      <c r="AA34" s="131">
        <v>0.121</v>
      </c>
      <c r="AB34" s="131">
        <v>8.4000000000000005E-2</v>
      </c>
      <c r="AC34" s="131">
        <v>3.7999999999999999E-2</v>
      </c>
      <c r="AD34" s="131">
        <v>3.0000000000000001E-3</v>
      </c>
      <c r="AE34" s="131">
        <v>3.0000000000000001E-3</v>
      </c>
      <c r="AF34" s="131">
        <v>3.0000000000000001E-3</v>
      </c>
      <c r="AG34" s="131">
        <v>3.0000000000000001E-3</v>
      </c>
      <c r="AH34" s="131">
        <v>-4.3999999999999997E-2</v>
      </c>
      <c r="AI34" s="131">
        <v>4.5999999999999999E-2</v>
      </c>
      <c r="AJ34" s="131">
        <v>-2.8000000000000001E-2</v>
      </c>
      <c r="AK34" s="131" t="s">
        <v>567</v>
      </c>
      <c r="AL34" s="131" t="s">
        <v>567</v>
      </c>
      <c r="AM34" s="131">
        <v>-0.26200000000000001</v>
      </c>
      <c r="AN34" s="131">
        <v>-0.26200000000000001</v>
      </c>
      <c r="AO34" s="131">
        <v>-1.2E-2</v>
      </c>
      <c r="AP34" s="131" t="s">
        <v>567</v>
      </c>
      <c r="AQ34" s="131" t="s">
        <v>567</v>
      </c>
      <c r="AR34" s="131" t="s">
        <v>567</v>
      </c>
      <c r="AS34" s="131">
        <v>0.154</v>
      </c>
      <c r="AT34" s="131" t="s">
        <v>567</v>
      </c>
      <c r="AU34" s="131" t="s">
        <v>567</v>
      </c>
      <c r="AV34" s="131">
        <v>1.6E-2</v>
      </c>
      <c r="AW34" s="131">
        <v>-2.8000000000000001E-2</v>
      </c>
      <c r="AX34" s="131">
        <v>-7.0000000000000001E-3</v>
      </c>
      <c r="AY34" s="131">
        <v>-0.11</v>
      </c>
      <c r="AZ34" s="131">
        <v>-0.14099999999999999</v>
      </c>
      <c r="BA34" s="131">
        <v>-8.3000000000000004E-2</v>
      </c>
      <c r="BB34" s="131">
        <v>-4.9000000000000002E-2</v>
      </c>
      <c r="BC34" s="318"/>
      <c r="BD34" s="318"/>
      <c r="BE34" s="318"/>
      <c r="BF34" s="318"/>
      <c r="BG34" s="318"/>
      <c r="BH34" s="318"/>
      <c r="BI34" s="318"/>
      <c r="BJ34" s="318"/>
      <c r="BK34" s="132"/>
      <c r="BL34" s="131">
        <v>1.4E-2</v>
      </c>
      <c r="BM34" s="131">
        <v>2E-3</v>
      </c>
      <c r="BN34" s="131">
        <v>8.4000000000000005E-2</v>
      </c>
      <c r="BO34" s="318"/>
      <c r="BP34" s="318"/>
      <c r="BQ34" s="318"/>
      <c r="BR34" s="318"/>
      <c r="BS34" s="318"/>
      <c r="BT34" s="318"/>
      <c r="BU34" s="318"/>
      <c r="BW34" s="318"/>
    </row>
    <row r="35" spans="2:75" hidden="1">
      <c r="B35" s="1" t="s">
        <v>523</v>
      </c>
      <c r="C35" s="1"/>
      <c r="D35" s="131">
        <v>0.247</v>
      </c>
      <c r="E35" s="131">
        <v>0.16400000000000001</v>
      </c>
      <c r="F35" s="131">
        <v>0.215</v>
      </c>
      <c r="G35" s="131">
        <v>0.23599999999999999</v>
      </c>
      <c r="H35" s="131">
        <v>0.23599999999999999</v>
      </c>
      <c r="I35" s="131">
        <v>0.32400000000000001</v>
      </c>
      <c r="J35" s="131">
        <v>0.32400000000000001</v>
      </c>
      <c r="K35" s="131">
        <v>0.35799999999999998</v>
      </c>
      <c r="L35" s="515"/>
      <c r="M35" s="515"/>
      <c r="N35" s="515"/>
      <c r="O35" s="515"/>
      <c r="P35" s="515"/>
      <c r="Q35" s="515"/>
      <c r="R35" s="132"/>
      <c r="S35" s="131">
        <v>0.24199999999999999</v>
      </c>
      <c r="T35" s="131">
        <v>0.28999999999999998</v>
      </c>
      <c r="U35" s="131">
        <v>0.16900000000000001</v>
      </c>
      <c r="V35" s="131">
        <v>0.17799999999999999</v>
      </c>
      <c r="W35" s="131">
        <v>0.16500000000000001</v>
      </c>
      <c r="X35" s="131">
        <v>0.20399999999999999</v>
      </c>
      <c r="Y35" s="131">
        <v>0.254</v>
      </c>
      <c r="Z35" s="131">
        <v>0.29899999999999999</v>
      </c>
      <c r="AA35" s="131">
        <v>0.38300000000000001</v>
      </c>
      <c r="AB35" s="131">
        <v>0.36699999999999999</v>
      </c>
      <c r="AC35" s="131">
        <v>0.307</v>
      </c>
      <c r="AD35" s="131">
        <v>0.27200000000000002</v>
      </c>
      <c r="AE35" s="131">
        <v>0.27200000000000002</v>
      </c>
      <c r="AF35" s="131">
        <v>0.20200000000000001</v>
      </c>
      <c r="AG35" s="131">
        <v>0.20200000000000001</v>
      </c>
      <c r="AH35" s="131">
        <v>0.23400000000000001</v>
      </c>
      <c r="AI35" s="131">
        <v>0.36099999999999999</v>
      </c>
      <c r="AJ35" s="131">
        <v>0.56200000000000006</v>
      </c>
      <c r="AK35" s="131" t="s">
        <v>567</v>
      </c>
      <c r="AL35" s="131" t="s">
        <v>567</v>
      </c>
      <c r="AM35" s="131">
        <v>0.35699999999999998</v>
      </c>
      <c r="AN35" s="131">
        <v>0.35699999999999998</v>
      </c>
      <c r="AO35" s="131">
        <v>0.224</v>
      </c>
      <c r="AP35" s="131" t="s">
        <v>567</v>
      </c>
      <c r="AQ35" s="131" t="s">
        <v>567</v>
      </c>
      <c r="AR35" s="131" t="s">
        <v>568</v>
      </c>
      <c r="AS35" s="515"/>
      <c r="AT35" s="131" t="s">
        <v>567</v>
      </c>
      <c r="AU35" s="131" t="s">
        <v>567</v>
      </c>
      <c r="AV35" s="131" t="s">
        <v>567</v>
      </c>
      <c r="AW35" s="515"/>
      <c r="AX35" s="131" t="s">
        <v>567</v>
      </c>
      <c r="AY35" s="131" t="s">
        <v>567</v>
      </c>
      <c r="AZ35" s="131" t="s">
        <v>567</v>
      </c>
      <c r="BA35" s="131" t="s">
        <v>567</v>
      </c>
      <c r="BB35" s="131" t="s">
        <v>567</v>
      </c>
      <c r="BC35" s="318"/>
      <c r="BD35" s="318"/>
      <c r="BE35" s="318"/>
      <c r="BF35" s="318"/>
      <c r="BG35" s="318"/>
      <c r="BH35" s="318"/>
      <c r="BI35" s="318"/>
      <c r="BJ35" s="318"/>
      <c r="BK35" s="132"/>
      <c r="BL35" s="131">
        <v>0.26900000000000002</v>
      </c>
      <c r="BM35" s="131">
        <v>0.188</v>
      </c>
      <c r="BN35" s="131">
        <v>0.36699999999999999</v>
      </c>
      <c r="BO35" s="318"/>
      <c r="BP35" s="318"/>
      <c r="BQ35" s="318"/>
      <c r="BR35" s="318"/>
      <c r="BS35" s="318"/>
      <c r="BT35" s="318"/>
      <c r="BU35" s="318"/>
      <c r="BW35" s="318"/>
    </row>
    <row r="36" spans="2:75" hidden="1">
      <c r="B36" s="1" t="s">
        <v>524</v>
      </c>
      <c r="C36" s="1"/>
      <c r="D36" s="131">
        <v>7.8E-2</v>
      </c>
      <c r="E36" s="131">
        <v>-0.01</v>
      </c>
      <c r="F36" s="131">
        <v>0</v>
      </c>
      <c r="G36" s="131">
        <v>-8.9999999999999993E-3</v>
      </c>
      <c r="H36" s="131">
        <v>-8.9999999999999993E-3</v>
      </c>
      <c r="I36" s="131">
        <v>0.105</v>
      </c>
      <c r="J36" s="131">
        <v>0.105</v>
      </c>
      <c r="K36" s="131">
        <v>9.0999999999999998E-2</v>
      </c>
      <c r="L36" s="515"/>
      <c r="M36" s="515"/>
      <c r="N36" s="515"/>
      <c r="O36" s="515"/>
      <c r="P36" s="515"/>
      <c r="Q36" s="515"/>
      <c r="R36" s="132"/>
      <c r="S36" s="131">
        <v>-1.7999999999999999E-2</v>
      </c>
      <c r="T36" s="131">
        <v>0</v>
      </c>
      <c r="U36" s="131">
        <v>-0.10100000000000001</v>
      </c>
      <c r="V36" s="131">
        <v>6.9000000000000006E-2</v>
      </c>
      <c r="W36" s="131">
        <v>-2.4E-2</v>
      </c>
      <c r="X36" s="131">
        <v>-4.3999999999999997E-2</v>
      </c>
      <c r="Y36" s="131">
        <v>4.0000000000000001E-3</v>
      </c>
      <c r="Z36" s="131">
        <v>1.2E-2</v>
      </c>
      <c r="AA36" s="131">
        <v>6.0000000000000001E-3</v>
      </c>
      <c r="AB36" s="131">
        <v>0.11899999999999999</v>
      </c>
      <c r="AC36" s="131">
        <v>0.15</v>
      </c>
      <c r="AD36" s="131">
        <v>9.9000000000000005E-2</v>
      </c>
      <c r="AE36" s="131">
        <v>9.9000000000000005E-2</v>
      </c>
      <c r="AF36" s="131">
        <v>9.8000000000000004E-2</v>
      </c>
      <c r="AG36" s="131">
        <v>9.8000000000000004E-2</v>
      </c>
      <c r="AH36" s="131">
        <v>0.09</v>
      </c>
      <c r="AI36" s="131">
        <v>9.5000000000000001E-2</v>
      </c>
      <c r="AJ36" s="131">
        <v>8.5999999999999993E-2</v>
      </c>
      <c r="AK36" s="131" t="s">
        <v>567</v>
      </c>
      <c r="AL36" s="131" t="s">
        <v>567</v>
      </c>
      <c r="AM36" s="131">
        <v>-0.314</v>
      </c>
      <c r="AN36" s="131">
        <v>-0.314</v>
      </c>
      <c r="AO36" s="131">
        <v>-0.215</v>
      </c>
      <c r="AP36" s="131" t="s">
        <v>567</v>
      </c>
      <c r="AQ36" s="131" t="s">
        <v>567</v>
      </c>
      <c r="AR36" s="131" t="s">
        <v>567</v>
      </c>
      <c r="AS36" s="131">
        <v>0.29299999999999998</v>
      </c>
      <c r="AT36" s="131">
        <v>0.26700000000000002</v>
      </c>
      <c r="AU36" s="131">
        <v>0.45800000000000002</v>
      </c>
      <c r="AV36" s="131">
        <v>9.0999999999999998E-2</v>
      </c>
      <c r="AW36" s="131" t="s">
        <v>569</v>
      </c>
      <c r="AX36" s="131">
        <v>1.2999999999999999E-2</v>
      </c>
      <c r="AY36" s="131">
        <v>-9.2999999999999999E-2</v>
      </c>
      <c r="AZ36" s="131">
        <v>-6.0999999999999999E-2</v>
      </c>
      <c r="BA36" s="131">
        <v>-3.5999999999999997E-2</v>
      </c>
      <c r="BB36" s="131">
        <v>-5.8000000000000003E-2</v>
      </c>
      <c r="BC36" s="318"/>
      <c r="BD36" s="318"/>
      <c r="BE36" s="318"/>
      <c r="BF36" s="318"/>
      <c r="BG36" s="318"/>
      <c r="BH36" s="318"/>
      <c r="BI36" s="318"/>
      <c r="BJ36" s="318"/>
      <c r="BK36" s="132"/>
      <c r="BL36" s="131">
        <v>-8.0000000000000002E-3</v>
      </c>
      <c r="BM36" s="131">
        <v>-3.5000000000000003E-2</v>
      </c>
      <c r="BN36" s="131">
        <v>0.11899999999999999</v>
      </c>
      <c r="BO36" s="318"/>
      <c r="BP36" s="318"/>
      <c r="BQ36" s="318"/>
      <c r="BR36" s="318"/>
      <c r="BS36" s="318"/>
      <c r="BT36" s="318"/>
      <c r="BU36" s="318"/>
      <c r="BW36" s="318"/>
    </row>
    <row r="37" spans="2:75" hidden="1">
      <c r="B37" s="5"/>
      <c r="C37" s="5"/>
      <c r="D37" s="133"/>
      <c r="E37" s="133"/>
      <c r="F37" s="133"/>
      <c r="G37" s="133"/>
      <c r="H37" s="133"/>
      <c r="I37" s="133"/>
      <c r="J37" s="133"/>
      <c r="K37" s="133"/>
      <c r="L37" s="133"/>
      <c r="M37" s="516"/>
      <c r="N37" s="516"/>
      <c r="O37" s="516"/>
      <c r="P37" s="516"/>
      <c r="Q37" s="516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5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  <c r="AM37" s="133"/>
      <c r="AN37" s="133"/>
      <c r="AO37" s="133"/>
      <c r="AP37" s="133"/>
      <c r="AQ37" s="133"/>
      <c r="AR37" s="133"/>
      <c r="AS37" s="133"/>
      <c r="AT37" s="133"/>
      <c r="AU37" s="133"/>
      <c r="AV37" s="133"/>
      <c r="AW37" s="133"/>
      <c r="AX37" s="133"/>
      <c r="AY37" s="133"/>
      <c r="AZ37" s="133"/>
      <c r="BA37" s="133"/>
      <c r="BB37" s="133"/>
      <c r="BC37" s="135"/>
      <c r="BD37" s="135"/>
      <c r="BE37" s="135"/>
      <c r="BF37" s="135"/>
      <c r="BG37" s="135"/>
      <c r="BH37" s="135"/>
      <c r="BI37" s="135"/>
      <c r="BJ37" s="135"/>
      <c r="BK37" s="135"/>
      <c r="BL37" s="135"/>
      <c r="BM37" s="135"/>
      <c r="BN37" s="135"/>
      <c r="BO37" s="135"/>
      <c r="BP37" s="135"/>
      <c r="BQ37" s="135"/>
      <c r="BR37" s="135"/>
      <c r="BS37" s="135"/>
      <c r="BT37" s="135"/>
      <c r="BU37" s="135"/>
      <c r="BW37" s="134"/>
    </row>
    <row r="38" spans="2:75" hidden="1">
      <c r="B38" s="5" t="s">
        <v>561</v>
      </c>
      <c r="C38" s="5"/>
      <c r="D38" s="135"/>
      <c r="E38" s="135"/>
      <c r="F38" s="135"/>
      <c r="G38" s="135"/>
      <c r="H38" s="135"/>
      <c r="I38" s="135"/>
      <c r="J38" s="135"/>
      <c r="K38" s="135"/>
      <c r="L38" s="135"/>
      <c r="M38" s="517"/>
      <c r="N38" s="517"/>
      <c r="O38" s="517"/>
      <c r="P38" s="517"/>
      <c r="Q38" s="517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5"/>
      <c r="BC38" s="135"/>
      <c r="BD38" s="135"/>
      <c r="BE38" s="135"/>
      <c r="BF38" s="135"/>
      <c r="BG38" s="135"/>
      <c r="BH38" s="135"/>
      <c r="BI38" s="135"/>
      <c r="BJ38" s="135"/>
      <c r="BK38" s="135"/>
      <c r="BL38" s="135"/>
      <c r="BM38" s="135"/>
      <c r="BN38" s="135"/>
      <c r="BO38" s="135"/>
      <c r="BP38" s="135"/>
      <c r="BQ38" s="135"/>
      <c r="BR38" s="135"/>
      <c r="BS38" s="135"/>
      <c r="BT38" s="135"/>
      <c r="BU38" s="135"/>
      <c r="BW38" s="134"/>
    </row>
    <row r="39" spans="2:75" hidden="1">
      <c r="B39" s="1" t="s">
        <v>521</v>
      </c>
      <c r="C39" s="1"/>
      <c r="D39" s="131">
        <v>5.2999999999999999E-2</v>
      </c>
      <c r="E39" s="131">
        <v>6.8000000000000005E-2</v>
      </c>
      <c r="F39" s="131">
        <v>1.0999999999999999E-2</v>
      </c>
      <c r="G39" s="131">
        <v>1.6E-2</v>
      </c>
      <c r="H39" s="131">
        <v>1.6E-2</v>
      </c>
      <c r="I39" s="131">
        <v>2.4E-2</v>
      </c>
      <c r="J39" s="131">
        <v>2.4E-2</v>
      </c>
      <c r="K39" s="131">
        <v>-3.1E-2</v>
      </c>
      <c r="L39" s="131">
        <v>6.5000000000000002E-2</v>
      </c>
      <c r="M39" s="515"/>
      <c r="N39" s="515"/>
      <c r="O39" s="515"/>
      <c r="P39" s="515"/>
      <c r="Q39" s="515"/>
      <c r="R39" s="132"/>
      <c r="S39" s="131">
        <v>5.8999999999999997E-2</v>
      </c>
      <c r="T39" s="131">
        <v>0.05</v>
      </c>
      <c r="U39" s="131">
        <v>7.2999999999999995E-2</v>
      </c>
      <c r="V39" s="131">
        <v>-8.2000000000000003E-2</v>
      </c>
      <c r="W39" s="131">
        <v>-1.7000000000000001E-2</v>
      </c>
      <c r="X39" s="131">
        <v>-2.4E-2</v>
      </c>
      <c r="Y39" s="131">
        <v>-2.5000000000000001E-2</v>
      </c>
      <c r="Z39" s="131">
        <v>0.13900000000000001</v>
      </c>
      <c r="AA39" s="131">
        <v>4.5999999999999999E-2</v>
      </c>
      <c r="AB39" s="131">
        <v>5.8000000000000003E-2</v>
      </c>
      <c r="AC39" s="131">
        <v>1.9E-2</v>
      </c>
      <c r="AD39" s="131">
        <v>-0.02</v>
      </c>
      <c r="AE39" s="131">
        <v>-0.02</v>
      </c>
      <c r="AF39" s="131">
        <v>-1.7000000000000001E-2</v>
      </c>
      <c r="AG39" s="131">
        <v>-1.7000000000000001E-2</v>
      </c>
      <c r="AH39" s="131">
        <v>-4.2000000000000003E-2</v>
      </c>
      <c r="AI39" s="131">
        <v>-7.0000000000000001E-3</v>
      </c>
      <c r="AJ39" s="131">
        <v>-6.0999999999999999E-2</v>
      </c>
      <c r="AK39" s="131">
        <v>-5.0999999999999997E-2</v>
      </c>
      <c r="AL39" s="131">
        <v>-9.7000000000000003E-2</v>
      </c>
      <c r="AM39" s="131">
        <v>0.22600000000000001</v>
      </c>
      <c r="AN39" s="131">
        <v>0.22600000000000001</v>
      </c>
      <c r="AO39" s="131">
        <v>0.33700000000000002</v>
      </c>
      <c r="AP39" s="131">
        <v>0.31900000000000001</v>
      </c>
      <c r="AQ39" s="131">
        <v>0.85199999999999998</v>
      </c>
      <c r="AR39" s="131">
        <v>0.32900000000000001</v>
      </c>
      <c r="AS39" s="131">
        <v>0.22900000000000001</v>
      </c>
      <c r="AT39" s="131">
        <v>0.16</v>
      </c>
      <c r="AU39" s="131">
        <v>-4.3999999999999997E-2</v>
      </c>
      <c r="AV39" s="131">
        <v>-0.21</v>
      </c>
      <c r="AW39" s="131">
        <v>-0.23100000000000001</v>
      </c>
      <c r="AX39" s="131">
        <v>-0.21199999999999999</v>
      </c>
      <c r="AY39" s="131">
        <v>-0.23300000000000001</v>
      </c>
      <c r="AZ39" s="131">
        <v>-0.18</v>
      </c>
      <c r="BA39" s="131">
        <v>-0.13200000000000001</v>
      </c>
      <c r="BB39" s="131">
        <v>-6.2E-2</v>
      </c>
      <c r="BC39" s="318"/>
      <c r="BD39" s="318"/>
      <c r="BE39" s="318"/>
      <c r="BF39" s="318"/>
      <c r="BG39" s="318"/>
      <c r="BH39" s="318"/>
      <c r="BI39" s="318"/>
      <c r="BJ39" s="318"/>
      <c r="BK39" s="132"/>
      <c r="BL39" s="131">
        <v>5.3999999999999999E-2</v>
      </c>
      <c r="BM39" s="131">
        <v>-2.1000000000000001E-2</v>
      </c>
      <c r="BN39" s="131">
        <v>5.8000000000000003E-2</v>
      </c>
      <c r="BO39" s="318"/>
      <c r="BP39" s="318"/>
      <c r="BQ39" s="318"/>
      <c r="BR39" s="318"/>
      <c r="BS39" s="318"/>
      <c r="BT39" s="318"/>
      <c r="BU39" s="318"/>
      <c r="BW39" s="318"/>
    </row>
    <row r="40" spans="2:75" hidden="1">
      <c r="B40" s="1" t="s">
        <v>522</v>
      </c>
      <c r="C40" s="1"/>
      <c r="D40" s="131">
        <v>-3.4000000000000002E-2</v>
      </c>
      <c r="E40" s="131">
        <v>-3.4000000000000002E-2</v>
      </c>
      <c r="F40" s="131">
        <v>-4.8000000000000001E-2</v>
      </c>
      <c r="G40" s="131">
        <v>2.7E-2</v>
      </c>
      <c r="H40" s="131">
        <v>2.7E-2</v>
      </c>
      <c r="I40" s="131">
        <v>2.5999999999999999E-2</v>
      </c>
      <c r="J40" s="131">
        <v>2.5999999999999999E-2</v>
      </c>
      <c r="K40" s="131">
        <v>1.4999999999999999E-2</v>
      </c>
      <c r="L40" s="515"/>
      <c r="M40" s="515"/>
      <c r="N40" s="515"/>
      <c r="O40" s="515"/>
      <c r="P40" s="515"/>
      <c r="Q40" s="515"/>
      <c r="R40" s="132"/>
      <c r="S40" s="131">
        <v>-3.7999999999999999E-2</v>
      </c>
      <c r="T40" s="131">
        <v>-4.3999999999999997E-2</v>
      </c>
      <c r="U40" s="131">
        <v>-5.2999999999999999E-2</v>
      </c>
      <c r="V40" s="131">
        <v>-5.6000000000000001E-2</v>
      </c>
      <c r="W40" s="131">
        <v>-2.5999999999999999E-2</v>
      </c>
      <c r="X40" s="131">
        <v>3.5999999999999997E-2</v>
      </c>
      <c r="Y40" s="131">
        <v>5.5E-2</v>
      </c>
      <c r="Z40" s="131">
        <v>4.4999999999999998E-2</v>
      </c>
      <c r="AA40" s="131">
        <v>0.06</v>
      </c>
      <c r="AB40" s="131">
        <v>0.01</v>
      </c>
      <c r="AC40" s="131">
        <v>2.9000000000000001E-2</v>
      </c>
      <c r="AD40" s="131">
        <v>3.6999999999999998E-2</v>
      </c>
      <c r="AE40" s="131">
        <v>3.6999999999999998E-2</v>
      </c>
      <c r="AF40" s="131">
        <v>1.7000000000000001E-2</v>
      </c>
      <c r="AG40" s="131">
        <v>1.7000000000000001E-2</v>
      </c>
      <c r="AH40" s="131">
        <v>3.4000000000000002E-2</v>
      </c>
      <c r="AI40" s="131">
        <v>2.1000000000000001E-2</v>
      </c>
      <c r="AJ40" s="131">
        <v>-7.0000000000000001E-3</v>
      </c>
      <c r="AK40" s="131" t="s">
        <v>567</v>
      </c>
      <c r="AL40" s="131" t="s">
        <v>567</v>
      </c>
      <c r="AM40" s="131">
        <v>0.14699999999999999</v>
      </c>
      <c r="AN40" s="131">
        <v>0.153</v>
      </c>
      <c r="AO40" s="131">
        <v>0.11799999999999999</v>
      </c>
      <c r="AP40" s="131" t="s">
        <v>567</v>
      </c>
      <c r="AQ40" s="131" t="s">
        <v>567</v>
      </c>
      <c r="AR40" s="131" t="s">
        <v>567</v>
      </c>
      <c r="AS40" s="131">
        <v>8.7999999999999995E-2</v>
      </c>
      <c r="AT40" s="131">
        <v>9.6000000000000002E-2</v>
      </c>
      <c r="AU40" s="131" t="s">
        <v>567</v>
      </c>
      <c r="AV40" s="131">
        <v>-0.13500000000000001</v>
      </c>
      <c r="AW40" s="131">
        <v>-0.13700000000000001</v>
      </c>
      <c r="AX40" s="131">
        <v>-0.1</v>
      </c>
      <c r="AY40" s="131">
        <v>-0.153</v>
      </c>
      <c r="AZ40" s="131">
        <v>-0.157</v>
      </c>
      <c r="BA40" s="131">
        <v>-0.159</v>
      </c>
      <c r="BB40" s="131">
        <v>-0.156</v>
      </c>
      <c r="BC40" s="318"/>
      <c r="BD40" s="318"/>
      <c r="BE40" s="318"/>
      <c r="BF40" s="318"/>
      <c r="BG40" s="318"/>
      <c r="BH40" s="318"/>
      <c r="BI40" s="318"/>
      <c r="BJ40" s="318"/>
      <c r="BK40" s="132"/>
      <c r="BL40" s="131">
        <v>-4.1000000000000002E-2</v>
      </c>
      <c r="BM40" s="131">
        <v>3.0000000000000001E-3</v>
      </c>
      <c r="BN40" s="131">
        <v>0.01</v>
      </c>
      <c r="BO40" s="318"/>
      <c r="BP40" s="318"/>
      <c r="BQ40" s="318"/>
      <c r="BR40" s="318"/>
      <c r="BS40" s="318"/>
      <c r="BT40" s="318"/>
      <c r="BU40" s="318"/>
      <c r="BW40" s="318"/>
    </row>
    <row r="41" spans="2:75" hidden="1">
      <c r="B41" s="1" t="s">
        <v>523</v>
      </c>
      <c r="C41" s="1"/>
      <c r="D41" s="131">
        <v>0.26100000000000001</v>
      </c>
      <c r="E41" s="131">
        <v>0.377</v>
      </c>
      <c r="F41" s="131">
        <v>0.21299999999999999</v>
      </c>
      <c r="G41" s="131">
        <v>0.23599999999999999</v>
      </c>
      <c r="H41" s="131">
        <v>0.23599999999999999</v>
      </c>
      <c r="I41" s="131">
        <v>0.23200000000000001</v>
      </c>
      <c r="J41" s="131">
        <v>0.23200000000000001</v>
      </c>
      <c r="K41" s="131">
        <v>0.222</v>
      </c>
      <c r="L41" s="515"/>
      <c r="M41" s="515"/>
      <c r="N41" s="515"/>
      <c r="O41" s="515"/>
      <c r="P41" s="515"/>
      <c r="Q41" s="515"/>
      <c r="R41" s="132"/>
      <c r="S41" s="131">
        <v>0.29099999999999998</v>
      </c>
      <c r="T41" s="131">
        <v>0.28100000000000003</v>
      </c>
      <c r="U41" s="131">
        <v>0.222</v>
      </c>
      <c r="V41" s="131">
        <v>0.112</v>
      </c>
      <c r="W41" s="131">
        <v>0.14099999999999999</v>
      </c>
      <c r="X41" s="131">
        <v>0.189</v>
      </c>
      <c r="Y41" s="131">
        <v>0.23</v>
      </c>
      <c r="Z41" s="131">
        <v>0.29899999999999999</v>
      </c>
      <c r="AA41" s="131">
        <v>0.25600000000000001</v>
      </c>
      <c r="AB41" s="131">
        <v>0.23400000000000001</v>
      </c>
      <c r="AC41" s="131">
        <v>0.26400000000000001</v>
      </c>
      <c r="AD41" s="131">
        <v>0.185</v>
      </c>
      <c r="AE41" s="131">
        <v>0.185</v>
      </c>
      <c r="AF41" s="131">
        <v>0.18099999999999999</v>
      </c>
      <c r="AG41" s="131">
        <v>0.18099999999999999</v>
      </c>
      <c r="AH41" s="131">
        <v>0.13500000000000001</v>
      </c>
      <c r="AI41" s="131">
        <v>0.16600000000000001</v>
      </c>
      <c r="AJ41" s="131">
        <v>0.36799999999999999</v>
      </c>
      <c r="AK41" s="131" t="s">
        <v>567</v>
      </c>
      <c r="AL41" s="131" t="s">
        <v>567</v>
      </c>
      <c r="AM41" s="131">
        <v>-8.8999999999999996E-2</v>
      </c>
      <c r="AN41" s="131">
        <v>-8.8999999999999996E-2</v>
      </c>
      <c r="AO41" s="131">
        <v>0.3</v>
      </c>
      <c r="AP41" s="131" t="s">
        <v>567</v>
      </c>
      <c r="AQ41" s="131">
        <v>1.9139999999999999</v>
      </c>
      <c r="AR41" s="131">
        <v>1.22</v>
      </c>
      <c r="AS41" s="131">
        <v>0.40300000000000002</v>
      </c>
      <c r="AT41" s="131">
        <v>0.48199999999999998</v>
      </c>
      <c r="AU41" s="131">
        <v>0.57499999999999996</v>
      </c>
      <c r="AV41" s="131">
        <v>0.69599999999999995</v>
      </c>
      <c r="AW41" s="131">
        <v>0.76</v>
      </c>
      <c r="AX41" s="131">
        <v>0.97099999999999997</v>
      </c>
      <c r="AY41" s="131">
        <v>1.0940000000000001</v>
      </c>
      <c r="AZ41" s="131">
        <v>1.123</v>
      </c>
      <c r="BA41" s="131">
        <v>1.9870000000000001</v>
      </c>
      <c r="BB41" s="131">
        <v>1.8580000000000001</v>
      </c>
      <c r="BC41" s="318"/>
      <c r="BD41" s="318"/>
      <c r="BE41" s="318"/>
      <c r="BF41" s="318"/>
      <c r="BG41" s="318"/>
      <c r="BH41" s="318"/>
      <c r="BI41" s="318"/>
      <c r="BJ41" s="318"/>
      <c r="BK41" s="132"/>
      <c r="BL41" s="131">
        <v>0.27900000000000003</v>
      </c>
      <c r="BM41" s="131">
        <v>0.16400000000000001</v>
      </c>
      <c r="BN41" s="131">
        <v>0.23400000000000001</v>
      </c>
      <c r="BO41" s="318"/>
      <c r="BP41" s="318"/>
      <c r="BQ41" s="318"/>
      <c r="BR41" s="318"/>
      <c r="BS41" s="318"/>
      <c r="BT41" s="318"/>
      <c r="BU41" s="318"/>
      <c r="BW41" s="318"/>
    </row>
    <row r="42" spans="2:75" hidden="1">
      <c r="B42" s="1" t="s">
        <v>524</v>
      </c>
      <c r="C42" s="1"/>
      <c r="D42" s="131">
        <v>0.06</v>
      </c>
      <c r="E42" s="131">
        <v>0.11600000000000001</v>
      </c>
      <c r="F42" s="131">
        <v>4.5999999999999999E-2</v>
      </c>
      <c r="G42" s="131">
        <v>-4.8000000000000001E-2</v>
      </c>
      <c r="H42" s="131">
        <v>-4.8000000000000001E-2</v>
      </c>
      <c r="I42" s="131">
        <v>3.9E-2</v>
      </c>
      <c r="J42" s="131">
        <v>3.9E-2</v>
      </c>
      <c r="K42" s="131">
        <v>8.1000000000000003E-2</v>
      </c>
      <c r="L42" s="515"/>
      <c r="M42" s="515"/>
      <c r="N42" s="515"/>
      <c r="O42" s="515"/>
      <c r="P42" s="515"/>
      <c r="Q42" s="515"/>
      <c r="R42" s="132"/>
      <c r="S42" s="131">
        <v>8.5000000000000006E-2</v>
      </c>
      <c r="T42" s="131">
        <v>8.5000000000000006E-2</v>
      </c>
      <c r="U42" s="131">
        <v>0.01</v>
      </c>
      <c r="V42" s="131">
        <v>1.4999999999999999E-2</v>
      </c>
      <c r="W42" s="131">
        <v>-2.7E-2</v>
      </c>
      <c r="X42" s="131">
        <v>-7.0999999999999994E-2</v>
      </c>
      <c r="Y42" s="131">
        <v>-4.2000000000000003E-2</v>
      </c>
      <c r="Z42" s="131">
        <v>-5.3999999999999999E-2</v>
      </c>
      <c r="AA42" s="131">
        <v>-8.9999999999999993E-3</v>
      </c>
      <c r="AB42" s="131">
        <v>4.5999999999999999E-2</v>
      </c>
      <c r="AC42" s="131">
        <v>3.7999999999999999E-2</v>
      </c>
      <c r="AD42" s="131">
        <v>7.6999999999999999E-2</v>
      </c>
      <c r="AE42" s="131">
        <v>7.6999999999999999E-2</v>
      </c>
      <c r="AF42" s="131">
        <v>7.8E-2</v>
      </c>
      <c r="AG42" s="131">
        <v>7.8E-2</v>
      </c>
      <c r="AH42" s="131">
        <v>8.1000000000000003E-2</v>
      </c>
      <c r="AI42" s="131">
        <v>8.1000000000000003E-2</v>
      </c>
      <c r="AJ42" s="131">
        <v>8.2000000000000003E-2</v>
      </c>
      <c r="AK42" s="131" t="s">
        <v>567</v>
      </c>
      <c r="AL42" s="131" t="s">
        <v>567</v>
      </c>
      <c r="AM42" s="131">
        <v>1.2E-2</v>
      </c>
      <c r="AN42" s="131">
        <v>1.2E-2</v>
      </c>
      <c r="AO42" s="131">
        <v>0.159</v>
      </c>
      <c r="AP42" s="131" t="s">
        <v>567</v>
      </c>
      <c r="AQ42" s="131" t="s">
        <v>567</v>
      </c>
      <c r="AR42" s="131">
        <v>0.30299999999999999</v>
      </c>
      <c r="AS42" s="131">
        <v>0.14299999999999999</v>
      </c>
      <c r="AT42" s="131">
        <v>0.16300000000000001</v>
      </c>
      <c r="AU42" s="131">
        <v>0.29199999999999998</v>
      </c>
      <c r="AV42" s="131">
        <v>7.6999999999999999E-2</v>
      </c>
      <c r="AW42" s="131">
        <v>4.2000000000000003E-2</v>
      </c>
      <c r="AX42" s="131">
        <v>3.7999999999999999E-2</v>
      </c>
      <c r="AY42" s="131">
        <v>-5.1999999999999998E-2</v>
      </c>
      <c r="AZ42" s="131">
        <v>-6.6000000000000003E-2</v>
      </c>
      <c r="BA42" s="131">
        <v>-6.3E-2</v>
      </c>
      <c r="BB42" s="131">
        <v>-3.5000000000000003E-2</v>
      </c>
      <c r="BC42" s="318"/>
      <c r="BD42" s="318"/>
      <c r="BE42" s="318"/>
      <c r="BF42" s="318"/>
      <c r="BG42" s="318"/>
      <c r="BH42" s="318"/>
      <c r="BI42" s="318"/>
      <c r="BJ42" s="318"/>
      <c r="BK42" s="132"/>
      <c r="BL42" s="131">
        <v>8.5000000000000006E-2</v>
      </c>
      <c r="BM42" s="131">
        <v>-4.9000000000000002E-2</v>
      </c>
      <c r="BN42" s="131">
        <v>4.5999999999999999E-2</v>
      </c>
      <c r="BO42" s="318"/>
      <c r="BP42" s="318"/>
      <c r="BQ42" s="318"/>
      <c r="BR42" s="318"/>
      <c r="BS42" s="318"/>
      <c r="BT42" s="318"/>
      <c r="BU42" s="318"/>
      <c r="BW42" s="318"/>
    </row>
    <row r="43" spans="2:75" hidden="1">
      <c r="B43" s="1" t="s">
        <v>525</v>
      </c>
      <c r="C43" s="1"/>
      <c r="D43" s="131">
        <v>-3.1E-2</v>
      </c>
      <c r="E43" s="131">
        <v>-0.04</v>
      </c>
      <c r="F43" s="131">
        <v>-6.9000000000000006E-2</v>
      </c>
      <c r="G43" s="131">
        <v>2.4E-2</v>
      </c>
      <c r="H43" s="131">
        <v>2.4E-2</v>
      </c>
      <c r="I43" s="131">
        <v>3.1E-2</v>
      </c>
      <c r="J43" s="131">
        <v>3.1E-2</v>
      </c>
      <c r="K43" s="131">
        <v>0.108</v>
      </c>
      <c r="L43" s="131">
        <v>0.214</v>
      </c>
      <c r="M43" s="515"/>
      <c r="N43" s="515"/>
      <c r="O43" s="515"/>
      <c r="P43" s="515"/>
      <c r="Q43" s="515"/>
      <c r="R43" s="132"/>
      <c r="S43" s="131">
        <v>-0.104</v>
      </c>
      <c r="T43" s="131">
        <v>-8.4000000000000005E-2</v>
      </c>
      <c r="U43" s="131">
        <v>-8.5000000000000006E-2</v>
      </c>
      <c r="V43" s="131">
        <v>-2E-3</v>
      </c>
      <c r="W43" s="131">
        <v>-0.03</v>
      </c>
      <c r="X43" s="131">
        <v>-0.01</v>
      </c>
      <c r="Y43" s="131">
        <v>0.106</v>
      </c>
      <c r="Z43" s="131">
        <v>3.2000000000000001E-2</v>
      </c>
      <c r="AA43" s="131">
        <v>7.9000000000000001E-2</v>
      </c>
      <c r="AB43" s="131">
        <v>-1.2999999999999999E-2</v>
      </c>
      <c r="AC43" s="131">
        <v>-0.02</v>
      </c>
      <c r="AD43" s="131">
        <v>8.7999999999999995E-2</v>
      </c>
      <c r="AE43" s="131">
        <v>8.7999999999999995E-2</v>
      </c>
      <c r="AF43" s="131">
        <v>8.1000000000000003E-2</v>
      </c>
      <c r="AG43" s="131">
        <v>8.1000000000000003E-2</v>
      </c>
      <c r="AH43" s="131">
        <v>0.182</v>
      </c>
      <c r="AI43" s="131">
        <v>0.11799999999999999</v>
      </c>
      <c r="AJ43" s="131">
        <v>6.6000000000000003E-2</v>
      </c>
      <c r="AK43" s="131">
        <v>-3.5999999999999997E-2</v>
      </c>
      <c r="AL43" s="131">
        <v>0.19500000000000001</v>
      </c>
      <c r="AM43" s="131">
        <v>0.36899999999999999</v>
      </c>
      <c r="AN43" s="131">
        <v>0.36899999999999999</v>
      </c>
      <c r="AO43" s="131">
        <v>0.30499999999999999</v>
      </c>
      <c r="AP43" s="131">
        <v>0.35299999999999998</v>
      </c>
      <c r="AQ43" s="131" t="s">
        <v>567</v>
      </c>
      <c r="AR43" s="131">
        <v>9.7000000000000003E-2</v>
      </c>
      <c r="AS43" s="131">
        <v>-1.2E-2</v>
      </c>
      <c r="AT43" s="131">
        <v>8.1000000000000003E-2</v>
      </c>
      <c r="AU43" s="131" t="s">
        <v>567</v>
      </c>
      <c r="AV43" s="131">
        <v>-0.11</v>
      </c>
      <c r="AW43" s="131">
        <v>-9.2999999999999999E-2</v>
      </c>
      <c r="AX43" s="131">
        <v>-0.158</v>
      </c>
      <c r="AY43" s="131">
        <v>-0.19600000000000001</v>
      </c>
      <c r="AZ43" s="131">
        <v>-0.11799999999999999</v>
      </c>
      <c r="BA43" s="131">
        <v>1.6E-2</v>
      </c>
      <c r="BB43" s="131">
        <v>5.8999999999999997E-2</v>
      </c>
      <c r="BC43" s="318"/>
      <c r="BD43" s="318"/>
      <c r="BE43" s="318"/>
      <c r="BF43" s="318"/>
      <c r="BG43" s="318"/>
      <c r="BH43" s="318"/>
      <c r="BI43" s="318"/>
      <c r="BJ43" s="318"/>
      <c r="BK43" s="132"/>
      <c r="BL43" s="131">
        <v>-9.4E-2</v>
      </c>
      <c r="BM43" s="131">
        <v>-0.02</v>
      </c>
      <c r="BN43" s="131">
        <v>-1.2999999999999999E-2</v>
      </c>
      <c r="BO43" s="318"/>
      <c r="BP43" s="318"/>
      <c r="BQ43" s="318"/>
      <c r="BR43" s="318"/>
      <c r="BS43" s="318"/>
      <c r="BT43" s="318"/>
      <c r="BU43" s="318"/>
      <c r="BW43" s="318"/>
    </row>
    <row r="44" spans="2:75" hidden="1">
      <c r="B44" s="1" t="s">
        <v>562</v>
      </c>
      <c r="C44" s="1"/>
      <c r="D44" s="546"/>
      <c r="E44" s="546"/>
      <c r="F44" s="546"/>
      <c r="G44" s="546"/>
      <c r="H44" s="546"/>
      <c r="I44" s="546"/>
      <c r="J44" s="546"/>
      <c r="K44" s="546"/>
      <c r="L44" s="546"/>
      <c r="M44" s="546"/>
      <c r="N44" s="546"/>
      <c r="O44" s="546"/>
      <c r="P44" s="546"/>
      <c r="Q44" s="546"/>
      <c r="R44" s="135"/>
      <c r="S44" s="546"/>
      <c r="T44" s="546"/>
      <c r="U44" s="546"/>
      <c r="V44" s="546"/>
      <c r="W44" s="546"/>
      <c r="X44" s="546"/>
      <c r="Y44" s="546"/>
      <c r="Z44" s="546"/>
      <c r="AA44" s="546"/>
      <c r="AB44" s="546"/>
      <c r="AC44" s="546"/>
      <c r="AD44" s="546"/>
      <c r="AE44" s="546"/>
      <c r="AF44" s="546"/>
      <c r="AG44" s="546"/>
      <c r="AH44" s="546"/>
      <c r="AI44" s="546"/>
      <c r="AJ44" s="546"/>
      <c r="AK44" s="546"/>
      <c r="AL44" s="546"/>
      <c r="AM44" s="546"/>
      <c r="AN44" s="546"/>
      <c r="AO44" s="546"/>
      <c r="AP44" s="546"/>
      <c r="AQ44" s="546"/>
      <c r="AR44" s="546"/>
      <c r="AS44" s="546"/>
      <c r="AT44" s="546"/>
      <c r="AU44" s="546"/>
      <c r="AV44" s="546"/>
      <c r="AW44" s="546"/>
      <c r="AX44" s="546"/>
      <c r="AY44" s="546"/>
      <c r="AZ44" s="546"/>
      <c r="BA44" s="546"/>
      <c r="BB44" s="546"/>
      <c r="BC44" s="546"/>
      <c r="BD44" s="546"/>
      <c r="BE44" s="546"/>
      <c r="BF44" s="546"/>
      <c r="BG44" s="546"/>
      <c r="BH44" s="546"/>
      <c r="BI44" s="546"/>
      <c r="BJ44" s="546"/>
      <c r="BK44" s="135"/>
      <c r="BL44" s="546"/>
      <c r="BM44" s="546"/>
      <c r="BN44" s="546"/>
      <c r="BO44" s="546"/>
      <c r="BP44" s="546"/>
      <c r="BQ44" s="546"/>
      <c r="BR44" s="546"/>
      <c r="BS44" s="546"/>
      <c r="BT44" s="546"/>
      <c r="BU44" s="546"/>
      <c r="BW44" s="162"/>
    </row>
    <row r="45" spans="2:75" hidden="1">
      <c r="B45" s="1"/>
      <c r="C45" s="1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5"/>
      <c r="BC45" s="135"/>
      <c r="BD45" s="135"/>
      <c r="BE45" s="135"/>
      <c r="BF45" s="135"/>
      <c r="BG45" s="135"/>
      <c r="BH45" s="135"/>
      <c r="BI45" s="135"/>
      <c r="BJ45" s="135"/>
      <c r="BK45" s="135"/>
      <c r="BL45" s="135"/>
      <c r="BM45" s="135"/>
      <c r="BN45" s="135"/>
      <c r="BO45" s="135"/>
      <c r="BP45" s="135"/>
      <c r="BQ45" s="135"/>
      <c r="BR45" s="135"/>
      <c r="BS45" s="135"/>
      <c r="BT45" s="135"/>
      <c r="BU45" s="135"/>
      <c r="BW45" s="134"/>
    </row>
    <row r="46" spans="2:75" hidden="1">
      <c r="B46" s="5" t="s">
        <v>564</v>
      </c>
      <c r="C46" s="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5"/>
      <c r="BC46" s="135"/>
      <c r="BD46" s="135"/>
      <c r="BE46" s="135"/>
      <c r="BF46" s="135"/>
      <c r="BG46" s="135"/>
      <c r="BH46" s="135"/>
      <c r="BI46" s="135"/>
      <c r="BJ46" s="135"/>
      <c r="BK46" s="135"/>
      <c r="BL46" s="135"/>
      <c r="BM46" s="135"/>
      <c r="BN46" s="135"/>
      <c r="BO46" s="135"/>
      <c r="BP46" s="135"/>
      <c r="BQ46" s="135"/>
      <c r="BR46" s="135"/>
      <c r="BS46" s="135"/>
      <c r="BT46" s="135"/>
      <c r="BU46" s="135"/>
      <c r="BW46" s="134"/>
    </row>
    <row r="47" spans="2:75" hidden="1">
      <c r="B47" s="1" t="s">
        <v>521</v>
      </c>
      <c r="C47" s="1"/>
      <c r="D47" s="131">
        <v>5.5E-2</v>
      </c>
      <c r="E47" s="131">
        <v>3.5999999999999997E-2</v>
      </c>
      <c r="F47" s="131">
        <v>3.0000000000000001E-3</v>
      </c>
      <c r="G47" s="131">
        <v>1.4E-2</v>
      </c>
      <c r="H47" s="131">
        <v>1.4E-2</v>
      </c>
      <c r="I47" s="131">
        <v>1.0999999999999999E-2</v>
      </c>
      <c r="J47" s="131">
        <v>1.0999999999999999E-2</v>
      </c>
      <c r="K47" s="131">
        <v>-8.0000000000000002E-3</v>
      </c>
      <c r="L47" s="131">
        <v>0.121</v>
      </c>
      <c r="M47" s="515"/>
      <c r="N47" s="515"/>
      <c r="O47" s="515"/>
      <c r="P47" s="515"/>
      <c r="Q47" s="515"/>
      <c r="R47" s="132"/>
      <c r="S47" s="131">
        <v>2.5000000000000001E-2</v>
      </c>
      <c r="T47" s="131">
        <v>-7.0000000000000001E-3</v>
      </c>
      <c r="U47" s="131">
        <v>2.3E-2</v>
      </c>
      <c r="V47" s="131">
        <v>-2.4E-2</v>
      </c>
      <c r="W47" s="131">
        <v>-0.02</v>
      </c>
      <c r="X47" s="131">
        <v>3.5000000000000003E-2</v>
      </c>
      <c r="Y47" s="131">
        <v>1.4999999999999999E-2</v>
      </c>
      <c r="Z47" s="131">
        <v>2.5999999999999999E-2</v>
      </c>
      <c r="AA47" s="131">
        <v>1.7000000000000001E-2</v>
      </c>
      <c r="AB47" s="131">
        <v>1.9E-2</v>
      </c>
      <c r="AC47" s="131">
        <v>2.5999999999999999E-2</v>
      </c>
      <c r="AD47" s="131">
        <v>-1.2E-2</v>
      </c>
      <c r="AE47" s="131">
        <v>-1.2E-2</v>
      </c>
      <c r="AF47" s="131">
        <v>1.4999999999999999E-2</v>
      </c>
      <c r="AG47" s="131">
        <v>1.4999999999999999E-2</v>
      </c>
      <c r="AH47" s="131">
        <v>-2.4E-2</v>
      </c>
      <c r="AI47" s="131">
        <v>-1.2E-2</v>
      </c>
      <c r="AJ47" s="131">
        <v>-8.9999999999999993E-3</v>
      </c>
      <c r="AK47" s="131">
        <v>5.2999999999999999E-2</v>
      </c>
      <c r="AL47" s="131">
        <v>7.0999999999999994E-2</v>
      </c>
      <c r="AM47" s="131">
        <v>0.13300000000000001</v>
      </c>
      <c r="AN47" s="131">
        <v>0.13300000000000001</v>
      </c>
      <c r="AO47" s="131">
        <v>0.25900000000000001</v>
      </c>
      <c r="AP47" s="131">
        <v>0.1</v>
      </c>
      <c r="AQ47" s="131">
        <v>0.193</v>
      </c>
      <c r="AR47" s="131">
        <v>7.8E-2</v>
      </c>
      <c r="AS47" s="131">
        <v>4.1000000000000002E-2</v>
      </c>
      <c r="AT47" s="131">
        <v>0.04</v>
      </c>
      <c r="AU47" s="131">
        <v>-5.7000000000000002E-2</v>
      </c>
      <c r="AV47" s="131">
        <v>-1.4999999999999999E-2</v>
      </c>
      <c r="AW47" s="131">
        <v>-3.4000000000000002E-2</v>
      </c>
      <c r="AX47" s="131">
        <v>2E-3</v>
      </c>
      <c r="AY47" s="131">
        <v>0</v>
      </c>
      <c r="AZ47" s="131">
        <v>-4.7E-2</v>
      </c>
      <c r="BA47" s="131">
        <v>-3.4000000000000002E-2</v>
      </c>
      <c r="BB47" s="131">
        <v>-1.7000000000000001E-2</v>
      </c>
      <c r="BC47" s="318"/>
      <c r="BD47" s="318"/>
      <c r="BE47" s="318"/>
      <c r="BF47" s="318"/>
      <c r="BG47" s="318"/>
      <c r="BH47" s="318"/>
      <c r="BI47" s="318"/>
      <c r="BJ47" s="318"/>
      <c r="BK47" s="132"/>
      <c r="BL47" s="131">
        <v>8.9999999999999993E-3</v>
      </c>
      <c r="BM47" s="131">
        <v>6.0000000000000001E-3</v>
      </c>
      <c r="BN47" s="131">
        <v>1.9E-2</v>
      </c>
      <c r="BO47" s="318"/>
      <c r="BP47" s="318"/>
      <c r="BQ47" s="318"/>
      <c r="BR47" s="318"/>
      <c r="BS47" s="318"/>
      <c r="BT47" s="318"/>
      <c r="BU47" s="318"/>
      <c r="BW47" s="318"/>
    </row>
    <row r="48" spans="2:75" hidden="1">
      <c r="B48" s="1" t="s">
        <v>522</v>
      </c>
      <c r="C48" s="1"/>
      <c r="D48" s="131">
        <v>5.0999999999999997E-2</v>
      </c>
      <c r="E48" s="131">
        <v>7.0000000000000001E-3</v>
      </c>
      <c r="F48" s="131">
        <v>-1.4999999999999999E-2</v>
      </c>
      <c r="G48" s="131">
        <v>3.0000000000000001E-3</v>
      </c>
      <c r="H48" s="131">
        <v>3.0000000000000001E-3</v>
      </c>
      <c r="I48" s="131">
        <v>0.06</v>
      </c>
      <c r="J48" s="131">
        <v>0.06</v>
      </c>
      <c r="K48" s="131">
        <v>2.1999999999999999E-2</v>
      </c>
      <c r="L48" s="515"/>
      <c r="M48" s="515"/>
      <c r="N48" s="515"/>
      <c r="O48" s="515"/>
      <c r="P48" s="515"/>
      <c r="Q48" s="515"/>
      <c r="R48" s="132"/>
      <c r="S48" s="131">
        <v>3.0000000000000001E-3</v>
      </c>
      <c r="T48" s="131">
        <v>-2.9000000000000001E-2</v>
      </c>
      <c r="U48" s="131">
        <v>-1.7000000000000001E-2</v>
      </c>
      <c r="V48" s="131">
        <v>-1.4E-2</v>
      </c>
      <c r="W48" s="131">
        <v>-0.01</v>
      </c>
      <c r="X48" s="131">
        <v>6.0000000000000001E-3</v>
      </c>
      <c r="Y48" s="131">
        <v>2E-3</v>
      </c>
      <c r="Z48" s="131">
        <v>0.01</v>
      </c>
      <c r="AA48" s="131">
        <v>4.8000000000000001E-2</v>
      </c>
      <c r="AB48" s="131">
        <v>0.10299999999999999</v>
      </c>
      <c r="AC48" s="131">
        <v>6.0999999999999999E-2</v>
      </c>
      <c r="AD48" s="131">
        <v>3.5000000000000003E-2</v>
      </c>
      <c r="AE48" s="131">
        <v>3.5000000000000003E-2</v>
      </c>
      <c r="AF48" s="131">
        <v>3.9E-2</v>
      </c>
      <c r="AG48" s="131">
        <v>3.9E-2</v>
      </c>
      <c r="AH48" s="131">
        <v>-5.0000000000000001E-3</v>
      </c>
      <c r="AI48" s="131">
        <v>2.7E-2</v>
      </c>
      <c r="AJ48" s="131">
        <v>2.5000000000000001E-2</v>
      </c>
      <c r="AK48" s="131">
        <v>4.9000000000000002E-2</v>
      </c>
      <c r="AL48" s="131" t="s">
        <v>567</v>
      </c>
      <c r="AM48" s="131">
        <v>0.19700000000000001</v>
      </c>
      <c r="AN48" s="131">
        <v>0.19700000000000001</v>
      </c>
      <c r="AO48" s="131">
        <v>0.17699999999999999</v>
      </c>
      <c r="AP48" s="131">
        <v>0.10199999999999999</v>
      </c>
      <c r="AQ48" s="131">
        <v>3.2000000000000001E-2</v>
      </c>
      <c r="AR48" s="131">
        <v>0.03</v>
      </c>
      <c r="AS48" s="131">
        <v>-0.02</v>
      </c>
      <c r="AT48" s="131">
        <v>-2.8000000000000001E-2</v>
      </c>
      <c r="AU48" s="131">
        <v>-8.9999999999999993E-3</v>
      </c>
      <c r="AV48" s="131">
        <v>-6.5000000000000002E-2</v>
      </c>
      <c r="AW48" s="131">
        <v>-4.0000000000000001E-3</v>
      </c>
      <c r="AX48" s="131">
        <v>1.0999999999999999E-2</v>
      </c>
      <c r="AY48" s="131">
        <v>-2.8000000000000001E-2</v>
      </c>
      <c r="AZ48" s="131">
        <v>-8.1000000000000003E-2</v>
      </c>
      <c r="BA48" s="131">
        <v>-4.0000000000000001E-3</v>
      </c>
      <c r="BB48" s="131">
        <v>-1.9E-2</v>
      </c>
      <c r="BC48" s="318"/>
      <c r="BD48" s="318"/>
      <c r="BE48" s="318"/>
      <c r="BF48" s="318"/>
      <c r="BG48" s="318"/>
      <c r="BH48" s="318"/>
      <c r="BI48" s="318"/>
      <c r="BJ48" s="318"/>
      <c r="BK48" s="132"/>
      <c r="BL48" s="131">
        <v>-1.4E-2</v>
      </c>
      <c r="BM48" s="131">
        <v>-2E-3</v>
      </c>
      <c r="BN48" s="131">
        <v>0.10299999999999999</v>
      </c>
      <c r="BO48" s="318"/>
      <c r="BP48" s="318"/>
      <c r="BQ48" s="318"/>
      <c r="BR48" s="318"/>
      <c r="BS48" s="318"/>
      <c r="BT48" s="318"/>
      <c r="BU48" s="318"/>
      <c r="BW48" s="318"/>
    </row>
    <row r="49" spans="2:75">
      <c r="B49" s="1"/>
      <c r="C49" s="1"/>
      <c r="D49" s="1"/>
      <c r="E49" s="25"/>
      <c r="F49" s="25"/>
      <c r="G49" s="25"/>
      <c r="H49" s="25"/>
      <c r="I49" s="25"/>
      <c r="J49" s="25"/>
      <c r="K49" s="25"/>
      <c r="L49" s="25"/>
      <c r="M49" s="1"/>
      <c r="N49" s="1"/>
      <c r="O49" s="1"/>
      <c r="P49" s="1"/>
      <c r="Q49" s="1"/>
      <c r="R49" s="1"/>
      <c r="S49" s="25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</row>
    <row r="50" spans="2:75">
      <c r="B50" s="120" t="s">
        <v>570</v>
      </c>
      <c r="C50" s="120"/>
      <c r="D50" s="46">
        <v>41975</v>
      </c>
      <c r="E50" s="46">
        <v>42341</v>
      </c>
      <c r="F50" s="46">
        <v>42708</v>
      </c>
      <c r="G50" s="253">
        <f t="shared" ref="G50:L50" si="28">G3</f>
        <v>43073</v>
      </c>
      <c r="H50" s="253">
        <f t="shared" si="28"/>
        <v>43073</v>
      </c>
      <c r="I50" s="253">
        <f t="shared" si="28"/>
        <v>43438</v>
      </c>
      <c r="J50" s="253">
        <f t="shared" si="28"/>
        <v>43438</v>
      </c>
      <c r="K50" s="253">
        <f t="shared" si="28"/>
        <v>43803</v>
      </c>
      <c r="L50" s="253">
        <f t="shared" si="28"/>
        <v>44169</v>
      </c>
      <c r="M50" s="253">
        <v>44535</v>
      </c>
      <c r="N50" s="253">
        <v>44900</v>
      </c>
      <c r="O50" s="253">
        <v>45265</v>
      </c>
      <c r="P50" s="253">
        <f>P30</f>
        <v>45631</v>
      </c>
      <c r="Q50" s="253">
        <f>Q30</f>
        <v>45996</v>
      </c>
      <c r="R50" s="62"/>
      <c r="S50" s="46">
        <v>42437</v>
      </c>
      <c r="T50" s="46">
        <v>42527</v>
      </c>
      <c r="U50" s="46">
        <v>42622</v>
      </c>
      <c r="V50" s="46">
        <v>42714</v>
      </c>
      <c r="W50" s="46">
        <v>42801</v>
      </c>
      <c r="X50" s="46">
        <v>42892</v>
      </c>
      <c r="Y50" s="46">
        <v>42987</v>
      </c>
      <c r="Z50" s="46">
        <v>43079</v>
      </c>
      <c r="AA50" s="46">
        <f t="shared" ref="AA50:AH50" si="29">AA3</f>
        <v>43166</v>
      </c>
      <c r="AB50" s="253">
        <f t="shared" si="29"/>
        <v>43257</v>
      </c>
      <c r="AC50" s="253">
        <f t="shared" si="29"/>
        <v>43348</v>
      </c>
      <c r="AD50" s="253">
        <f t="shared" si="29"/>
        <v>43439</v>
      </c>
      <c r="AE50" s="253">
        <f>AE3</f>
        <v>43439</v>
      </c>
      <c r="AF50" s="253">
        <f t="shared" si="29"/>
        <v>43555</v>
      </c>
      <c r="AG50" s="253">
        <f>AG3</f>
        <v>43555</v>
      </c>
      <c r="AH50" s="253">
        <f t="shared" si="29"/>
        <v>43646</v>
      </c>
      <c r="AI50" s="253">
        <f t="shared" ref="AI50:AO50" si="30">AI3</f>
        <v>43738</v>
      </c>
      <c r="AJ50" s="253">
        <f t="shared" si="30"/>
        <v>43830</v>
      </c>
      <c r="AK50" s="253">
        <f t="shared" si="30"/>
        <v>43921</v>
      </c>
      <c r="AL50" s="253">
        <f t="shared" si="30"/>
        <v>44012</v>
      </c>
      <c r="AM50" s="253">
        <f t="shared" si="30"/>
        <v>44104</v>
      </c>
      <c r="AN50" s="253">
        <f>AN3</f>
        <v>44104</v>
      </c>
      <c r="AO50" s="253">
        <f t="shared" si="30"/>
        <v>44196</v>
      </c>
      <c r="AP50" s="253">
        <f t="shared" ref="AP50:AV50" si="31">AP3</f>
        <v>44286</v>
      </c>
      <c r="AQ50" s="253">
        <f t="shared" si="31"/>
        <v>44377</v>
      </c>
      <c r="AR50" s="253">
        <f t="shared" si="31"/>
        <v>44469</v>
      </c>
      <c r="AS50" s="253">
        <f t="shared" si="31"/>
        <v>44561</v>
      </c>
      <c r="AT50" s="253">
        <f t="shared" si="31"/>
        <v>44651</v>
      </c>
      <c r="AU50" s="253">
        <f t="shared" si="31"/>
        <v>44742</v>
      </c>
      <c r="AV50" s="253">
        <f t="shared" si="31"/>
        <v>44834</v>
      </c>
      <c r="AW50" s="253">
        <f t="shared" ref="AW50:BB50" si="32">AW3</f>
        <v>44926</v>
      </c>
      <c r="AX50" s="253">
        <f t="shared" si="32"/>
        <v>45016</v>
      </c>
      <c r="AY50" s="253">
        <f t="shared" si="32"/>
        <v>45107</v>
      </c>
      <c r="AZ50" s="253">
        <f t="shared" si="32"/>
        <v>45199</v>
      </c>
      <c r="BA50" s="253">
        <f t="shared" si="32"/>
        <v>45291</v>
      </c>
      <c r="BB50" s="253">
        <f t="shared" si="32"/>
        <v>45382</v>
      </c>
      <c r="BC50" s="253">
        <f t="shared" ref="BC50:BH50" si="33">BC3</f>
        <v>45473</v>
      </c>
      <c r="BD50" s="253">
        <f t="shared" si="33"/>
        <v>45565</v>
      </c>
      <c r="BE50" s="253">
        <f t="shared" si="33"/>
        <v>45657</v>
      </c>
      <c r="BF50" s="253">
        <f t="shared" si="33"/>
        <v>45747</v>
      </c>
      <c r="BG50" s="253">
        <f t="shared" si="33"/>
        <v>45838</v>
      </c>
      <c r="BH50" s="253">
        <f t="shared" si="33"/>
        <v>45930</v>
      </c>
      <c r="BI50" s="253">
        <f>BI3</f>
        <v>46022</v>
      </c>
      <c r="BJ50" s="253">
        <f>BJ3</f>
        <v>46112</v>
      </c>
      <c r="BK50" s="62"/>
      <c r="BL50" s="46">
        <v>42530</v>
      </c>
      <c r="BM50" s="46">
        <f t="shared" ref="BM50:BR50" si="34">BM3</f>
        <v>42896</v>
      </c>
      <c r="BN50" s="46">
        <f t="shared" si="34"/>
        <v>43261</v>
      </c>
      <c r="BO50" s="46">
        <f t="shared" si="34"/>
        <v>43646</v>
      </c>
      <c r="BP50" s="253">
        <f t="shared" si="34"/>
        <v>44012</v>
      </c>
      <c r="BQ50" s="253">
        <f t="shared" si="34"/>
        <v>44377</v>
      </c>
      <c r="BR50" s="253">
        <f t="shared" si="34"/>
        <v>44742</v>
      </c>
      <c r="BS50" s="253">
        <f>BS3</f>
        <v>45107</v>
      </c>
      <c r="BT50" s="253">
        <f>BT3</f>
        <v>45473</v>
      </c>
      <c r="BU50" s="253">
        <f>BU3</f>
        <v>45838</v>
      </c>
      <c r="BW50" s="46">
        <f>BW3</f>
        <v>43646</v>
      </c>
    </row>
    <row r="51" spans="2:75">
      <c r="B51" s="1"/>
      <c r="C51" s="1"/>
      <c r="D51" s="1"/>
      <c r="E51" s="25"/>
      <c r="F51" s="25"/>
      <c r="G51" s="25"/>
      <c r="H51" s="25"/>
      <c r="I51" s="25"/>
      <c r="J51" s="25"/>
      <c r="K51" s="25"/>
      <c r="L51" s="25"/>
      <c r="M51" s="1"/>
      <c r="N51" s="1"/>
      <c r="O51" s="1"/>
      <c r="P51" s="1"/>
      <c r="Q51" s="1"/>
      <c r="R51" s="1"/>
      <c r="S51" s="25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</row>
    <row r="52" spans="2:75">
      <c r="B52" s="5" t="s">
        <v>559</v>
      </c>
      <c r="C52" s="5"/>
      <c r="D52" s="1"/>
      <c r="E52" s="25"/>
      <c r="F52" s="25"/>
      <c r="G52" s="25"/>
      <c r="H52" s="25"/>
      <c r="I52" s="25"/>
      <c r="J52" s="25"/>
      <c r="K52" s="25"/>
      <c r="L52" s="25"/>
      <c r="M52" s="1"/>
      <c r="N52" s="1"/>
      <c r="O52" s="1"/>
      <c r="P52" s="1"/>
      <c r="Q52" s="1"/>
      <c r="R52" s="1"/>
      <c r="S52" s="25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</row>
    <row r="53" spans="2:75">
      <c r="B53" s="5"/>
      <c r="C53" s="5"/>
      <c r="D53" s="1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</row>
    <row r="54" spans="2:75">
      <c r="B54" s="1" t="s">
        <v>571</v>
      </c>
      <c r="C54" s="1"/>
      <c r="D54" s="125">
        <v>15</v>
      </c>
      <c r="E54" s="125">
        <v>15</v>
      </c>
      <c r="F54" s="125">
        <v>15</v>
      </c>
      <c r="G54" s="125">
        <v>17</v>
      </c>
      <c r="H54" s="125">
        <v>16</v>
      </c>
      <c r="I54" s="125">
        <v>17</v>
      </c>
      <c r="J54" s="125">
        <v>17</v>
      </c>
      <c r="K54" s="125">
        <v>17</v>
      </c>
      <c r="L54" s="125">
        <v>17</v>
      </c>
      <c r="M54" s="125">
        <v>17</v>
      </c>
      <c r="N54" s="125">
        <v>17</v>
      </c>
      <c r="O54" s="125">
        <v>17</v>
      </c>
      <c r="P54" s="125">
        <v>17</v>
      </c>
      <c r="Q54" s="125">
        <v>17</v>
      </c>
      <c r="R54" s="125"/>
      <c r="S54" s="125">
        <v>15</v>
      </c>
      <c r="T54" s="135">
        <f>BL54</f>
        <v>15</v>
      </c>
      <c r="U54" s="125">
        <v>15</v>
      </c>
      <c r="V54" s="135">
        <f>F54</f>
        <v>15</v>
      </c>
      <c r="W54" s="125">
        <v>15</v>
      </c>
      <c r="X54" s="135">
        <f>BM54</f>
        <v>15</v>
      </c>
      <c r="Y54" s="125">
        <v>16</v>
      </c>
      <c r="Z54" s="135">
        <f>G54</f>
        <v>17</v>
      </c>
      <c r="AA54" s="125">
        <v>17</v>
      </c>
      <c r="AB54" s="135">
        <f>BN54</f>
        <v>17</v>
      </c>
      <c r="AC54" s="125">
        <v>17</v>
      </c>
      <c r="AD54" s="135">
        <f t="shared" ref="AD54:AE57" si="35">I54</f>
        <v>17</v>
      </c>
      <c r="AE54" s="135">
        <f t="shared" si="35"/>
        <v>17</v>
      </c>
      <c r="AF54" s="125">
        <v>17</v>
      </c>
      <c r="AG54" s="125">
        <v>17</v>
      </c>
      <c r="AH54" s="135">
        <f>BO54</f>
        <v>17</v>
      </c>
      <c r="AI54" s="125">
        <v>17</v>
      </c>
      <c r="AJ54" s="135">
        <f>K54</f>
        <v>17</v>
      </c>
      <c r="AK54" s="125">
        <v>17</v>
      </c>
      <c r="AL54" s="135">
        <f>BP54</f>
        <v>17</v>
      </c>
      <c r="AM54" s="125">
        <v>17</v>
      </c>
      <c r="AN54" s="125">
        <v>17</v>
      </c>
      <c r="AO54" s="135">
        <f>L54</f>
        <v>17</v>
      </c>
      <c r="AP54" s="125">
        <v>17</v>
      </c>
      <c r="AQ54" s="135">
        <f>BQ54</f>
        <v>17</v>
      </c>
      <c r="AR54" s="125">
        <v>17</v>
      </c>
      <c r="AS54" s="135">
        <f>M54</f>
        <v>17</v>
      </c>
      <c r="AT54" s="125">
        <v>17</v>
      </c>
      <c r="AU54" s="135">
        <f>BR54</f>
        <v>17</v>
      </c>
      <c r="AV54" s="125">
        <v>17</v>
      </c>
      <c r="AW54" s="135">
        <f>N54</f>
        <v>17</v>
      </c>
      <c r="AX54" s="125">
        <v>17</v>
      </c>
      <c r="AY54" s="135">
        <f>BS54</f>
        <v>17</v>
      </c>
      <c r="AZ54" s="125">
        <v>17</v>
      </c>
      <c r="BA54" s="135">
        <f>O54</f>
        <v>17</v>
      </c>
      <c r="BB54" s="125">
        <v>17</v>
      </c>
      <c r="BC54" s="135">
        <f>BT54</f>
        <v>17</v>
      </c>
      <c r="BD54" s="125">
        <v>17</v>
      </c>
      <c r="BE54" s="135">
        <f t="shared" ref="BE54:BE60" si="36">P54</f>
        <v>17</v>
      </c>
      <c r="BF54" s="125">
        <v>17</v>
      </c>
      <c r="BG54" s="135">
        <f t="shared" ref="BG54:BG59" si="37">BU54</f>
        <v>17</v>
      </c>
      <c r="BH54" s="125">
        <v>17</v>
      </c>
      <c r="BI54" s="135">
        <f t="shared" ref="BI54:BI59" si="38">Q54</f>
        <v>17</v>
      </c>
      <c r="BJ54" s="125">
        <v>17</v>
      </c>
      <c r="BK54" s="125"/>
      <c r="BL54" s="125">
        <v>15</v>
      </c>
      <c r="BM54" s="125">
        <v>15</v>
      </c>
      <c r="BN54" s="125">
        <v>17</v>
      </c>
      <c r="BO54" s="125">
        <v>17</v>
      </c>
      <c r="BP54" s="125">
        <v>17</v>
      </c>
      <c r="BQ54" s="125">
        <v>17</v>
      </c>
      <c r="BR54" s="125">
        <v>17</v>
      </c>
      <c r="BS54" s="125">
        <v>17</v>
      </c>
      <c r="BT54" s="125">
        <v>17</v>
      </c>
      <c r="BU54" s="125">
        <v>17</v>
      </c>
      <c r="BW54" s="125">
        <v>17</v>
      </c>
    </row>
    <row r="55" spans="2:75">
      <c r="B55" s="1" t="s">
        <v>572</v>
      </c>
      <c r="C55" s="1"/>
      <c r="D55" s="125">
        <v>10</v>
      </c>
      <c r="E55" s="125">
        <v>10</v>
      </c>
      <c r="F55" s="125">
        <v>10</v>
      </c>
      <c r="G55" s="125">
        <v>10</v>
      </c>
      <c r="H55" s="125">
        <v>10</v>
      </c>
      <c r="I55" s="125">
        <v>10</v>
      </c>
      <c r="J55" s="125">
        <v>10</v>
      </c>
      <c r="K55" s="125">
        <v>9</v>
      </c>
      <c r="L55" s="125">
        <v>9</v>
      </c>
      <c r="M55" s="125">
        <v>10</v>
      </c>
      <c r="N55" s="125">
        <v>10</v>
      </c>
      <c r="O55" s="125">
        <v>10</v>
      </c>
      <c r="P55" s="125">
        <v>10</v>
      </c>
      <c r="Q55" s="125">
        <v>9</v>
      </c>
      <c r="R55" s="125"/>
      <c r="S55" s="125">
        <v>10</v>
      </c>
      <c r="T55" s="135">
        <f>BL55</f>
        <v>10</v>
      </c>
      <c r="U55" s="125">
        <v>10</v>
      </c>
      <c r="V55" s="135">
        <f>F55</f>
        <v>10</v>
      </c>
      <c r="W55" s="125">
        <v>10</v>
      </c>
      <c r="X55" s="135">
        <f>BM55</f>
        <v>10</v>
      </c>
      <c r="Y55" s="125">
        <v>10</v>
      </c>
      <c r="Z55" s="135">
        <f>G55</f>
        <v>10</v>
      </c>
      <c r="AA55" s="125">
        <v>10</v>
      </c>
      <c r="AB55" s="135">
        <f>BN55</f>
        <v>10</v>
      </c>
      <c r="AC55" s="125">
        <v>10</v>
      </c>
      <c r="AD55" s="135">
        <f t="shared" si="35"/>
        <v>10</v>
      </c>
      <c r="AE55" s="135">
        <f t="shared" si="35"/>
        <v>10</v>
      </c>
      <c r="AF55" s="125">
        <v>10</v>
      </c>
      <c r="AG55" s="125">
        <v>10</v>
      </c>
      <c r="AH55" s="135">
        <f>BO55</f>
        <v>9</v>
      </c>
      <c r="AI55" s="125">
        <v>9</v>
      </c>
      <c r="AJ55" s="135">
        <f>K55</f>
        <v>9</v>
      </c>
      <c r="AK55" s="125">
        <v>9</v>
      </c>
      <c r="AL55" s="135">
        <f>BP55</f>
        <v>9</v>
      </c>
      <c r="AM55" s="125">
        <v>9</v>
      </c>
      <c r="AN55" s="125">
        <v>9</v>
      </c>
      <c r="AO55" s="135">
        <f>L55</f>
        <v>9</v>
      </c>
      <c r="AP55" s="125">
        <v>10</v>
      </c>
      <c r="AQ55" s="135">
        <f>BQ55</f>
        <v>10</v>
      </c>
      <c r="AR55" s="125">
        <v>10</v>
      </c>
      <c r="AS55" s="135">
        <f>M55</f>
        <v>10</v>
      </c>
      <c r="AT55" s="125">
        <v>10</v>
      </c>
      <c r="AU55" s="135">
        <f>BR55</f>
        <v>10</v>
      </c>
      <c r="AV55" s="125">
        <v>10</v>
      </c>
      <c r="AW55" s="135">
        <f>N55</f>
        <v>10</v>
      </c>
      <c r="AX55" s="125">
        <v>10</v>
      </c>
      <c r="AY55" s="135">
        <f>BS55</f>
        <v>10</v>
      </c>
      <c r="AZ55" s="125">
        <v>10</v>
      </c>
      <c r="BA55" s="135">
        <f>O55</f>
        <v>10</v>
      </c>
      <c r="BB55" s="125">
        <v>10</v>
      </c>
      <c r="BC55" s="135">
        <f>BT55</f>
        <v>10</v>
      </c>
      <c r="BD55" s="125">
        <v>10</v>
      </c>
      <c r="BE55" s="135">
        <f t="shared" si="36"/>
        <v>10</v>
      </c>
      <c r="BF55" s="125">
        <v>10</v>
      </c>
      <c r="BG55" s="135">
        <f t="shared" si="37"/>
        <v>9</v>
      </c>
      <c r="BH55" s="125">
        <v>9</v>
      </c>
      <c r="BI55" s="135">
        <f t="shared" si="38"/>
        <v>9</v>
      </c>
      <c r="BJ55" s="125">
        <v>9</v>
      </c>
      <c r="BK55" s="125"/>
      <c r="BL55" s="125">
        <v>10</v>
      </c>
      <c r="BM55" s="125">
        <v>10</v>
      </c>
      <c r="BN55" s="125">
        <v>10</v>
      </c>
      <c r="BO55" s="125">
        <v>9</v>
      </c>
      <c r="BP55" s="125">
        <v>9</v>
      </c>
      <c r="BQ55" s="125">
        <v>10</v>
      </c>
      <c r="BR55" s="125">
        <v>10</v>
      </c>
      <c r="BS55" s="125">
        <v>10</v>
      </c>
      <c r="BT55" s="125">
        <v>10</v>
      </c>
      <c r="BU55" s="125">
        <v>9</v>
      </c>
      <c r="BW55" s="125">
        <v>9</v>
      </c>
    </row>
    <row r="56" spans="2:75">
      <c r="B56" s="1" t="s">
        <v>573</v>
      </c>
      <c r="C56" s="1"/>
      <c r="D56" s="125">
        <v>4</v>
      </c>
      <c r="E56" s="125">
        <v>4</v>
      </c>
      <c r="F56" s="125">
        <v>2</v>
      </c>
      <c r="G56" s="125">
        <v>3</v>
      </c>
      <c r="H56" s="125">
        <v>3</v>
      </c>
      <c r="I56" s="125">
        <v>3</v>
      </c>
      <c r="J56" s="125">
        <v>3</v>
      </c>
      <c r="K56" s="125">
        <v>3</v>
      </c>
      <c r="L56" s="125">
        <v>4</v>
      </c>
      <c r="M56" s="125">
        <v>4</v>
      </c>
      <c r="N56" s="125">
        <v>4</v>
      </c>
      <c r="O56" s="125">
        <v>4</v>
      </c>
      <c r="P56" s="125" t="s">
        <v>568</v>
      </c>
      <c r="Q56" s="125" t="s">
        <v>568</v>
      </c>
      <c r="R56" s="125"/>
      <c r="S56" s="125">
        <v>4</v>
      </c>
      <c r="T56" s="135">
        <f>BL56</f>
        <v>4</v>
      </c>
      <c r="U56" s="125">
        <v>2</v>
      </c>
      <c r="V56" s="135">
        <f>F56</f>
        <v>2</v>
      </c>
      <c r="W56" s="125">
        <v>2</v>
      </c>
      <c r="X56" s="135">
        <f>BM56</f>
        <v>3</v>
      </c>
      <c r="Y56" s="125">
        <v>3</v>
      </c>
      <c r="Z56" s="135">
        <f>G56</f>
        <v>3</v>
      </c>
      <c r="AA56" s="125">
        <v>3</v>
      </c>
      <c r="AB56" s="135">
        <f>BN56</f>
        <v>3</v>
      </c>
      <c r="AC56" s="125">
        <v>3</v>
      </c>
      <c r="AD56" s="135">
        <f t="shared" si="35"/>
        <v>3</v>
      </c>
      <c r="AE56" s="135">
        <f t="shared" si="35"/>
        <v>3</v>
      </c>
      <c r="AF56" s="125">
        <v>3</v>
      </c>
      <c r="AG56" s="125">
        <v>3</v>
      </c>
      <c r="AH56" s="135">
        <f>BO56</f>
        <v>3</v>
      </c>
      <c r="AI56" s="125">
        <v>3</v>
      </c>
      <c r="AJ56" s="135">
        <f>K56</f>
        <v>3</v>
      </c>
      <c r="AK56" s="125">
        <v>3</v>
      </c>
      <c r="AL56" s="135">
        <f>BP56</f>
        <v>3</v>
      </c>
      <c r="AM56" s="125">
        <v>4</v>
      </c>
      <c r="AN56" s="125">
        <v>4</v>
      </c>
      <c r="AO56" s="135">
        <f>L56</f>
        <v>4</v>
      </c>
      <c r="AP56" s="125">
        <v>4</v>
      </c>
      <c r="AQ56" s="135">
        <f>BQ56</f>
        <v>4</v>
      </c>
      <c r="AR56" s="125">
        <v>4</v>
      </c>
      <c r="AS56" s="135">
        <f>M56</f>
        <v>4</v>
      </c>
      <c r="AT56" s="125">
        <v>4</v>
      </c>
      <c r="AU56" s="135">
        <f>BR56</f>
        <v>4</v>
      </c>
      <c r="AV56" s="125">
        <v>4</v>
      </c>
      <c r="AW56" s="135">
        <f>N56</f>
        <v>4</v>
      </c>
      <c r="AX56" s="125">
        <v>4</v>
      </c>
      <c r="AY56" s="135">
        <f>BS56</f>
        <v>4</v>
      </c>
      <c r="AZ56" s="125">
        <v>4</v>
      </c>
      <c r="BA56" s="135">
        <f>O56</f>
        <v>4</v>
      </c>
      <c r="BB56" s="125">
        <v>4</v>
      </c>
      <c r="BC56" s="135">
        <f>BT56</f>
        <v>4</v>
      </c>
      <c r="BD56" s="125">
        <v>4</v>
      </c>
      <c r="BE56" s="135" t="str">
        <f t="shared" si="36"/>
        <v>-</v>
      </c>
      <c r="BF56" s="125"/>
      <c r="BG56" s="135">
        <f t="shared" si="37"/>
        <v>0</v>
      </c>
      <c r="BH56" s="125">
        <v>0</v>
      </c>
      <c r="BI56" s="135" t="str">
        <f t="shared" si="38"/>
        <v>-</v>
      </c>
      <c r="BJ56" s="125"/>
      <c r="BK56" s="125"/>
      <c r="BL56" s="125">
        <v>4</v>
      </c>
      <c r="BM56" s="125">
        <v>3</v>
      </c>
      <c r="BN56" s="125">
        <v>3</v>
      </c>
      <c r="BO56" s="125">
        <v>3</v>
      </c>
      <c r="BP56" s="125">
        <v>3</v>
      </c>
      <c r="BQ56" s="125">
        <v>4</v>
      </c>
      <c r="BR56" s="125">
        <v>4</v>
      </c>
      <c r="BS56" s="125">
        <v>4</v>
      </c>
      <c r="BT56" s="125">
        <v>4</v>
      </c>
      <c r="BU56" s="125"/>
      <c r="BW56" s="125">
        <v>3</v>
      </c>
    </row>
    <row r="57" spans="2:75">
      <c r="B57" s="1" t="s">
        <v>574</v>
      </c>
      <c r="C57" s="1"/>
      <c r="D57" s="125">
        <v>8</v>
      </c>
      <c r="E57" s="125">
        <v>10</v>
      </c>
      <c r="F57" s="125">
        <v>11</v>
      </c>
      <c r="G57" s="125">
        <v>11</v>
      </c>
      <c r="H57" s="125">
        <v>11</v>
      </c>
      <c r="I57" s="125">
        <v>11</v>
      </c>
      <c r="J57" s="125">
        <v>11</v>
      </c>
      <c r="K57" s="125">
        <v>11</v>
      </c>
      <c r="L57" s="125">
        <v>11</v>
      </c>
      <c r="M57" s="125">
        <v>11</v>
      </c>
      <c r="N57" s="125">
        <v>11</v>
      </c>
      <c r="O57" s="125">
        <v>11</v>
      </c>
      <c r="P57" s="125" t="s">
        <v>568</v>
      </c>
      <c r="Q57" s="125" t="s">
        <v>568</v>
      </c>
      <c r="R57" s="125"/>
      <c r="S57" s="125">
        <v>10</v>
      </c>
      <c r="T57" s="135">
        <f>BL57</f>
        <v>10</v>
      </c>
      <c r="U57" s="125">
        <v>10</v>
      </c>
      <c r="V57" s="135">
        <f>F57</f>
        <v>11</v>
      </c>
      <c r="W57" s="125">
        <v>11</v>
      </c>
      <c r="X57" s="135">
        <f>BM57</f>
        <v>11</v>
      </c>
      <c r="Y57" s="125">
        <v>11</v>
      </c>
      <c r="Z57" s="135">
        <f>G57</f>
        <v>11</v>
      </c>
      <c r="AA57" s="125">
        <v>11</v>
      </c>
      <c r="AB57" s="135">
        <f>BN57</f>
        <v>11</v>
      </c>
      <c r="AC57" s="125">
        <v>11</v>
      </c>
      <c r="AD57" s="135">
        <f t="shared" si="35"/>
        <v>11</v>
      </c>
      <c r="AE57" s="135">
        <f t="shared" si="35"/>
        <v>11</v>
      </c>
      <c r="AF57" s="125">
        <v>11</v>
      </c>
      <c r="AG57" s="125">
        <v>11</v>
      </c>
      <c r="AH57" s="135">
        <f>BO57</f>
        <v>11</v>
      </c>
      <c r="AI57" s="125">
        <v>11</v>
      </c>
      <c r="AJ57" s="135">
        <f>K57</f>
        <v>11</v>
      </c>
      <c r="AK57" s="125">
        <v>11</v>
      </c>
      <c r="AL57" s="135">
        <f>BP57</f>
        <v>11</v>
      </c>
      <c r="AM57" s="125">
        <v>11</v>
      </c>
      <c r="AN57" s="125">
        <v>11</v>
      </c>
      <c r="AO57" s="135">
        <f>L57</f>
        <v>11</v>
      </c>
      <c r="AP57" s="125">
        <v>11</v>
      </c>
      <c r="AQ57" s="135">
        <f>BQ57</f>
        <v>11</v>
      </c>
      <c r="AR57" s="125">
        <v>11</v>
      </c>
      <c r="AS57" s="135">
        <f>M57</f>
        <v>11</v>
      </c>
      <c r="AT57" s="125">
        <v>11</v>
      </c>
      <c r="AU57" s="135">
        <f>BR57</f>
        <v>11</v>
      </c>
      <c r="AV57" s="125">
        <v>11</v>
      </c>
      <c r="AW57" s="135">
        <f>N57</f>
        <v>11</v>
      </c>
      <c r="AX57" s="125">
        <v>11</v>
      </c>
      <c r="AY57" s="135">
        <f>BS57</f>
        <v>11</v>
      </c>
      <c r="AZ57" s="125">
        <v>11</v>
      </c>
      <c r="BA57" s="135">
        <f>O57</f>
        <v>11</v>
      </c>
      <c r="BB57" s="125">
        <v>11</v>
      </c>
      <c r="BC57" s="135">
        <f>BT57</f>
        <v>11</v>
      </c>
      <c r="BD57" s="125">
        <v>11</v>
      </c>
      <c r="BE57" s="135" t="str">
        <f t="shared" si="36"/>
        <v>-</v>
      </c>
      <c r="BF57" s="125"/>
      <c r="BG57" s="135">
        <f t="shared" si="37"/>
        <v>0</v>
      </c>
      <c r="BH57" s="125">
        <v>0</v>
      </c>
      <c r="BI57" s="135" t="str">
        <f t="shared" si="38"/>
        <v>-</v>
      </c>
      <c r="BJ57" s="125"/>
      <c r="BK57" s="125"/>
      <c r="BL57" s="125">
        <v>10</v>
      </c>
      <c r="BM57" s="125">
        <v>11</v>
      </c>
      <c r="BN57" s="125">
        <v>11</v>
      </c>
      <c r="BO57" s="125">
        <v>11</v>
      </c>
      <c r="BP57" s="125">
        <v>11</v>
      </c>
      <c r="BQ57" s="125">
        <v>11</v>
      </c>
      <c r="BR57" s="125">
        <v>11</v>
      </c>
      <c r="BS57" s="125">
        <v>11</v>
      </c>
      <c r="BT57" s="125">
        <v>11</v>
      </c>
      <c r="BU57" s="125"/>
      <c r="BW57" s="125">
        <v>11</v>
      </c>
    </row>
    <row r="58" spans="2:75">
      <c r="B58" s="1" t="s">
        <v>575</v>
      </c>
      <c r="C58" s="1"/>
      <c r="D58" s="125"/>
      <c r="E58" s="125"/>
      <c r="F58" s="125"/>
      <c r="G58" s="125"/>
      <c r="H58" s="125"/>
      <c r="I58" s="125"/>
      <c r="J58" s="125"/>
      <c r="K58" s="125"/>
      <c r="L58" s="125"/>
      <c r="M58" s="518"/>
      <c r="N58" s="518"/>
      <c r="O58" s="518"/>
      <c r="P58" s="125">
        <v>15</v>
      </c>
      <c r="Q58" s="125">
        <v>15</v>
      </c>
      <c r="R58" s="125"/>
      <c r="S58" s="125"/>
      <c r="T58" s="135"/>
      <c r="U58" s="125"/>
      <c r="V58" s="135"/>
      <c r="W58" s="125"/>
      <c r="X58" s="135"/>
      <c r="Y58" s="125"/>
      <c r="Z58" s="135"/>
      <c r="AA58" s="125"/>
      <c r="AB58" s="135"/>
      <c r="AC58" s="125"/>
      <c r="AD58" s="135"/>
      <c r="AE58" s="135"/>
      <c r="AF58" s="125"/>
      <c r="AG58" s="125"/>
      <c r="AH58" s="135"/>
      <c r="AI58" s="125"/>
      <c r="AJ58" s="135"/>
      <c r="AK58" s="125"/>
      <c r="AL58" s="135"/>
      <c r="AM58" s="125"/>
      <c r="AN58" s="125"/>
      <c r="AO58" s="135"/>
      <c r="AP58" s="125"/>
      <c r="AQ58" s="135"/>
      <c r="AR58" s="125"/>
      <c r="AS58" s="135"/>
      <c r="AT58" s="125"/>
      <c r="AU58" s="135"/>
      <c r="AV58" s="125"/>
      <c r="AW58" s="135"/>
      <c r="AX58" s="125"/>
      <c r="AY58" s="135"/>
      <c r="AZ58" s="125"/>
      <c r="BA58" s="135"/>
      <c r="BB58" s="125"/>
      <c r="BC58" s="135"/>
      <c r="BD58" s="125"/>
      <c r="BE58" s="135">
        <f t="shared" si="36"/>
        <v>15</v>
      </c>
      <c r="BF58" s="125">
        <v>15</v>
      </c>
      <c r="BG58" s="135">
        <f t="shared" si="37"/>
        <v>15</v>
      </c>
      <c r="BH58" s="125">
        <v>15</v>
      </c>
      <c r="BI58" s="135">
        <f t="shared" si="38"/>
        <v>15</v>
      </c>
      <c r="BJ58" s="125">
        <v>15</v>
      </c>
      <c r="BK58" s="125"/>
      <c r="BL58" s="125"/>
      <c r="BM58" s="125"/>
      <c r="BN58" s="125"/>
      <c r="BO58" s="125"/>
      <c r="BP58" s="125"/>
      <c r="BQ58" s="125"/>
      <c r="BR58" s="125"/>
      <c r="BS58" s="125"/>
      <c r="BT58" s="125"/>
      <c r="BU58" s="125">
        <v>15</v>
      </c>
      <c r="BW58" s="125"/>
    </row>
    <row r="59" spans="2:75">
      <c r="B59" s="1" t="s">
        <v>576</v>
      </c>
      <c r="C59" s="1"/>
      <c r="D59" s="125">
        <v>1</v>
      </c>
      <c r="E59" s="125">
        <v>1</v>
      </c>
      <c r="F59" s="125">
        <v>1</v>
      </c>
      <c r="G59" s="125">
        <v>1</v>
      </c>
      <c r="H59" s="125">
        <v>1</v>
      </c>
      <c r="I59" s="125">
        <v>2</v>
      </c>
      <c r="J59" s="125">
        <v>2</v>
      </c>
      <c r="K59" s="125">
        <v>3</v>
      </c>
      <c r="L59" s="125">
        <v>4</v>
      </c>
      <c r="M59" s="125">
        <v>4</v>
      </c>
      <c r="N59" s="125">
        <v>4</v>
      </c>
      <c r="O59" s="125">
        <v>4</v>
      </c>
      <c r="P59" s="125">
        <v>5</v>
      </c>
      <c r="Q59" s="125">
        <v>5</v>
      </c>
      <c r="R59" s="125"/>
      <c r="S59" s="128">
        <v>1</v>
      </c>
      <c r="T59" s="135">
        <f>BL59</f>
        <v>1</v>
      </c>
      <c r="U59" s="125">
        <v>1</v>
      </c>
      <c r="V59" s="135">
        <f>F59</f>
        <v>1</v>
      </c>
      <c r="W59" s="125">
        <v>1</v>
      </c>
      <c r="X59" s="135">
        <f>BM59</f>
        <v>1</v>
      </c>
      <c r="Y59" s="125">
        <v>1</v>
      </c>
      <c r="Z59" s="135">
        <f>G59</f>
        <v>1</v>
      </c>
      <c r="AA59" s="125">
        <v>1</v>
      </c>
      <c r="AB59" s="135">
        <f>BN59</f>
        <v>1</v>
      </c>
      <c r="AC59" s="125">
        <v>2</v>
      </c>
      <c r="AD59" s="135">
        <f>I59</f>
        <v>2</v>
      </c>
      <c r="AE59" s="135">
        <f>J59</f>
        <v>2</v>
      </c>
      <c r="AF59" s="125">
        <v>2</v>
      </c>
      <c r="AG59" s="125">
        <v>2</v>
      </c>
      <c r="AH59" s="135">
        <f>BO59</f>
        <v>2</v>
      </c>
      <c r="AI59" s="125">
        <v>2</v>
      </c>
      <c r="AJ59" s="135">
        <f>K59</f>
        <v>3</v>
      </c>
      <c r="AK59" s="125">
        <v>3</v>
      </c>
      <c r="AL59" s="135">
        <f>BP59</f>
        <v>3</v>
      </c>
      <c r="AM59" s="125">
        <v>4</v>
      </c>
      <c r="AN59" s="125">
        <v>4</v>
      </c>
      <c r="AO59" s="135">
        <f>L59</f>
        <v>4</v>
      </c>
      <c r="AP59" s="125">
        <v>4</v>
      </c>
      <c r="AQ59" s="135">
        <f>BQ59</f>
        <v>4</v>
      </c>
      <c r="AR59" s="125">
        <v>4</v>
      </c>
      <c r="AS59" s="135">
        <f>M59</f>
        <v>4</v>
      </c>
      <c r="AT59" s="125">
        <v>4</v>
      </c>
      <c r="AU59" s="135">
        <f>BR59</f>
        <v>4</v>
      </c>
      <c r="AV59" s="125">
        <v>4</v>
      </c>
      <c r="AW59" s="135">
        <f>N59</f>
        <v>4</v>
      </c>
      <c r="AX59" s="125">
        <v>4</v>
      </c>
      <c r="AY59" s="135">
        <f>BS59</f>
        <v>4</v>
      </c>
      <c r="AZ59" s="125">
        <v>4</v>
      </c>
      <c r="BA59" s="135">
        <f>O59</f>
        <v>4</v>
      </c>
      <c r="BB59" s="125">
        <v>5</v>
      </c>
      <c r="BC59" s="135">
        <f>BT59</f>
        <v>5</v>
      </c>
      <c r="BD59" s="125">
        <v>5</v>
      </c>
      <c r="BE59" s="135">
        <f t="shared" si="36"/>
        <v>5</v>
      </c>
      <c r="BF59" s="125">
        <v>5</v>
      </c>
      <c r="BG59" s="135">
        <f t="shared" si="37"/>
        <v>5</v>
      </c>
      <c r="BH59" s="125">
        <v>5</v>
      </c>
      <c r="BI59" s="135">
        <f t="shared" si="38"/>
        <v>5</v>
      </c>
      <c r="BJ59" s="125">
        <v>5</v>
      </c>
      <c r="BK59" s="125"/>
      <c r="BL59" s="125">
        <v>1</v>
      </c>
      <c r="BM59" s="125">
        <v>1</v>
      </c>
      <c r="BN59" s="125">
        <v>1</v>
      </c>
      <c r="BO59" s="125">
        <v>2</v>
      </c>
      <c r="BP59" s="125">
        <v>3</v>
      </c>
      <c r="BQ59" s="125">
        <v>4</v>
      </c>
      <c r="BR59" s="125">
        <v>4</v>
      </c>
      <c r="BS59" s="125">
        <v>4</v>
      </c>
      <c r="BT59" s="125">
        <v>5</v>
      </c>
      <c r="BU59" s="125">
        <v>5</v>
      </c>
      <c r="BW59" s="125">
        <v>2</v>
      </c>
    </row>
    <row r="60" spans="2:75">
      <c r="B60" s="5" t="s">
        <v>547</v>
      </c>
      <c r="C60" s="5"/>
      <c r="D60" s="133">
        <f t="shared" ref="D60:I60" si="39">SUM(D54:D59)</f>
        <v>38</v>
      </c>
      <c r="E60" s="133">
        <f t="shared" si="39"/>
        <v>40</v>
      </c>
      <c r="F60" s="133">
        <f t="shared" si="39"/>
        <v>39</v>
      </c>
      <c r="G60" s="133">
        <f t="shared" si="39"/>
        <v>42</v>
      </c>
      <c r="H60" s="133">
        <f t="shared" si="39"/>
        <v>41</v>
      </c>
      <c r="I60" s="133">
        <f t="shared" si="39"/>
        <v>43</v>
      </c>
      <c r="J60" s="133">
        <f t="shared" ref="J60:O60" si="40">SUM(J54:J59)</f>
        <v>43</v>
      </c>
      <c r="K60" s="133">
        <f t="shared" si="40"/>
        <v>43</v>
      </c>
      <c r="L60" s="133">
        <f t="shared" si="40"/>
        <v>45</v>
      </c>
      <c r="M60" s="133">
        <f t="shared" si="40"/>
        <v>46</v>
      </c>
      <c r="N60" s="133">
        <f t="shared" si="40"/>
        <v>46</v>
      </c>
      <c r="O60" s="133">
        <f t="shared" si="40"/>
        <v>46</v>
      </c>
      <c r="P60" s="133">
        <f>SUM(P54:P59)</f>
        <v>47</v>
      </c>
      <c r="Q60" s="133">
        <f>SUM(Q54:Q59)</f>
        <v>46</v>
      </c>
      <c r="R60" s="133"/>
      <c r="S60" s="133">
        <f t="shared" ref="S60:X60" si="41">SUM(S54:S59)</f>
        <v>40</v>
      </c>
      <c r="T60" s="133">
        <f t="shared" si="41"/>
        <v>40</v>
      </c>
      <c r="U60" s="133">
        <f t="shared" si="41"/>
        <v>38</v>
      </c>
      <c r="V60" s="133">
        <f t="shared" si="41"/>
        <v>39</v>
      </c>
      <c r="W60" s="133">
        <f t="shared" si="41"/>
        <v>39</v>
      </c>
      <c r="X60" s="133">
        <f t="shared" si="41"/>
        <v>40</v>
      </c>
      <c r="Y60" s="133">
        <f t="shared" ref="Y60:AD60" si="42">SUM(Y54:Y59)</f>
        <v>41</v>
      </c>
      <c r="Z60" s="133">
        <f t="shared" si="42"/>
        <v>42</v>
      </c>
      <c r="AA60" s="133">
        <f t="shared" si="42"/>
        <v>42</v>
      </c>
      <c r="AB60" s="133">
        <f t="shared" si="42"/>
        <v>42</v>
      </c>
      <c r="AC60" s="133">
        <f t="shared" si="42"/>
        <v>43</v>
      </c>
      <c r="AD60" s="133">
        <f t="shared" si="42"/>
        <v>43</v>
      </c>
      <c r="AE60" s="133">
        <f t="shared" ref="AE60:AK60" si="43">SUM(AE54:AE59)</f>
        <v>43</v>
      </c>
      <c r="AF60" s="133">
        <f t="shared" si="43"/>
        <v>43</v>
      </c>
      <c r="AG60" s="133">
        <f t="shared" si="43"/>
        <v>43</v>
      </c>
      <c r="AH60" s="133">
        <f t="shared" si="43"/>
        <v>42</v>
      </c>
      <c r="AI60" s="133">
        <f t="shared" si="43"/>
        <v>42</v>
      </c>
      <c r="AJ60" s="133">
        <f t="shared" si="43"/>
        <v>43</v>
      </c>
      <c r="AK60" s="133">
        <f t="shared" si="43"/>
        <v>43</v>
      </c>
      <c r="AL60" s="133">
        <f t="shared" ref="AL60:AR60" si="44">SUM(AL54:AL59)</f>
        <v>43</v>
      </c>
      <c r="AM60" s="133">
        <f t="shared" si="44"/>
        <v>45</v>
      </c>
      <c r="AN60" s="133">
        <f>SUM(AN54:AN59)</f>
        <v>45</v>
      </c>
      <c r="AO60" s="133">
        <f t="shared" si="44"/>
        <v>45</v>
      </c>
      <c r="AP60" s="133">
        <f t="shared" si="44"/>
        <v>46</v>
      </c>
      <c r="AQ60" s="133">
        <f t="shared" si="44"/>
        <v>46</v>
      </c>
      <c r="AR60" s="133">
        <f t="shared" si="44"/>
        <v>46</v>
      </c>
      <c r="AS60" s="133">
        <f t="shared" ref="AS60:AX60" si="45">SUM(AS54:AS59)</f>
        <v>46</v>
      </c>
      <c r="AT60" s="133">
        <f t="shared" si="45"/>
        <v>46</v>
      </c>
      <c r="AU60" s="133">
        <f t="shared" si="45"/>
        <v>46</v>
      </c>
      <c r="AV60" s="133">
        <f t="shared" si="45"/>
        <v>46</v>
      </c>
      <c r="AW60" s="133">
        <f t="shared" si="45"/>
        <v>46</v>
      </c>
      <c r="AX60" s="133">
        <f t="shared" si="45"/>
        <v>46</v>
      </c>
      <c r="AY60" s="133">
        <f t="shared" ref="AY60:BD60" si="46">SUM(AY54:AY59)</f>
        <v>46</v>
      </c>
      <c r="AZ60" s="133">
        <f t="shared" si="46"/>
        <v>46</v>
      </c>
      <c r="BA60" s="133">
        <f t="shared" si="46"/>
        <v>46</v>
      </c>
      <c r="BB60" s="133">
        <f t="shared" si="46"/>
        <v>47</v>
      </c>
      <c r="BC60" s="133">
        <f t="shared" si="46"/>
        <v>47</v>
      </c>
      <c r="BD60" s="133">
        <f t="shared" si="46"/>
        <v>47</v>
      </c>
      <c r="BE60" s="133">
        <f t="shared" si="36"/>
        <v>47</v>
      </c>
      <c r="BF60" s="133">
        <f>SUM(BF54:BF59)</f>
        <v>47</v>
      </c>
      <c r="BG60" s="133">
        <f>SUM(BG54:BG59)</f>
        <v>46</v>
      </c>
      <c r="BH60" s="133">
        <f>SUM(BH54:BH59)</f>
        <v>46</v>
      </c>
      <c r="BI60" s="133">
        <f>U60</f>
        <v>38</v>
      </c>
      <c r="BJ60" s="133">
        <f>SUM(BJ54:BJ59)</f>
        <v>46</v>
      </c>
      <c r="BK60" s="133"/>
      <c r="BL60" s="133">
        <f t="shared" ref="BL60:BQ60" si="47">SUM(BL54:BL59)</f>
        <v>40</v>
      </c>
      <c r="BM60" s="133">
        <f t="shared" si="47"/>
        <v>40</v>
      </c>
      <c r="BN60" s="133">
        <f t="shared" si="47"/>
        <v>42</v>
      </c>
      <c r="BO60" s="133">
        <f t="shared" si="47"/>
        <v>42</v>
      </c>
      <c r="BP60" s="133">
        <f t="shared" si="47"/>
        <v>43</v>
      </c>
      <c r="BQ60" s="133">
        <f t="shared" si="47"/>
        <v>46</v>
      </c>
      <c r="BR60" s="133">
        <f>SUM(BR54:BR59)</f>
        <v>46</v>
      </c>
      <c r="BS60" s="133">
        <f>SUM(BS54:BS59)</f>
        <v>46</v>
      </c>
      <c r="BT60" s="133">
        <f>SUM(BT54:BT59)</f>
        <v>47</v>
      </c>
      <c r="BU60" s="133">
        <f>SUM(BU54:BU59)</f>
        <v>46</v>
      </c>
      <c r="BW60" s="133">
        <f>SUM(BW54:BW59)</f>
        <v>42</v>
      </c>
    </row>
    <row r="61" spans="2:7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25"/>
      <c r="T61" s="77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</row>
    <row r="62" spans="2:7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25"/>
      <c r="T62" s="77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</row>
    <row r="63" spans="2:75">
      <c r="B63" s="120" t="s">
        <v>577</v>
      </c>
      <c r="C63" s="120"/>
      <c r="D63" s="46">
        <v>41975</v>
      </c>
      <c r="E63" s="46">
        <v>42341</v>
      </c>
      <c r="F63" s="46">
        <v>42708</v>
      </c>
      <c r="G63" s="253">
        <f t="shared" ref="G63:L63" si="48">G3</f>
        <v>43073</v>
      </c>
      <c r="H63" s="253">
        <f t="shared" si="48"/>
        <v>43073</v>
      </c>
      <c r="I63" s="253">
        <f t="shared" si="48"/>
        <v>43438</v>
      </c>
      <c r="J63" s="253">
        <f t="shared" si="48"/>
        <v>43438</v>
      </c>
      <c r="K63" s="253">
        <f t="shared" si="48"/>
        <v>43803</v>
      </c>
      <c r="L63" s="253">
        <f t="shared" si="48"/>
        <v>44169</v>
      </c>
      <c r="M63" s="253">
        <v>44535</v>
      </c>
      <c r="N63" s="253">
        <v>44900</v>
      </c>
      <c r="O63" s="253">
        <v>45265</v>
      </c>
      <c r="P63" s="253">
        <v>45265</v>
      </c>
      <c r="Q63" s="253">
        <v>45265</v>
      </c>
      <c r="R63" s="62"/>
      <c r="S63" s="46">
        <v>42437</v>
      </c>
      <c r="T63" s="46">
        <v>42527</v>
      </c>
      <c r="U63" s="46">
        <v>42622</v>
      </c>
      <c r="V63" s="46">
        <v>42714</v>
      </c>
      <c r="W63" s="46">
        <v>42801</v>
      </c>
      <c r="X63" s="46">
        <v>42892</v>
      </c>
      <c r="Y63" s="46">
        <v>42987</v>
      </c>
      <c r="Z63" s="46">
        <v>43079</v>
      </c>
      <c r="AA63" s="46">
        <f t="shared" ref="AA63:AH63" si="49">AA3</f>
        <v>43166</v>
      </c>
      <c r="AB63" s="253">
        <f t="shared" si="49"/>
        <v>43257</v>
      </c>
      <c r="AC63" s="253">
        <f t="shared" si="49"/>
        <v>43348</v>
      </c>
      <c r="AD63" s="253">
        <f t="shared" si="49"/>
        <v>43439</v>
      </c>
      <c r="AE63" s="253">
        <f>AE3</f>
        <v>43439</v>
      </c>
      <c r="AF63" s="253">
        <f t="shared" si="49"/>
        <v>43555</v>
      </c>
      <c r="AG63" s="253">
        <f>AG3</f>
        <v>43555</v>
      </c>
      <c r="AH63" s="253">
        <f t="shared" si="49"/>
        <v>43646</v>
      </c>
      <c r="AI63" s="253">
        <f t="shared" ref="AI63:AO63" si="50">AI3</f>
        <v>43738</v>
      </c>
      <c r="AJ63" s="253">
        <f t="shared" si="50"/>
        <v>43830</v>
      </c>
      <c r="AK63" s="253">
        <f t="shared" si="50"/>
        <v>43921</v>
      </c>
      <c r="AL63" s="253">
        <f t="shared" si="50"/>
        <v>44012</v>
      </c>
      <c r="AM63" s="253">
        <f t="shared" si="50"/>
        <v>44104</v>
      </c>
      <c r="AN63" s="253">
        <f>AN3</f>
        <v>44104</v>
      </c>
      <c r="AO63" s="253">
        <f t="shared" si="50"/>
        <v>44196</v>
      </c>
      <c r="AP63" s="253">
        <f t="shared" ref="AP63:AU63" si="51">AP3</f>
        <v>44286</v>
      </c>
      <c r="AQ63" s="253">
        <f t="shared" si="51"/>
        <v>44377</v>
      </c>
      <c r="AR63" s="253">
        <f t="shared" si="51"/>
        <v>44469</v>
      </c>
      <c r="AS63" s="253">
        <f t="shared" si="51"/>
        <v>44561</v>
      </c>
      <c r="AT63" s="253">
        <f t="shared" si="51"/>
        <v>44651</v>
      </c>
      <c r="AU63" s="253">
        <f t="shared" si="51"/>
        <v>44742</v>
      </c>
      <c r="AV63" s="253">
        <f t="shared" ref="AV63:BA63" si="52">AV3</f>
        <v>44834</v>
      </c>
      <c r="AW63" s="253">
        <f t="shared" si="52"/>
        <v>44926</v>
      </c>
      <c r="AX63" s="253">
        <f t="shared" si="52"/>
        <v>45016</v>
      </c>
      <c r="AY63" s="253">
        <f t="shared" si="52"/>
        <v>45107</v>
      </c>
      <c r="AZ63" s="253">
        <f t="shared" si="52"/>
        <v>45199</v>
      </c>
      <c r="BA63" s="253">
        <f t="shared" si="52"/>
        <v>45291</v>
      </c>
      <c r="BB63" s="253">
        <f t="shared" ref="BB63:BG63" si="53">BB3</f>
        <v>45382</v>
      </c>
      <c r="BC63" s="253">
        <f t="shared" si="53"/>
        <v>45473</v>
      </c>
      <c r="BD63" s="253">
        <f t="shared" si="53"/>
        <v>45565</v>
      </c>
      <c r="BE63" s="253">
        <f t="shared" si="53"/>
        <v>45657</v>
      </c>
      <c r="BF63" s="253">
        <f t="shared" si="53"/>
        <v>45747</v>
      </c>
      <c r="BG63" s="253">
        <f t="shared" si="53"/>
        <v>45838</v>
      </c>
      <c r="BH63" s="253">
        <f>BH3</f>
        <v>45930</v>
      </c>
      <c r="BI63" s="253">
        <f>BI3</f>
        <v>46022</v>
      </c>
      <c r="BJ63" s="253">
        <f>BJ3</f>
        <v>46112</v>
      </c>
      <c r="BK63" s="62"/>
      <c r="BL63" s="253">
        <f t="shared" ref="BL63:BQ63" si="54">BL3</f>
        <v>42530</v>
      </c>
      <c r="BM63" s="253">
        <f t="shared" si="54"/>
        <v>42896</v>
      </c>
      <c r="BN63" s="253">
        <f t="shared" si="54"/>
        <v>43261</v>
      </c>
      <c r="BO63" s="253">
        <f t="shared" si="54"/>
        <v>43646</v>
      </c>
      <c r="BP63" s="253">
        <f t="shared" si="54"/>
        <v>44012</v>
      </c>
      <c r="BQ63" s="253">
        <f t="shared" si="54"/>
        <v>44377</v>
      </c>
      <c r="BR63" s="253">
        <f>BR3</f>
        <v>44742</v>
      </c>
      <c r="BS63" s="253">
        <f>BS3</f>
        <v>45107</v>
      </c>
      <c r="BT63" s="253">
        <f>BT3</f>
        <v>45473</v>
      </c>
      <c r="BU63" s="253">
        <f>BU3</f>
        <v>45838</v>
      </c>
      <c r="BW63" s="253">
        <f>BW3</f>
        <v>43646</v>
      </c>
    </row>
    <row r="64" spans="2:75">
      <c r="B64" s="1"/>
      <c r="C64" s="1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25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</row>
    <row r="65" spans="2:75" hidden="1" outlineLevel="1">
      <c r="B65" s="5" t="s">
        <v>578</v>
      </c>
      <c r="C65" s="5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25"/>
      <c r="T65" s="77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</row>
    <row r="66" spans="2:75" hidden="1" outlineLevel="1">
      <c r="B66" s="1" t="s">
        <v>579</v>
      </c>
      <c r="C66" s="1" t="s">
        <v>580</v>
      </c>
      <c r="D66" s="130">
        <v>1224623</v>
      </c>
      <c r="E66" s="130">
        <v>1379680</v>
      </c>
      <c r="F66" s="130">
        <v>1566161</v>
      </c>
      <c r="G66" s="130">
        <v>1715531</v>
      </c>
      <c r="H66" s="130">
        <v>1715531</v>
      </c>
      <c r="I66" s="130">
        <v>1903551</v>
      </c>
      <c r="J66" s="130">
        <v>1903551</v>
      </c>
      <c r="K66" s="130">
        <v>2174219</v>
      </c>
      <c r="L66" s="519"/>
      <c r="M66" s="519"/>
      <c r="N66" s="519"/>
      <c r="O66" s="519"/>
      <c r="P66" s="519"/>
      <c r="Q66" s="519"/>
      <c r="R66" s="130"/>
      <c r="S66" s="130">
        <v>1410244</v>
      </c>
      <c r="T66" s="194">
        <f>BL66</f>
        <v>1440304</v>
      </c>
      <c r="U66" s="130">
        <v>1438785</v>
      </c>
      <c r="V66" s="194">
        <f>F66</f>
        <v>1566161</v>
      </c>
      <c r="W66" s="130">
        <v>1583462</v>
      </c>
      <c r="X66" s="194">
        <f>BM66</f>
        <v>1593154</v>
      </c>
      <c r="Y66" s="130">
        <v>1564757</v>
      </c>
      <c r="Z66" s="194">
        <f>G66</f>
        <v>1715531</v>
      </c>
      <c r="AA66" s="130">
        <v>1738705</v>
      </c>
      <c r="AB66" s="194">
        <f>BN66</f>
        <v>1786322</v>
      </c>
      <c r="AC66" s="130">
        <v>1765980</v>
      </c>
      <c r="AD66" s="194">
        <f t="shared" ref="AD66:AE70" si="55">I66</f>
        <v>1903551</v>
      </c>
      <c r="AE66" s="194">
        <f t="shared" si="55"/>
        <v>1903551</v>
      </c>
      <c r="AF66" s="130">
        <v>1944024</v>
      </c>
      <c r="AG66" s="130">
        <v>1944024</v>
      </c>
      <c r="AH66" s="194">
        <f>BO66</f>
        <v>2003526</v>
      </c>
      <c r="AI66" s="130">
        <v>2041069</v>
      </c>
      <c r="AJ66" s="194">
        <f>K66</f>
        <v>2174219</v>
      </c>
      <c r="AK66" s="130"/>
      <c r="AL66" s="194">
        <f>BP66</f>
        <v>0</v>
      </c>
      <c r="AM66" s="519"/>
      <c r="AN66" s="519"/>
      <c r="AO66" s="520"/>
      <c r="AP66" s="520"/>
      <c r="AQ66" s="520"/>
      <c r="AR66" s="519"/>
      <c r="AS66" s="520"/>
      <c r="AT66" s="520"/>
      <c r="AU66" s="520"/>
      <c r="AV66" s="519"/>
      <c r="AW66" s="520"/>
      <c r="AX66" s="520"/>
      <c r="AY66" s="520"/>
      <c r="AZ66" s="519"/>
      <c r="BA66" s="520"/>
      <c r="BB66" s="520"/>
      <c r="BC66" s="520"/>
      <c r="BD66" s="519"/>
      <c r="BE66" s="520"/>
      <c r="BF66" s="520"/>
      <c r="BG66" s="520"/>
      <c r="BH66" s="519"/>
      <c r="BI66" s="520"/>
      <c r="BJ66" s="520"/>
      <c r="BK66" s="130"/>
      <c r="BL66" s="130">
        <v>1440304</v>
      </c>
      <c r="BM66" s="130">
        <v>1593154</v>
      </c>
      <c r="BN66" s="130">
        <v>1786322</v>
      </c>
      <c r="BO66" s="130">
        <v>2003526</v>
      </c>
      <c r="BP66" s="519"/>
      <c r="BQ66" s="519"/>
      <c r="BR66" s="519"/>
      <c r="BS66" s="519"/>
      <c r="BT66" s="519"/>
      <c r="BU66" s="519"/>
      <c r="BW66" s="130">
        <v>2003526</v>
      </c>
    </row>
    <row r="67" spans="2:75" hidden="1" outlineLevel="1">
      <c r="B67" s="1" t="s">
        <v>581</v>
      </c>
      <c r="C67" s="1" t="s">
        <v>580</v>
      </c>
      <c r="D67" s="130">
        <v>-42861</v>
      </c>
      <c r="E67" s="130">
        <v>-47902</v>
      </c>
      <c r="F67" s="130">
        <v>-57943</v>
      </c>
      <c r="G67" s="130">
        <v>-65590</v>
      </c>
      <c r="H67" s="130">
        <v>-65590</v>
      </c>
      <c r="I67" s="130">
        <v>-125451</v>
      </c>
      <c r="J67" s="130">
        <v>-124201</v>
      </c>
      <c r="K67" s="130">
        <v>-143811</v>
      </c>
      <c r="L67" s="519"/>
      <c r="M67" s="519"/>
      <c r="N67" s="519"/>
      <c r="O67" s="519"/>
      <c r="P67" s="519"/>
      <c r="Q67" s="519"/>
      <c r="R67" s="130"/>
      <c r="S67" s="130">
        <v>-52826</v>
      </c>
      <c r="T67" s="194">
        <f t="shared" ref="T67:T95" si="56">BL67</f>
        <v>-56900</v>
      </c>
      <c r="U67" s="130">
        <v>-53933</v>
      </c>
      <c r="V67" s="194">
        <f>F67</f>
        <v>-57943</v>
      </c>
      <c r="W67" s="130">
        <v>-65211</v>
      </c>
      <c r="X67" s="194">
        <f t="shared" ref="X67:X95" si="57">BM67</f>
        <v>-68561</v>
      </c>
      <c r="Y67" s="130">
        <v>-65707</v>
      </c>
      <c r="Z67" s="194">
        <f>G67</f>
        <v>-65590</v>
      </c>
      <c r="AA67" s="130">
        <v>-113547</v>
      </c>
      <c r="AB67" s="194">
        <f>BN67</f>
        <v>-121411</v>
      </c>
      <c r="AC67" s="130">
        <v>-122003</v>
      </c>
      <c r="AD67" s="194">
        <f t="shared" si="55"/>
        <v>-125451</v>
      </c>
      <c r="AE67" s="194">
        <f t="shared" si="55"/>
        <v>-124201</v>
      </c>
      <c r="AF67" s="130">
        <v>-119597</v>
      </c>
      <c r="AG67" s="130">
        <v>-119597</v>
      </c>
      <c r="AH67" s="194">
        <f t="shared" ref="AH67:AH95" si="58">BO67</f>
        <v>-132151</v>
      </c>
      <c r="AI67" s="130">
        <v>-133690</v>
      </c>
      <c r="AJ67" s="194">
        <f>K67</f>
        <v>-143811</v>
      </c>
      <c r="AK67" s="130"/>
      <c r="AL67" s="194">
        <f>BP67</f>
        <v>0</v>
      </c>
      <c r="AM67" s="519"/>
      <c r="AN67" s="519"/>
      <c r="AO67" s="520"/>
      <c r="AP67" s="520"/>
      <c r="AQ67" s="520"/>
      <c r="AR67" s="519"/>
      <c r="AS67" s="520"/>
      <c r="AT67" s="520"/>
      <c r="AU67" s="520"/>
      <c r="AV67" s="519"/>
      <c r="AW67" s="520"/>
      <c r="AX67" s="520"/>
      <c r="AY67" s="520"/>
      <c r="AZ67" s="519"/>
      <c r="BA67" s="520"/>
      <c r="BB67" s="520"/>
      <c r="BC67" s="520"/>
      <c r="BD67" s="519"/>
      <c r="BE67" s="520"/>
      <c r="BF67" s="520"/>
      <c r="BG67" s="520"/>
      <c r="BH67" s="519"/>
      <c r="BI67" s="520"/>
      <c r="BJ67" s="520"/>
      <c r="BK67" s="130"/>
      <c r="BL67" s="130">
        <v>-56900</v>
      </c>
      <c r="BM67" s="130">
        <v>-68561</v>
      </c>
      <c r="BN67" s="130">
        <v>-121411</v>
      </c>
      <c r="BO67" s="130">
        <v>-132151</v>
      </c>
      <c r="BP67" s="519"/>
      <c r="BQ67" s="519"/>
      <c r="BR67" s="519"/>
      <c r="BS67" s="519"/>
      <c r="BT67" s="519"/>
      <c r="BU67" s="519"/>
      <c r="BW67" s="130">
        <v>-132151</v>
      </c>
    </row>
    <row r="68" spans="2:75" hidden="1" outlineLevel="1">
      <c r="B68" s="1" t="s">
        <v>582</v>
      </c>
      <c r="C68" s="1" t="s">
        <v>583</v>
      </c>
      <c r="D68" s="130">
        <v>2247183</v>
      </c>
      <c r="E68" s="130">
        <v>2377164</v>
      </c>
      <c r="F68" s="130">
        <v>2417591</v>
      </c>
      <c r="G68" s="130">
        <v>2463344</v>
      </c>
      <c r="H68" s="130">
        <v>2463344</v>
      </c>
      <c r="I68" s="130">
        <v>2649711</v>
      </c>
      <c r="J68" s="130">
        <v>2598020</v>
      </c>
      <c r="K68" s="130">
        <v>2748592</v>
      </c>
      <c r="L68" s="519"/>
      <c r="M68" s="519"/>
      <c r="N68" s="519"/>
      <c r="O68" s="519"/>
      <c r="P68" s="519"/>
      <c r="Q68" s="519"/>
      <c r="R68" s="130"/>
      <c r="S68" s="130">
        <v>2357932</v>
      </c>
      <c r="T68" s="194">
        <f t="shared" si="56"/>
        <v>2367794</v>
      </c>
      <c r="U68" s="130">
        <v>2360481</v>
      </c>
      <c r="V68" s="194">
        <f>F68</f>
        <v>2417591</v>
      </c>
      <c r="W68" s="130">
        <v>2388008</v>
      </c>
      <c r="X68" s="194">
        <f t="shared" si="57"/>
        <v>2387609</v>
      </c>
      <c r="Y68" s="130">
        <v>2383221</v>
      </c>
      <c r="Z68" s="194">
        <f>G68</f>
        <v>2463344</v>
      </c>
      <c r="AA68" s="130">
        <v>2494195</v>
      </c>
      <c r="AB68" s="194">
        <f>BN68</f>
        <v>2543845</v>
      </c>
      <c r="AC68" s="130">
        <v>2570591</v>
      </c>
      <c r="AD68" s="194">
        <f t="shared" si="55"/>
        <v>2649711</v>
      </c>
      <c r="AE68" s="194">
        <f t="shared" si="55"/>
        <v>2598020</v>
      </c>
      <c r="AF68" s="130">
        <v>2694711</v>
      </c>
      <c r="AG68" s="130">
        <v>2694711</v>
      </c>
      <c r="AH68" s="194">
        <f t="shared" si="58"/>
        <v>2721792</v>
      </c>
      <c r="AI68" s="130">
        <v>2748592</v>
      </c>
      <c r="AJ68" s="194">
        <f>K68</f>
        <v>2748592</v>
      </c>
      <c r="AK68" s="130"/>
      <c r="AL68" s="194">
        <f>BP68</f>
        <v>0</v>
      </c>
      <c r="AM68" s="519"/>
      <c r="AN68" s="519"/>
      <c r="AO68" s="520"/>
      <c r="AP68" s="520"/>
      <c r="AQ68" s="520"/>
      <c r="AR68" s="519"/>
      <c r="AS68" s="520"/>
      <c r="AT68" s="520"/>
      <c r="AU68" s="520"/>
      <c r="AV68" s="519"/>
      <c r="AW68" s="520"/>
      <c r="AX68" s="520"/>
      <c r="AY68" s="520"/>
      <c r="AZ68" s="519"/>
      <c r="BA68" s="520"/>
      <c r="BB68" s="520"/>
      <c r="BC68" s="520"/>
      <c r="BD68" s="519"/>
      <c r="BE68" s="520"/>
      <c r="BF68" s="520"/>
      <c r="BG68" s="520"/>
      <c r="BH68" s="519"/>
      <c r="BI68" s="520"/>
      <c r="BJ68" s="520"/>
      <c r="BK68" s="130"/>
      <c r="BL68" s="130">
        <v>2367794</v>
      </c>
      <c r="BM68" s="130">
        <v>2387609</v>
      </c>
      <c r="BN68" s="130">
        <v>2543845</v>
      </c>
      <c r="BO68" s="130">
        <v>2721792</v>
      </c>
      <c r="BP68" s="519"/>
      <c r="BQ68" s="519"/>
      <c r="BR68" s="519"/>
      <c r="BS68" s="519"/>
      <c r="BT68" s="519"/>
      <c r="BU68" s="519"/>
      <c r="BW68" s="130">
        <v>2721792</v>
      </c>
    </row>
    <row r="69" spans="2:75" hidden="1" outlineLevel="1">
      <c r="B69" s="1" t="s">
        <v>584</v>
      </c>
      <c r="C69" s="1" t="s">
        <v>585</v>
      </c>
      <c r="D69" s="136">
        <v>4.3</v>
      </c>
      <c r="E69" s="136">
        <v>4</v>
      </c>
      <c r="F69" s="136">
        <v>3.8</v>
      </c>
      <c r="G69" s="136">
        <v>6.1</v>
      </c>
      <c r="H69" s="136">
        <v>6.1</v>
      </c>
      <c r="I69" s="136">
        <v>5.6</v>
      </c>
      <c r="J69" s="136">
        <v>5.7</v>
      </c>
      <c r="K69" s="136">
        <v>5.7</v>
      </c>
      <c r="L69" s="521"/>
      <c r="M69" s="521"/>
      <c r="N69" s="521"/>
      <c r="O69" s="521"/>
      <c r="P69" s="521"/>
      <c r="Q69" s="521"/>
      <c r="R69" s="136"/>
      <c r="S69" s="136">
        <v>5</v>
      </c>
      <c r="T69" s="195">
        <f t="shared" si="56"/>
        <v>5</v>
      </c>
      <c r="U69" s="136">
        <v>5.0999999999999996</v>
      </c>
      <c r="V69" s="195">
        <f>F69</f>
        <v>3.8</v>
      </c>
      <c r="W69" s="136">
        <v>5.0999999999999996</v>
      </c>
      <c r="X69" s="195">
        <f t="shared" si="57"/>
        <v>5</v>
      </c>
      <c r="Y69" s="136">
        <v>5.0999999999999996</v>
      </c>
      <c r="Z69" s="195">
        <f>G69</f>
        <v>6.1</v>
      </c>
      <c r="AA69" s="136">
        <v>6.3</v>
      </c>
      <c r="AB69" s="195">
        <f>BN69</f>
        <v>6.2</v>
      </c>
      <c r="AC69" s="136">
        <v>5.7</v>
      </c>
      <c r="AD69" s="195">
        <f t="shared" si="55"/>
        <v>5.6</v>
      </c>
      <c r="AE69" s="195">
        <f t="shared" si="55"/>
        <v>5.7</v>
      </c>
      <c r="AF69" s="136">
        <v>6</v>
      </c>
      <c r="AG69" s="136">
        <v>6</v>
      </c>
      <c r="AH69" s="195">
        <f t="shared" si="58"/>
        <v>5.7</v>
      </c>
      <c r="AI69" s="136">
        <v>5.7</v>
      </c>
      <c r="AJ69" s="195">
        <f>K69</f>
        <v>5.7</v>
      </c>
      <c r="AK69" s="136"/>
      <c r="AL69" s="195">
        <f>BP69</f>
        <v>0</v>
      </c>
      <c r="AM69" s="521"/>
      <c r="AN69" s="521"/>
      <c r="AO69" s="520"/>
      <c r="AP69" s="522"/>
      <c r="AQ69" s="522"/>
      <c r="AR69" s="521"/>
      <c r="AS69" s="520"/>
      <c r="AT69" s="522"/>
      <c r="AU69" s="522"/>
      <c r="AV69" s="521"/>
      <c r="AW69" s="520"/>
      <c r="AX69" s="522"/>
      <c r="AY69" s="522"/>
      <c r="AZ69" s="521"/>
      <c r="BA69" s="520"/>
      <c r="BB69" s="522"/>
      <c r="BC69" s="522"/>
      <c r="BD69" s="521"/>
      <c r="BE69" s="520"/>
      <c r="BF69" s="522"/>
      <c r="BG69" s="522"/>
      <c r="BH69" s="521"/>
      <c r="BI69" s="520"/>
      <c r="BJ69" s="522"/>
      <c r="BK69" s="130"/>
      <c r="BL69" s="136">
        <v>5</v>
      </c>
      <c r="BM69" s="136">
        <v>5</v>
      </c>
      <c r="BN69" s="136">
        <v>6.2</v>
      </c>
      <c r="BO69" s="136">
        <v>5.7</v>
      </c>
      <c r="BP69" s="521"/>
      <c r="BQ69" s="521"/>
      <c r="BR69" s="521"/>
      <c r="BS69" s="521"/>
      <c r="BT69" s="521"/>
      <c r="BU69" s="521"/>
      <c r="BW69" s="136">
        <v>5.7</v>
      </c>
    </row>
    <row r="70" spans="2:75" hidden="1" outlineLevel="1">
      <c r="B70" s="1" t="s">
        <v>586</v>
      </c>
      <c r="C70" s="1" t="s">
        <v>587</v>
      </c>
      <c r="D70" s="137">
        <v>544959</v>
      </c>
      <c r="E70" s="137">
        <v>580390</v>
      </c>
      <c r="F70" s="137">
        <v>647819</v>
      </c>
      <c r="G70" s="137">
        <v>696424</v>
      </c>
      <c r="H70" s="137">
        <v>696424</v>
      </c>
      <c r="I70" s="137">
        <v>718399</v>
      </c>
      <c r="J70" s="137">
        <v>679741</v>
      </c>
      <c r="K70" s="137">
        <v>791030</v>
      </c>
      <c r="L70" s="523"/>
      <c r="M70" s="523"/>
      <c r="N70" s="523"/>
      <c r="O70" s="523"/>
      <c r="P70" s="523"/>
      <c r="Q70" s="523"/>
      <c r="R70" s="137"/>
      <c r="S70" s="137">
        <v>598085</v>
      </c>
      <c r="T70" s="196">
        <f t="shared" si="56"/>
        <v>608289</v>
      </c>
      <c r="U70" s="137">
        <v>609531</v>
      </c>
      <c r="V70" s="196">
        <f>F70</f>
        <v>647819</v>
      </c>
      <c r="W70" s="137">
        <v>663089</v>
      </c>
      <c r="X70" s="196">
        <f t="shared" si="57"/>
        <v>667259</v>
      </c>
      <c r="Y70" s="137">
        <v>656572</v>
      </c>
      <c r="Z70" s="194">
        <f>G70</f>
        <v>696424</v>
      </c>
      <c r="AA70" s="137">
        <v>697101</v>
      </c>
      <c r="AB70" s="194">
        <f>BN70</f>
        <v>702213</v>
      </c>
      <c r="AC70" s="137">
        <v>686994</v>
      </c>
      <c r="AD70" s="194">
        <f t="shared" si="55"/>
        <v>718399</v>
      </c>
      <c r="AE70" s="194">
        <f t="shared" si="55"/>
        <v>679741</v>
      </c>
      <c r="AF70" s="137">
        <v>721422</v>
      </c>
      <c r="AG70" s="137">
        <v>721422</v>
      </c>
      <c r="AH70" s="194">
        <f t="shared" si="58"/>
        <v>736106</v>
      </c>
      <c r="AI70" s="137">
        <v>742587</v>
      </c>
      <c r="AJ70" s="194">
        <f>K70</f>
        <v>791030</v>
      </c>
      <c r="AK70" s="137"/>
      <c r="AL70" s="194">
        <f>BP70</f>
        <v>0</v>
      </c>
      <c r="AM70" s="523"/>
      <c r="AN70" s="523"/>
      <c r="AO70" s="520"/>
      <c r="AP70" s="520"/>
      <c r="AQ70" s="520"/>
      <c r="AR70" s="523"/>
      <c r="AS70" s="520"/>
      <c r="AT70" s="520"/>
      <c r="AU70" s="520"/>
      <c r="AV70" s="523"/>
      <c r="AW70" s="520"/>
      <c r="AX70" s="520"/>
      <c r="AY70" s="520"/>
      <c r="AZ70" s="523"/>
      <c r="BA70" s="520"/>
      <c r="BB70" s="520"/>
      <c r="BC70" s="520"/>
      <c r="BD70" s="523"/>
      <c r="BE70" s="520"/>
      <c r="BF70" s="520"/>
      <c r="BG70" s="520"/>
      <c r="BH70" s="523"/>
      <c r="BI70" s="520"/>
      <c r="BJ70" s="520"/>
      <c r="BK70" s="130"/>
      <c r="BL70" s="137">
        <v>608289</v>
      </c>
      <c r="BM70" s="137">
        <v>667259</v>
      </c>
      <c r="BN70" s="137">
        <v>702213</v>
      </c>
      <c r="BO70" s="137">
        <v>736106</v>
      </c>
      <c r="BP70" s="523"/>
      <c r="BQ70" s="523"/>
      <c r="BR70" s="523"/>
      <c r="BS70" s="523"/>
      <c r="BT70" s="523"/>
      <c r="BU70" s="523"/>
      <c r="BW70" s="137">
        <v>736106</v>
      </c>
    </row>
    <row r="71" spans="2:75" hidden="1" outlineLevel="1">
      <c r="B71" s="1"/>
      <c r="C71" s="1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  <c r="AM71" s="135"/>
      <c r="AN71" s="135"/>
      <c r="AO71" s="135"/>
      <c r="AP71" s="135"/>
      <c r="AQ71" s="135"/>
      <c r="AR71" s="135"/>
      <c r="AS71" s="135"/>
      <c r="AT71" s="135"/>
      <c r="AU71" s="135"/>
      <c r="AV71" s="135"/>
      <c r="AW71" s="135"/>
      <c r="AX71" s="135"/>
      <c r="AY71" s="135"/>
      <c r="AZ71" s="135"/>
      <c r="BA71" s="135"/>
      <c r="BB71" s="135"/>
      <c r="BC71" s="135"/>
      <c r="BD71" s="135"/>
      <c r="BE71" s="135"/>
      <c r="BF71" s="135"/>
      <c r="BG71" s="135"/>
      <c r="BH71" s="135"/>
      <c r="BI71" s="135"/>
      <c r="BJ71" s="135"/>
      <c r="BK71" s="130"/>
      <c r="BL71" s="135"/>
      <c r="BM71" s="135"/>
      <c r="BN71" s="135"/>
      <c r="BO71" s="135"/>
      <c r="BP71" s="135"/>
      <c r="BQ71" s="135"/>
      <c r="BR71" s="135"/>
      <c r="BS71" s="135"/>
      <c r="BT71" s="135"/>
      <c r="BU71" s="135"/>
      <c r="BW71" s="134"/>
    </row>
    <row r="72" spans="2:75" collapsed="1">
      <c r="B72" s="5" t="s">
        <v>588</v>
      </c>
      <c r="C72" s="1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30"/>
      <c r="BL72" s="135"/>
      <c r="BM72" s="135"/>
      <c r="BN72" s="135"/>
      <c r="BO72" s="135"/>
      <c r="BP72" s="135"/>
      <c r="BQ72" s="135"/>
      <c r="BR72" s="135"/>
      <c r="BS72" s="135"/>
      <c r="BT72" s="135"/>
      <c r="BU72" s="135"/>
      <c r="BW72" s="134"/>
    </row>
    <row r="73" spans="2:75">
      <c r="B73" s="1" t="s">
        <v>579</v>
      </c>
      <c r="C73" s="1" t="s">
        <v>589</v>
      </c>
      <c r="D73" s="130">
        <v>3076</v>
      </c>
      <c r="E73" s="130">
        <v>3911</v>
      </c>
      <c r="F73" s="130">
        <v>3985</v>
      </c>
      <c r="G73" s="130">
        <v>3564.1460000000002</v>
      </c>
      <c r="H73" s="130">
        <v>3564.1460000000002</v>
      </c>
      <c r="I73" s="130">
        <v>3101.8339999999998</v>
      </c>
      <c r="J73" s="130">
        <v>3101.8339999999998</v>
      </c>
      <c r="K73" s="130">
        <v>3327.4830000000002</v>
      </c>
      <c r="L73" s="130">
        <v>2694.2310000000002</v>
      </c>
      <c r="M73" s="130">
        <v>2875.1329999999998</v>
      </c>
      <c r="N73" s="130">
        <v>3979.4870000000001</v>
      </c>
      <c r="O73" s="130">
        <f>3808.074</f>
        <v>3808.0740000000001</v>
      </c>
      <c r="P73" s="130">
        <v>3526.1219999999998</v>
      </c>
      <c r="Q73" s="130">
        <v>3812.7759999999998</v>
      </c>
      <c r="R73" s="130"/>
      <c r="S73" s="130">
        <v>3901.114</v>
      </c>
      <c r="T73" s="194">
        <f t="shared" si="56"/>
        <v>3983</v>
      </c>
      <c r="U73" s="130">
        <v>3872.7669999999998</v>
      </c>
      <c r="V73" s="194">
        <f>F73</f>
        <v>3985</v>
      </c>
      <c r="W73" s="130">
        <v>3826.32</v>
      </c>
      <c r="X73" s="194">
        <f t="shared" si="57"/>
        <v>3829</v>
      </c>
      <c r="Y73" s="130">
        <v>3511.105</v>
      </c>
      <c r="Z73" s="194">
        <f>G73</f>
        <v>3564.1460000000002</v>
      </c>
      <c r="AA73" s="130">
        <v>3295.6</v>
      </c>
      <c r="AB73" s="194">
        <f>BN73</f>
        <v>3325.172</v>
      </c>
      <c r="AC73" s="130">
        <v>3036.1129999999998</v>
      </c>
      <c r="AD73" s="194">
        <f t="shared" ref="AD73:AE77" si="59">I73</f>
        <v>3101.8339999999998</v>
      </c>
      <c r="AE73" s="194">
        <f t="shared" si="59"/>
        <v>3101.8339999999998</v>
      </c>
      <c r="AF73" s="130">
        <v>3029.8620000000001</v>
      </c>
      <c r="AG73" s="130">
        <v>3029.8620000000001</v>
      </c>
      <c r="AH73" s="194">
        <f t="shared" si="58"/>
        <v>3063.0630000000001</v>
      </c>
      <c r="AI73" s="130">
        <v>3119.346</v>
      </c>
      <c r="AJ73" s="194">
        <f>K73</f>
        <v>3327.4830000000002</v>
      </c>
      <c r="AK73" s="130">
        <v>3044.1149999999998</v>
      </c>
      <c r="AL73" s="194">
        <f>BP73</f>
        <v>2784.8809999999999</v>
      </c>
      <c r="AM73" s="130">
        <v>2621.7269999999999</v>
      </c>
      <c r="AN73" s="130">
        <v>2621.7269999999999</v>
      </c>
      <c r="AO73" s="194">
        <f>L73</f>
        <v>2694.2310000000002</v>
      </c>
      <c r="AP73" s="130">
        <v>2183.9870000000001</v>
      </c>
      <c r="AQ73" s="194">
        <f>BQ73</f>
        <v>2513.7640000000001</v>
      </c>
      <c r="AR73" s="130">
        <v>2491.1239999999998</v>
      </c>
      <c r="AS73" s="194">
        <f>M73</f>
        <v>2875.1329999999998</v>
      </c>
      <c r="AT73" s="130">
        <v>3012.5369999999998</v>
      </c>
      <c r="AU73" s="194">
        <f>BR73</f>
        <v>3689.4470000000001</v>
      </c>
      <c r="AV73" s="130">
        <v>3775.498</v>
      </c>
      <c r="AW73" s="194">
        <f>N73</f>
        <v>3979.4870000000001</v>
      </c>
      <c r="AX73" s="130">
        <v>3466.2</v>
      </c>
      <c r="AY73" s="194">
        <f>BS73</f>
        <v>3927.1950000000002</v>
      </c>
      <c r="AZ73" s="130">
        <v>3793.1979999999999</v>
      </c>
      <c r="BA73" s="194">
        <f>O73</f>
        <v>3808.0740000000001</v>
      </c>
      <c r="BB73" s="130">
        <v>3203.3229999999999</v>
      </c>
      <c r="BC73" s="194">
        <f>BT73</f>
        <v>3488.5630000000001</v>
      </c>
      <c r="BD73" s="130">
        <v>3296.2550000000001</v>
      </c>
      <c r="BE73" s="194">
        <f>P73</f>
        <v>3526.1219999999998</v>
      </c>
      <c r="BF73" s="130">
        <v>3144.038</v>
      </c>
      <c r="BG73" s="194">
        <f>BU73</f>
        <v>3589.3789999999999</v>
      </c>
      <c r="BH73" s="130">
        <v>3631.116</v>
      </c>
      <c r="BI73" s="135">
        <f>Q73</f>
        <v>3812.7759999999998</v>
      </c>
      <c r="BJ73" s="130">
        <v>3353.9630000000002</v>
      </c>
      <c r="BK73" s="130"/>
      <c r="BL73" s="130">
        <v>3983</v>
      </c>
      <c r="BM73" s="130">
        <v>3829</v>
      </c>
      <c r="BN73" s="130">
        <v>3325.172</v>
      </c>
      <c r="BO73" s="130">
        <v>3063.0630000000001</v>
      </c>
      <c r="BP73" s="130">
        <v>2784.8809999999999</v>
      </c>
      <c r="BQ73" s="130">
        <v>2513.7640000000001</v>
      </c>
      <c r="BR73" s="130">
        <v>3689.4470000000001</v>
      </c>
      <c r="BS73" s="130">
        <v>3927.1950000000002</v>
      </c>
      <c r="BT73" s="130">
        <v>3488.5630000000001</v>
      </c>
      <c r="BU73" s="130">
        <v>3589.3789999999999</v>
      </c>
      <c r="BW73" s="130">
        <v>3063.0630000000001</v>
      </c>
    </row>
    <row r="74" spans="2:75">
      <c r="B74" s="1" t="s">
        <v>581</v>
      </c>
      <c r="C74" s="1" t="s">
        <v>589</v>
      </c>
      <c r="D74" s="130">
        <v>-213</v>
      </c>
      <c r="E74" s="130">
        <v>-279</v>
      </c>
      <c r="F74" s="130">
        <v>-360</v>
      </c>
      <c r="G74" s="130">
        <v>-410.24299999999999</v>
      </c>
      <c r="H74" s="130">
        <v>-410.24299999999999</v>
      </c>
      <c r="I74" s="130">
        <v>-240.24299999999999</v>
      </c>
      <c r="J74" s="130">
        <v>-240.24299999999999</v>
      </c>
      <c r="K74" s="130">
        <v>-255.24299999999999</v>
      </c>
      <c r="L74" s="130">
        <v>-287.90199999999999</v>
      </c>
      <c r="M74" s="130">
        <v>-234.67099999999999</v>
      </c>
      <c r="N74" s="130">
        <v>-399.84399999999999</v>
      </c>
      <c r="O74" s="130">
        <v>-425.30900000000003</v>
      </c>
      <c r="P74" s="130">
        <v>-311.93</v>
      </c>
      <c r="Q74" s="130">
        <v>-372.19</v>
      </c>
      <c r="R74" s="130"/>
      <c r="S74" s="130">
        <v>-299.11399999999998</v>
      </c>
      <c r="T74" s="194">
        <f t="shared" si="56"/>
        <v>-332</v>
      </c>
      <c r="U74" s="130">
        <v>-344.67200000000003</v>
      </c>
      <c r="V74" s="194">
        <f>F74</f>
        <v>-360</v>
      </c>
      <c r="W74" s="130">
        <v>-379.88</v>
      </c>
      <c r="X74" s="194">
        <f t="shared" si="57"/>
        <v>-406</v>
      </c>
      <c r="Y74" s="130">
        <v>-402.35399999999998</v>
      </c>
      <c r="Z74" s="194">
        <f>G74</f>
        <v>-410.24299999999999</v>
      </c>
      <c r="AA74" s="130">
        <v>-354.12700000000001</v>
      </c>
      <c r="AB74" s="194">
        <f>BN74</f>
        <v>-369.601</v>
      </c>
      <c r="AC74" s="130">
        <v>-244.99</v>
      </c>
      <c r="AD74" s="194">
        <f t="shared" si="59"/>
        <v>-240.24299999999999</v>
      </c>
      <c r="AE74" s="194">
        <f t="shared" si="59"/>
        <v>-240.24299999999999</v>
      </c>
      <c r="AF74" s="130">
        <v>-226.32300000000001</v>
      </c>
      <c r="AG74" s="130">
        <v>-226.32300000000001</v>
      </c>
      <c r="AH74" s="194">
        <f t="shared" si="58"/>
        <v>-241.27</v>
      </c>
      <c r="AI74" s="130">
        <v>-241.328</v>
      </c>
      <c r="AJ74" s="194">
        <f>K74</f>
        <v>-255.24299999999999</v>
      </c>
      <c r="AK74" s="130">
        <v>-255.267</v>
      </c>
      <c r="AL74" s="194">
        <f>BP74</f>
        <v>-326.041</v>
      </c>
      <c r="AM74" s="130">
        <v>-333.39100000000002</v>
      </c>
      <c r="AN74" s="130">
        <v>-333.39100000000002</v>
      </c>
      <c r="AO74" s="194">
        <f>L74</f>
        <v>-287.90199999999999</v>
      </c>
      <c r="AP74" s="130">
        <v>-244.173</v>
      </c>
      <c r="AQ74" s="194">
        <f>BQ74</f>
        <v>-248.17599999999999</v>
      </c>
      <c r="AR74" s="130">
        <v>-213.477</v>
      </c>
      <c r="AS74" s="194">
        <f>M74</f>
        <v>-234.67099999999999</v>
      </c>
      <c r="AT74" s="130">
        <v>-292.548</v>
      </c>
      <c r="AU74" s="194">
        <f>BR74</f>
        <v>-376.03399999999999</v>
      </c>
      <c r="AV74" s="130">
        <v>-358.61099999999999</v>
      </c>
      <c r="AW74" s="194">
        <f>N74</f>
        <v>-399.84399999999999</v>
      </c>
      <c r="AX74" s="130">
        <v>-453.15100000000001</v>
      </c>
      <c r="AY74" s="194">
        <f>BS74</f>
        <v>-513.70100000000002</v>
      </c>
      <c r="AZ74" s="130">
        <v>-449.72199999999998</v>
      </c>
      <c r="BA74" s="194">
        <f>O74</f>
        <v>-425.30900000000003</v>
      </c>
      <c r="BB74" s="130">
        <v>-367.423</v>
      </c>
      <c r="BC74" s="194">
        <f>BT74</f>
        <v>-367.815</v>
      </c>
      <c r="BD74" s="130">
        <v>-323.01799999999997</v>
      </c>
      <c r="BE74" s="194">
        <f>P74</f>
        <v>-311.93</v>
      </c>
      <c r="BF74" s="130">
        <v>-317.93400000000003</v>
      </c>
      <c r="BG74" s="194">
        <f>BU74</f>
        <v>-323.98099999999999</v>
      </c>
      <c r="BH74" s="130">
        <v>-352.92599999999999</v>
      </c>
      <c r="BI74" s="135">
        <f>Q74</f>
        <v>-372.19</v>
      </c>
      <c r="BJ74" s="130">
        <v>-349.16300000000001</v>
      </c>
      <c r="BK74" s="130"/>
      <c r="BL74" s="130">
        <v>-332</v>
      </c>
      <c r="BM74" s="130">
        <v>-406</v>
      </c>
      <c r="BN74" s="130">
        <v>-369.601</v>
      </c>
      <c r="BO74" s="130">
        <v>-241.27</v>
      </c>
      <c r="BP74" s="130">
        <v>-326.041</v>
      </c>
      <c r="BQ74" s="130">
        <v>-248.17599999999999</v>
      </c>
      <c r="BR74" s="130">
        <v>-376.03399999999999</v>
      </c>
      <c r="BS74" s="130">
        <v>-513.70100000000002</v>
      </c>
      <c r="BT74" s="130">
        <v>-367.815</v>
      </c>
      <c r="BU74" s="130">
        <v>-323.98099999999999</v>
      </c>
      <c r="BW74" s="130">
        <v>-241.27</v>
      </c>
    </row>
    <row r="75" spans="2:75">
      <c r="B75" s="1" t="s">
        <v>582</v>
      </c>
      <c r="C75" s="1" t="s">
        <v>583</v>
      </c>
      <c r="D75" s="130">
        <v>1017653</v>
      </c>
      <c r="E75" s="130">
        <v>1057033</v>
      </c>
      <c r="F75" s="130">
        <v>1048241</v>
      </c>
      <c r="G75" s="130">
        <v>990718</v>
      </c>
      <c r="H75" s="130">
        <v>990718</v>
      </c>
      <c r="I75" s="130">
        <v>1007503</v>
      </c>
      <c r="J75" s="130">
        <v>1007503</v>
      </c>
      <c r="K75" s="130">
        <v>1126694</v>
      </c>
      <c r="L75" s="130">
        <v>915347</v>
      </c>
      <c r="M75" s="130">
        <v>955344</v>
      </c>
      <c r="N75" s="130">
        <v>1007.872</v>
      </c>
      <c r="O75" s="130">
        <v>921.88400000000001</v>
      </c>
      <c r="P75" s="130">
        <v>911.68100000000004</v>
      </c>
      <c r="Q75" s="130">
        <v>1029.5899999999999</v>
      </c>
      <c r="R75" s="1"/>
      <c r="S75" s="130">
        <v>1027854</v>
      </c>
      <c r="T75" s="194">
        <f t="shared" si="56"/>
        <v>1041944</v>
      </c>
      <c r="U75" s="130">
        <v>1029371</v>
      </c>
      <c r="V75" s="194">
        <f>F75</f>
        <v>1048241</v>
      </c>
      <c r="W75" s="130">
        <v>1021888</v>
      </c>
      <c r="X75" s="194">
        <f t="shared" si="57"/>
        <v>1011758</v>
      </c>
      <c r="Y75" s="130">
        <v>966019</v>
      </c>
      <c r="Z75" s="194">
        <f>G75</f>
        <v>990718</v>
      </c>
      <c r="AA75" s="130">
        <v>969361</v>
      </c>
      <c r="AB75" s="194">
        <f>BN75</f>
        <v>993129</v>
      </c>
      <c r="AC75" s="130">
        <v>982531</v>
      </c>
      <c r="AD75" s="194">
        <f t="shared" si="59"/>
        <v>1007503</v>
      </c>
      <c r="AE75" s="194">
        <f t="shared" si="59"/>
        <v>1007503</v>
      </c>
      <c r="AF75" s="130">
        <v>1005122</v>
      </c>
      <c r="AG75" s="130">
        <v>1005122</v>
      </c>
      <c r="AH75" s="194">
        <f t="shared" si="58"/>
        <v>1051368</v>
      </c>
      <c r="AI75" s="130">
        <v>1073815</v>
      </c>
      <c r="AJ75" s="194">
        <f>K75</f>
        <v>1126694</v>
      </c>
      <c r="AK75" s="130">
        <v>1076078</v>
      </c>
      <c r="AL75" s="194">
        <f>BP75</f>
        <v>1076078</v>
      </c>
      <c r="AM75" s="130">
        <v>876887</v>
      </c>
      <c r="AN75" s="130">
        <v>876887</v>
      </c>
      <c r="AO75" s="194">
        <f>L75</f>
        <v>915347</v>
      </c>
      <c r="AP75" s="130">
        <v>889114</v>
      </c>
      <c r="AQ75" s="194">
        <f>BQ75</f>
        <v>971421</v>
      </c>
      <c r="AR75" s="130">
        <v>899987</v>
      </c>
      <c r="AS75" s="194">
        <f>M75</f>
        <v>955344</v>
      </c>
      <c r="AT75" s="130">
        <v>969600</v>
      </c>
      <c r="AU75" s="194">
        <f>BR75</f>
        <v>1006.004</v>
      </c>
      <c r="AV75" s="130">
        <v>978917</v>
      </c>
      <c r="AW75" s="194">
        <f>N75</f>
        <v>1007.872</v>
      </c>
      <c r="AX75" s="130">
        <v>980165</v>
      </c>
      <c r="AY75" s="194">
        <f>BS75</f>
        <v>960.35199999999998</v>
      </c>
      <c r="AZ75" s="130">
        <v>932.54200000000003</v>
      </c>
      <c r="BA75" s="194">
        <f>O75</f>
        <v>921.88400000000001</v>
      </c>
      <c r="BB75" s="130">
        <v>884.24199999999996</v>
      </c>
      <c r="BC75" s="194">
        <f>BT75</f>
        <v>881.22400000000005</v>
      </c>
      <c r="BD75" s="130">
        <v>868.40800000000002</v>
      </c>
      <c r="BE75" s="194">
        <f>P75</f>
        <v>911.68100000000004</v>
      </c>
      <c r="BF75" s="130">
        <v>955.82600000000002</v>
      </c>
      <c r="BG75" s="194">
        <f>BU75</f>
        <v>977.73099999999999</v>
      </c>
      <c r="BH75" s="130">
        <v>996.86500000000001</v>
      </c>
      <c r="BI75" s="135">
        <f>Q75</f>
        <v>1029.5899999999999</v>
      </c>
      <c r="BJ75" s="130">
        <v>1034.386</v>
      </c>
      <c r="BK75" s="130"/>
      <c r="BL75" s="130">
        <v>1041944</v>
      </c>
      <c r="BM75" s="130">
        <v>1011758</v>
      </c>
      <c r="BN75" s="130">
        <v>993129</v>
      </c>
      <c r="BO75" s="130">
        <v>1051368</v>
      </c>
      <c r="BP75" s="130">
        <v>1076078</v>
      </c>
      <c r="BQ75" s="130">
        <v>971421</v>
      </c>
      <c r="BR75" s="130">
        <v>1006.004</v>
      </c>
      <c r="BS75" s="130">
        <v>960.35199999999998</v>
      </c>
      <c r="BT75" s="130">
        <v>881.22400000000005</v>
      </c>
      <c r="BU75" s="130">
        <v>977.73099999999999</v>
      </c>
      <c r="BW75" s="130">
        <v>1005122</v>
      </c>
    </row>
    <row r="76" spans="2:75">
      <c r="B76" s="1" t="s">
        <v>584</v>
      </c>
      <c r="C76" s="1" t="s">
        <v>585</v>
      </c>
      <c r="D76" s="136">
        <v>10</v>
      </c>
      <c r="E76" s="136">
        <v>10.5</v>
      </c>
      <c r="F76" s="136">
        <v>9.6</v>
      </c>
      <c r="G76" s="136">
        <v>7.8</v>
      </c>
      <c r="H76" s="136">
        <v>7.8</v>
      </c>
      <c r="I76" s="136">
        <v>7.2</v>
      </c>
      <c r="J76" s="136">
        <v>7.2</v>
      </c>
      <c r="K76" s="136">
        <v>7.3</v>
      </c>
      <c r="L76" s="136">
        <v>8.6999999999999993</v>
      </c>
      <c r="M76" s="136">
        <v>12.7</v>
      </c>
      <c r="N76" s="136">
        <v>11.3</v>
      </c>
      <c r="O76" s="136">
        <v>10</v>
      </c>
      <c r="P76" s="136">
        <v>10</v>
      </c>
      <c r="Q76" s="136">
        <v>9.6999999999999993</v>
      </c>
      <c r="R76" s="1"/>
      <c r="S76" s="136">
        <v>10.6</v>
      </c>
      <c r="T76" s="195">
        <f t="shared" si="56"/>
        <v>10.3</v>
      </c>
      <c r="U76" s="136">
        <v>10.6</v>
      </c>
      <c r="V76" s="195">
        <f>F76</f>
        <v>9.6</v>
      </c>
      <c r="W76" s="136">
        <v>9.6999999999999993</v>
      </c>
      <c r="X76" s="195">
        <f t="shared" si="57"/>
        <v>8.3000000000000007</v>
      </c>
      <c r="Y76" s="136">
        <v>8</v>
      </c>
      <c r="Z76" s="195">
        <f>G76</f>
        <v>7.8</v>
      </c>
      <c r="AA76" s="136">
        <v>8.1999999999999993</v>
      </c>
      <c r="AB76" s="195">
        <f>BN76</f>
        <v>7.8</v>
      </c>
      <c r="AC76" s="136">
        <v>7.8</v>
      </c>
      <c r="AD76" s="195">
        <f t="shared" si="59"/>
        <v>7.2</v>
      </c>
      <c r="AE76" s="195">
        <f t="shared" si="59"/>
        <v>7.2</v>
      </c>
      <c r="AF76" s="136">
        <v>7.5</v>
      </c>
      <c r="AG76" s="136">
        <v>7.5</v>
      </c>
      <c r="AH76" s="195">
        <f t="shared" si="58"/>
        <v>7.3</v>
      </c>
      <c r="AI76" s="136">
        <v>7.6</v>
      </c>
      <c r="AJ76" s="195">
        <f>K76</f>
        <v>7.3</v>
      </c>
      <c r="AK76" s="136">
        <v>8.1999999999999993</v>
      </c>
      <c r="AL76" s="195">
        <f>BP76</f>
        <v>8.1999999999999993</v>
      </c>
      <c r="AM76" s="136">
        <v>9.1</v>
      </c>
      <c r="AN76" s="136">
        <v>9</v>
      </c>
      <c r="AO76" s="194">
        <f>L76</f>
        <v>8.6999999999999993</v>
      </c>
      <c r="AP76" s="136">
        <v>8.4</v>
      </c>
      <c r="AQ76" s="195">
        <f>BQ76</f>
        <v>9</v>
      </c>
      <c r="AR76" s="136">
        <v>9</v>
      </c>
      <c r="AS76" s="194">
        <f>M76</f>
        <v>12.7</v>
      </c>
      <c r="AT76" s="136">
        <v>13.6</v>
      </c>
      <c r="AU76" s="195">
        <f>BR76</f>
        <v>12.1</v>
      </c>
      <c r="AV76" s="136">
        <v>13.2</v>
      </c>
      <c r="AW76" s="194">
        <f>N76</f>
        <v>11.3</v>
      </c>
      <c r="AX76" s="136">
        <v>9.3000000000000007</v>
      </c>
      <c r="AY76" s="194">
        <f>BS76</f>
        <v>10.7</v>
      </c>
      <c r="AZ76" s="136">
        <v>10.6</v>
      </c>
      <c r="BA76" s="194">
        <f>O76</f>
        <v>10</v>
      </c>
      <c r="BB76" s="136">
        <v>10.1</v>
      </c>
      <c r="BC76" s="194">
        <f>BT76</f>
        <v>10</v>
      </c>
      <c r="BD76" s="136">
        <v>10.3</v>
      </c>
      <c r="BE76" s="194">
        <f>P76</f>
        <v>10</v>
      </c>
      <c r="BF76" s="136">
        <v>10.5</v>
      </c>
      <c r="BG76" s="194">
        <f>BU76</f>
        <v>10.5</v>
      </c>
      <c r="BH76" s="136">
        <v>10.5</v>
      </c>
      <c r="BI76" s="135">
        <f>Q76</f>
        <v>9.6999999999999993</v>
      </c>
      <c r="BJ76" s="136">
        <v>9.9</v>
      </c>
      <c r="BK76" s="130"/>
      <c r="BL76" s="136">
        <v>10.3</v>
      </c>
      <c r="BM76" s="136">
        <v>8.3000000000000007</v>
      </c>
      <c r="BN76" s="136">
        <v>7.8</v>
      </c>
      <c r="BO76" s="136">
        <v>7.3</v>
      </c>
      <c r="BP76" s="136">
        <v>8.1999999999999993</v>
      </c>
      <c r="BQ76" s="136">
        <v>9</v>
      </c>
      <c r="BR76" s="136">
        <v>12.1</v>
      </c>
      <c r="BS76" s="136">
        <v>10.7</v>
      </c>
      <c r="BT76" s="136">
        <v>10</v>
      </c>
      <c r="BU76" s="136">
        <v>10.5</v>
      </c>
      <c r="BW76" s="136">
        <v>7.5</v>
      </c>
    </row>
    <row r="77" spans="2:75">
      <c r="B77" s="1" t="s">
        <v>586</v>
      </c>
      <c r="C77" s="1" t="s">
        <v>590</v>
      </c>
      <c r="D77" s="137">
        <v>3023</v>
      </c>
      <c r="E77" s="137">
        <v>3700</v>
      </c>
      <c r="F77" s="137">
        <v>3802</v>
      </c>
      <c r="G77" s="137">
        <v>3598</v>
      </c>
      <c r="H77" s="137">
        <v>3598</v>
      </c>
      <c r="I77" s="137">
        <v>3079</v>
      </c>
      <c r="J77" s="137">
        <v>2809</v>
      </c>
      <c r="K77" s="137">
        <v>2804</v>
      </c>
      <c r="L77" s="137">
        <v>2943</v>
      </c>
      <c r="M77" s="363">
        <v>3009.527</v>
      </c>
      <c r="N77" s="363">
        <v>3948</v>
      </c>
      <c r="O77" s="363">
        <v>4131</v>
      </c>
      <c r="P77" s="363">
        <v>3868</v>
      </c>
      <c r="Q77" s="363">
        <v>3703</v>
      </c>
      <c r="R77" s="1"/>
      <c r="S77" s="137">
        <v>3795.3969999999999</v>
      </c>
      <c r="T77" s="196">
        <f t="shared" si="56"/>
        <v>3822</v>
      </c>
      <c r="U77" s="137">
        <v>3762</v>
      </c>
      <c r="V77" s="196">
        <f>F77</f>
        <v>3802</v>
      </c>
      <c r="W77" s="137">
        <v>3744.3629999999998</v>
      </c>
      <c r="X77" s="196">
        <f t="shared" si="57"/>
        <v>3784</v>
      </c>
      <c r="Y77" s="137">
        <v>3635</v>
      </c>
      <c r="Z77" s="194">
        <f>G77</f>
        <v>3598</v>
      </c>
      <c r="AA77" s="137">
        <v>3400</v>
      </c>
      <c r="AB77" s="194">
        <f>BN77</f>
        <v>3348</v>
      </c>
      <c r="AC77" s="137">
        <v>3090</v>
      </c>
      <c r="AD77" s="194">
        <f t="shared" si="59"/>
        <v>3079</v>
      </c>
      <c r="AE77" s="194">
        <f t="shared" si="59"/>
        <v>2809</v>
      </c>
      <c r="AF77" s="137">
        <v>3014</v>
      </c>
      <c r="AG77" s="137">
        <v>3014</v>
      </c>
      <c r="AH77" s="194">
        <f t="shared" si="58"/>
        <v>2913</v>
      </c>
      <c r="AI77" s="137">
        <v>2905</v>
      </c>
      <c r="AJ77" s="194">
        <f>K77</f>
        <v>2804</v>
      </c>
      <c r="AK77" s="137">
        <v>3066</v>
      </c>
      <c r="AL77" s="194">
        <f>BP77</f>
        <v>2588</v>
      </c>
      <c r="AM77" s="137">
        <v>2990</v>
      </c>
      <c r="AN77" s="137">
        <v>2990</v>
      </c>
      <c r="AO77" s="194">
        <f>L77</f>
        <v>2943</v>
      </c>
      <c r="AP77" s="137">
        <v>2731</v>
      </c>
      <c r="AQ77" s="194">
        <f>BQ77</f>
        <v>2588</v>
      </c>
      <c r="AR77" s="137">
        <v>2768</v>
      </c>
      <c r="AS77" s="194">
        <f>M77</f>
        <v>3009.527</v>
      </c>
      <c r="AT77" s="137">
        <v>3409</v>
      </c>
      <c r="AU77" s="194">
        <f>BR77</f>
        <v>3667.4279999999999</v>
      </c>
      <c r="AV77" s="137">
        <v>3857</v>
      </c>
      <c r="AW77" s="194">
        <f>N77</f>
        <v>3948</v>
      </c>
      <c r="AX77" s="137">
        <v>3998.665</v>
      </c>
      <c r="AY77" s="194">
        <f>BS77</f>
        <v>4089</v>
      </c>
      <c r="AZ77" s="137">
        <v>4068</v>
      </c>
      <c r="BA77" s="194">
        <f>O77</f>
        <v>4131</v>
      </c>
      <c r="BB77" s="137">
        <v>4038</v>
      </c>
      <c r="BC77" s="194">
        <f>BT77</f>
        <v>3959</v>
      </c>
      <c r="BD77" s="137">
        <v>3796</v>
      </c>
      <c r="BE77" s="194">
        <f>P77</f>
        <v>3868</v>
      </c>
      <c r="BF77" s="137">
        <v>3622</v>
      </c>
      <c r="BG77" s="194">
        <f>BU77</f>
        <v>3671</v>
      </c>
      <c r="BH77" s="137">
        <v>3643</v>
      </c>
      <c r="BI77" s="135">
        <f>Q77</f>
        <v>3703</v>
      </c>
      <c r="BJ77" s="137">
        <v>3580</v>
      </c>
      <c r="BK77" s="130"/>
      <c r="BL77" s="137">
        <v>3822</v>
      </c>
      <c r="BM77" s="137">
        <v>3784</v>
      </c>
      <c r="BN77" s="137">
        <v>3348</v>
      </c>
      <c r="BO77" s="137">
        <v>2913</v>
      </c>
      <c r="BP77" s="137">
        <v>2588</v>
      </c>
      <c r="BQ77" s="137">
        <v>2588</v>
      </c>
      <c r="BR77" s="137">
        <v>3667.4279999999999</v>
      </c>
      <c r="BS77" s="137">
        <v>4089</v>
      </c>
      <c r="BT77" s="137">
        <v>3959</v>
      </c>
      <c r="BU77" s="137">
        <v>3671</v>
      </c>
      <c r="BW77" s="137">
        <v>3047</v>
      </c>
    </row>
    <row r="78" spans="2:75" hidden="1" outlineLevel="1">
      <c r="B78" s="1"/>
      <c r="C78" s="1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"/>
      <c r="S78" s="135"/>
      <c r="T78" s="135"/>
      <c r="U78" s="135"/>
      <c r="V78" s="135"/>
      <c r="W78" s="135"/>
      <c r="X78" s="135"/>
      <c r="Y78" s="135"/>
      <c r="Z78" s="135"/>
      <c r="AA78" s="135"/>
      <c r="AB78" s="135"/>
      <c r="AC78" s="135"/>
      <c r="AD78" s="135"/>
      <c r="AE78" s="135"/>
      <c r="AF78" s="135"/>
      <c r="AG78" s="135"/>
      <c r="AH78" s="135"/>
      <c r="AI78" s="135"/>
      <c r="AJ78" s="135"/>
      <c r="AK78" s="135"/>
      <c r="AL78" s="135"/>
      <c r="AM78" s="135"/>
      <c r="AN78" s="135"/>
      <c r="AO78" s="135"/>
      <c r="AP78" s="135"/>
      <c r="AQ78" s="135"/>
      <c r="AR78" s="135"/>
      <c r="AS78" s="135"/>
      <c r="AT78" s="135"/>
      <c r="AU78" s="135"/>
      <c r="AV78" s="135"/>
      <c r="AW78" s="135"/>
      <c r="AX78" s="135"/>
      <c r="AY78" s="135"/>
      <c r="AZ78" s="135"/>
      <c r="BA78" s="135"/>
      <c r="BB78" s="135"/>
      <c r="BC78" s="135"/>
      <c r="BD78" s="135"/>
      <c r="BE78" s="135"/>
      <c r="BF78" s="135"/>
      <c r="BG78" s="135"/>
      <c r="BH78" s="135"/>
      <c r="BI78" s="135"/>
      <c r="BJ78" s="135"/>
      <c r="BK78" s="130"/>
      <c r="BL78" s="135"/>
      <c r="BM78" s="135"/>
      <c r="BN78" s="135"/>
      <c r="BO78" s="135"/>
      <c r="BP78" s="135"/>
      <c r="BQ78" s="135"/>
      <c r="BR78" s="135"/>
      <c r="BS78" s="135"/>
      <c r="BT78" s="135"/>
      <c r="BU78" s="135"/>
      <c r="BW78" s="134"/>
    </row>
    <row r="79" spans="2:75" hidden="1" outlineLevel="1">
      <c r="B79" s="5" t="s">
        <v>591</v>
      </c>
      <c r="C79" s="5"/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"/>
      <c r="S79" s="135"/>
      <c r="T79" s="135"/>
      <c r="U79" s="135"/>
      <c r="V79" s="135"/>
      <c r="W79" s="135"/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  <c r="AH79" s="135"/>
      <c r="AI79" s="135"/>
      <c r="AJ79" s="135"/>
      <c r="AK79" s="135"/>
      <c r="AL79" s="135"/>
      <c r="AM79" s="135"/>
      <c r="AN79" s="135"/>
      <c r="AO79" s="135"/>
      <c r="AP79" s="135"/>
      <c r="AQ79" s="135"/>
      <c r="AR79" s="135"/>
      <c r="AS79" s="135"/>
      <c r="AT79" s="135"/>
      <c r="AU79" s="135"/>
      <c r="AV79" s="135"/>
      <c r="AW79" s="135"/>
      <c r="AX79" s="135"/>
      <c r="AY79" s="135"/>
      <c r="AZ79" s="135"/>
      <c r="BA79" s="135"/>
      <c r="BB79" s="135"/>
      <c r="BC79" s="135"/>
      <c r="BD79" s="135"/>
      <c r="BE79" s="135"/>
      <c r="BF79" s="135"/>
      <c r="BG79" s="135"/>
      <c r="BH79" s="135"/>
      <c r="BI79" s="135"/>
      <c r="BJ79" s="135"/>
      <c r="BK79" s="130"/>
      <c r="BL79" s="135"/>
      <c r="BM79" s="135"/>
      <c r="BN79" s="135"/>
      <c r="BO79" s="135"/>
      <c r="BP79" s="135"/>
      <c r="BQ79" s="135"/>
      <c r="BR79" s="135"/>
      <c r="BS79" s="135"/>
      <c r="BT79" s="135"/>
      <c r="BU79" s="135"/>
      <c r="BW79" s="134"/>
    </row>
    <row r="80" spans="2:75" hidden="1" outlineLevel="1">
      <c r="B80" s="1" t="s">
        <v>592</v>
      </c>
      <c r="C80" s="1" t="s">
        <v>593</v>
      </c>
      <c r="D80" s="130">
        <v>1938</v>
      </c>
      <c r="E80" s="130">
        <v>2904</v>
      </c>
      <c r="F80" s="130">
        <v>3603</v>
      </c>
      <c r="G80" s="130">
        <v>5683.9359999999997</v>
      </c>
      <c r="H80" s="130">
        <v>5683.9359999999997</v>
      </c>
      <c r="I80" s="130">
        <v>6084.299</v>
      </c>
      <c r="J80" s="130">
        <v>6084.299</v>
      </c>
      <c r="K80" s="130">
        <v>4843.5529999999999</v>
      </c>
      <c r="L80" s="130">
        <v>3886.739</v>
      </c>
      <c r="M80" s="519"/>
      <c r="N80" s="519"/>
      <c r="O80" s="519"/>
      <c r="P80" s="519"/>
      <c r="Q80" s="519"/>
      <c r="R80" s="130"/>
      <c r="S80" s="130">
        <v>3108.84</v>
      </c>
      <c r="T80" s="194">
        <f t="shared" si="56"/>
        <v>3421</v>
      </c>
      <c r="U80" s="130">
        <v>3334.7869999999998</v>
      </c>
      <c r="V80" s="194">
        <f>F80</f>
        <v>3603</v>
      </c>
      <c r="W80" s="130">
        <v>3627.24</v>
      </c>
      <c r="X80" s="194">
        <f t="shared" si="57"/>
        <v>4148</v>
      </c>
      <c r="Y80" s="130">
        <v>4514.3909999999996</v>
      </c>
      <c r="Z80" s="194">
        <f>G80</f>
        <v>5683.9359999999997</v>
      </c>
      <c r="AA80" s="130">
        <v>6483.4539999999997</v>
      </c>
      <c r="AB80" s="194">
        <f>BN80</f>
        <v>6814.6459999999997</v>
      </c>
      <c r="AC80" s="130">
        <v>6289.2430000000004</v>
      </c>
      <c r="AD80" s="194">
        <f t="shared" ref="AD80:AE84" si="60">I80</f>
        <v>6084.299</v>
      </c>
      <c r="AE80" s="194">
        <f t="shared" si="60"/>
        <v>6084.299</v>
      </c>
      <c r="AF80" s="130">
        <v>5384.5349999999999</v>
      </c>
      <c r="AG80" s="130">
        <v>5384.5349999999999</v>
      </c>
      <c r="AH80" s="194">
        <f t="shared" si="58"/>
        <v>4924.5720000000001</v>
      </c>
      <c r="AI80" s="130">
        <v>4588.5510000000004</v>
      </c>
      <c r="AJ80" s="194">
        <f>K80</f>
        <v>4843.5529999999999</v>
      </c>
      <c r="AK80" s="130">
        <v>4489.0280000000002</v>
      </c>
      <c r="AL80" s="194">
        <f>BP80</f>
        <v>3798.3620000000001</v>
      </c>
      <c r="AM80" s="130">
        <v>3816.4059999999999</v>
      </c>
      <c r="AN80" s="130">
        <v>3816.4059999999999</v>
      </c>
      <c r="AO80" s="194">
        <f>L80</f>
        <v>3886.739</v>
      </c>
      <c r="AP80" s="130">
        <v>3190.7939999999999</v>
      </c>
      <c r="AQ80" s="194">
        <f>BQ80</f>
        <v>0</v>
      </c>
      <c r="AR80" s="130"/>
      <c r="AS80" s="520"/>
      <c r="AT80" s="520"/>
      <c r="AU80" s="194">
        <f>BR80</f>
        <v>0</v>
      </c>
      <c r="AV80" s="194">
        <f>BV80</f>
        <v>0</v>
      </c>
      <c r="AW80" s="520"/>
      <c r="AX80" s="520"/>
      <c r="AY80" s="520"/>
      <c r="AZ80" s="194">
        <f>BZ80</f>
        <v>0</v>
      </c>
      <c r="BA80" s="520"/>
      <c r="BB80" s="520"/>
      <c r="BC80" s="520"/>
      <c r="BD80" s="194">
        <f>CD80</f>
        <v>0</v>
      </c>
      <c r="BE80" s="520"/>
      <c r="BF80" s="520"/>
      <c r="BG80" s="520"/>
      <c r="BH80" s="194">
        <f>CH80</f>
        <v>0</v>
      </c>
      <c r="BI80" s="520"/>
      <c r="BJ80" s="520"/>
      <c r="BK80" s="130"/>
      <c r="BL80" s="130">
        <v>3421</v>
      </c>
      <c r="BM80" s="130">
        <v>4148</v>
      </c>
      <c r="BN80" s="130">
        <v>6814.6459999999997</v>
      </c>
      <c r="BO80" s="130">
        <v>4924.5720000000001</v>
      </c>
      <c r="BP80" s="130">
        <v>3798.3620000000001</v>
      </c>
      <c r="BQ80" s="357"/>
      <c r="BR80" s="357"/>
      <c r="BS80" s="357"/>
      <c r="BT80" s="357"/>
      <c r="BU80" s="357"/>
      <c r="BW80" s="130">
        <v>4924.5720000000001</v>
      </c>
    </row>
    <row r="81" spans="2:75" hidden="1" outlineLevel="1">
      <c r="B81" s="1" t="s">
        <v>581</v>
      </c>
      <c r="C81" s="1" t="s">
        <v>594</v>
      </c>
      <c r="D81" s="130">
        <v>-48</v>
      </c>
      <c r="E81" s="130">
        <v>-50</v>
      </c>
      <c r="F81" s="130">
        <v>-76</v>
      </c>
      <c r="G81" s="130">
        <v>-126.84699999999999</v>
      </c>
      <c r="H81" s="130">
        <v>-126.84699999999999</v>
      </c>
      <c r="I81" s="130">
        <v>-331.52300000000002</v>
      </c>
      <c r="J81" s="130">
        <v>-331.52300000000002</v>
      </c>
      <c r="K81" s="130">
        <v>-294.36700000000002</v>
      </c>
      <c r="L81" s="130">
        <v>-1236.2429999999999</v>
      </c>
      <c r="M81" s="519"/>
      <c r="N81" s="519"/>
      <c r="O81" s="519"/>
      <c r="P81" s="519"/>
      <c r="Q81" s="519"/>
      <c r="R81" s="130"/>
      <c r="S81" s="130">
        <v>-65.227000000000004</v>
      </c>
      <c r="T81" s="194">
        <f t="shared" si="56"/>
        <v>-84</v>
      </c>
      <c r="U81" s="130">
        <v>-76</v>
      </c>
      <c r="V81" s="194">
        <f>F81</f>
        <v>-76</v>
      </c>
      <c r="W81" s="130">
        <v>-85.352999999999994</v>
      </c>
      <c r="X81" s="194">
        <f t="shared" si="57"/>
        <v>-104</v>
      </c>
      <c r="Y81" s="130">
        <v>-106.536</v>
      </c>
      <c r="Z81" s="194">
        <f>G81</f>
        <v>-126.84699999999999</v>
      </c>
      <c r="AA81" s="130">
        <v>-206.46799999999999</v>
      </c>
      <c r="AB81" s="194">
        <f>BN81</f>
        <v>-271.51799999999997</v>
      </c>
      <c r="AC81" s="130">
        <v>-298.017</v>
      </c>
      <c r="AD81" s="194">
        <f t="shared" si="60"/>
        <v>-331.52300000000002</v>
      </c>
      <c r="AE81" s="194">
        <f t="shared" si="60"/>
        <v>-331.52300000000002</v>
      </c>
      <c r="AF81" s="130">
        <v>-236.52500000000001</v>
      </c>
      <c r="AG81" s="130">
        <v>-311.80099999999999</v>
      </c>
      <c r="AH81" s="194">
        <f t="shared" si="58"/>
        <v>-332.33600000000001</v>
      </c>
      <c r="AI81" s="130">
        <v>-292.649</v>
      </c>
      <c r="AJ81" s="194">
        <f>K81</f>
        <v>-294.36700000000002</v>
      </c>
      <c r="AK81" s="130">
        <v>-278.339</v>
      </c>
      <c r="AL81" s="194">
        <f>BP81</f>
        <v>-330.15</v>
      </c>
      <c r="AM81" s="130">
        <v>-344.69499999999999</v>
      </c>
      <c r="AN81" s="130">
        <v>-344.69499999999999</v>
      </c>
      <c r="AO81" s="194">
        <f>L81</f>
        <v>-1236.2429999999999</v>
      </c>
      <c r="AP81" s="130">
        <v>-972.15300000000002</v>
      </c>
      <c r="AQ81" s="194">
        <f>BQ81</f>
        <v>0</v>
      </c>
      <c r="AR81" s="130"/>
      <c r="AS81" s="520"/>
      <c r="AT81" s="520"/>
      <c r="AU81" s="194">
        <f>BR81</f>
        <v>0</v>
      </c>
      <c r="AV81" s="194">
        <f>BV81</f>
        <v>0</v>
      </c>
      <c r="AW81" s="520"/>
      <c r="AX81" s="520"/>
      <c r="AY81" s="520"/>
      <c r="AZ81" s="194">
        <f>BZ81</f>
        <v>0</v>
      </c>
      <c r="BA81" s="520"/>
      <c r="BB81" s="520"/>
      <c r="BC81" s="520"/>
      <c r="BD81" s="194">
        <f>CD81</f>
        <v>0</v>
      </c>
      <c r="BE81" s="520"/>
      <c r="BF81" s="520"/>
      <c r="BG81" s="520"/>
      <c r="BH81" s="194">
        <f>CH81</f>
        <v>0</v>
      </c>
      <c r="BI81" s="520"/>
      <c r="BJ81" s="520"/>
      <c r="BK81" s="130"/>
      <c r="BL81" s="130">
        <v>-84</v>
      </c>
      <c r="BM81" s="130">
        <v>-104</v>
      </c>
      <c r="BN81" s="130">
        <v>-271.51799999999997</v>
      </c>
      <c r="BO81" s="130">
        <v>-332.33600000000001</v>
      </c>
      <c r="BP81" s="130">
        <v>-330.15</v>
      </c>
      <c r="BQ81" s="357"/>
      <c r="BR81" s="357"/>
      <c r="BS81" s="357"/>
      <c r="BT81" s="357"/>
      <c r="BU81" s="357"/>
      <c r="BW81" s="130">
        <v>-332.33600000000001</v>
      </c>
    </row>
    <row r="82" spans="2:75" hidden="1" outlineLevel="1">
      <c r="B82" s="1" t="s">
        <v>582</v>
      </c>
      <c r="C82" s="1" t="s">
        <v>583</v>
      </c>
      <c r="D82" s="130">
        <v>504244</v>
      </c>
      <c r="E82" s="130">
        <v>518875</v>
      </c>
      <c r="F82" s="130">
        <v>535757</v>
      </c>
      <c r="G82" s="130">
        <v>506848</v>
      </c>
      <c r="H82" s="130">
        <v>506848</v>
      </c>
      <c r="I82" s="130">
        <v>441843</v>
      </c>
      <c r="J82" s="130">
        <v>463283</v>
      </c>
      <c r="K82" s="130">
        <v>391496</v>
      </c>
      <c r="L82" s="130">
        <v>287306</v>
      </c>
      <c r="M82" s="519"/>
      <c r="N82" s="519"/>
      <c r="O82" s="519"/>
      <c r="P82" s="519"/>
      <c r="Q82" s="519"/>
      <c r="R82" s="130"/>
      <c r="S82" s="130">
        <v>517948</v>
      </c>
      <c r="T82" s="194">
        <f t="shared" si="56"/>
        <v>519960</v>
      </c>
      <c r="U82" s="130">
        <v>531955</v>
      </c>
      <c r="V82" s="194">
        <f>F82</f>
        <v>535757</v>
      </c>
      <c r="W82" s="130">
        <v>518533</v>
      </c>
      <c r="X82" s="194">
        <f t="shared" si="57"/>
        <v>512477</v>
      </c>
      <c r="Y82" s="130">
        <v>500420</v>
      </c>
      <c r="Z82" s="194">
        <f>G82</f>
        <v>506848</v>
      </c>
      <c r="AA82" s="130">
        <v>510038</v>
      </c>
      <c r="AB82" s="194">
        <f>BN82</f>
        <v>479573</v>
      </c>
      <c r="AC82" s="130">
        <v>628919</v>
      </c>
      <c r="AD82" s="194">
        <f t="shared" si="60"/>
        <v>441843</v>
      </c>
      <c r="AE82" s="194">
        <f t="shared" si="60"/>
        <v>463283</v>
      </c>
      <c r="AF82" s="130">
        <v>428000</v>
      </c>
      <c r="AG82" s="130">
        <v>443732</v>
      </c>
      <c r="AH82" s="194">
        <f t="shared" si="58"/>
        <v>415578</v>
      </c>
      <c r="AI82" s="130">
        <v>391496</v>
      </c>
      <c r="AJ82" s="194">
        <f>K82</f>
        <v>391496</v>
      </c>
      <c r="AK82" s="130">
        <v>361782</v>
      </c>
      <c r="AL82" s="194">
        <f>BP82</f>
        <v>327264</v>
      </c>
      <c r="AM82" s="130">
        <v>305292</v>
      </c>
      <c r="AN82" s="130">
        <v>305292</v>
      </c>
      <c r="AO82" s="194">
        <f>L82</f>
        <v>287306</v>
      </c>
      <c r="AP82" s="130">
        <v>251872</v>
      </c>
      <c r="AQ82" s="194">
        <f>BQ82</f>
        <v>0</v>
      </c>
      <c r="AR82" s="130"/>
      <c r="AS82" s="520"/>
      <c r="AT82" s="520"/>
      <c r="AU82" s="194">
        <f>BR82</f>
        <v>0</v>
      </c>
      <c r="AV82" s="194">
        <f>BV82</f>
        <v>0</v>
      </c>
      <c r="AW82" s="520"/>
      <c r="AX82" s="520"/>
      <c r="AY82" s="520"/>
      <c r="AZ82" s="194">
        <f>BZ82</f>
        <v>0</v>
      </c>
      <c r="BA82" s="520"/>
      <c r="BB82" s="520"/>
      <c r="BC82" s="520"/>
      <c r="BD82" s="194">
        <f>CD82</f>
        <v>0</v>
      </c>
      <c r="BE82" s="520"/>
      <c r="BF82" s="520"/>
      <c r="BG82" s="520"/>
      <c r="BH82" s="194">
        <f>CH82</f>
        <v>0</v>
      </c>
      <c r="BI82" s="520"/>
      <c r="BJ82" s="520"/>
      <c r="BK82" s="130"/>
      <c r="BL82" s="130">
        <v>519960</v>
      </c>
      <c r="BM82" s="130">
        <v>512477</v>
      </c>
      <c r="BN82" s="130">
        <v>479573</v>
      </c>
      <c r="BO82" s="130">
        <v>415578</v>
      </c>
      <c r="BP82" s="130">
        <v>327264</v>
      </c>
      <c r="BQ82" s="357"/>
      <c r="BR82" s="357"/>
      <c r="BS82" s="357"/>
      <c r="BT82" s="357"/>
      <c r="BU82" s="357"/>
      <c r="BW82" s="130">
        <v>415578</v>
      </c>
    </row>
    <row r="83" spans="2:75" hidden="1" outlineLevel="1">
      <c r="B83" s="1" t="s">
        <v>584</v>
      </c>
      <c r="C83" s="1" t="s">
        <v>585</v>
      </c>
      <c r="D83" s="136">
        <v>2.7</v>
      </c>
      <c r="E83" s="136">
        <v>2.9</v>
      </c>
      <c r="F83" s="136">
        <v>2.6</v>
      </c>
      <c r="G83" s="136">
        <v>3.8</v>
      </c>
      <c r="H83" s="136">
        <v>3.8</v>
      </c>
      <c r="I83" s="136">
        <v>2.7</v>
      </c>
      <c r="J83" s="136">
        <v>3.1</v>
      </c>
      <c r="K83" s="136">
        <v>2.7</v>
      </c>
      <c r="L83" s="136">
        <v>2.7</v>
      </c>
      <c r="M83" s="521"/>
      <c r="N83" s="521"/>
      <c r="O83" s="521"/>
      <c r="P83" s="521"/>
      <c r="Q83" s="521"/>
      <c r="R83" s="136"/>
      <c r="S83" s="136">
        <v>2.9</v>
      </c>
      <c r="T83" s="195">
        <f t="shared" si="56"/>
        <v>2.9</v>
      </c>
      <c r="U83" s="136">
        <v>2.6</v>
      </c>
      <c r="V83" s="195">
        <f>F83</f>
        <v>2.6</v>
      </c>
      <c r="W83" s="136">
        <v>2.7</v>
      </c>
      <c r="X83" s="195">
        <f t="shared" si="57"/>
        <v>3</v>
      </c>
      <c r="Y83" s="136">
        <v>2.7</v>
      </c>
      <c r="Z83" s="195">
        <f>G83</f>
        <v>3.8</v>
      </c>
      <c r="AA83" s="136">
        <v>3.8</v>
      </c>
      <c r="AB83" s="195">
        <f>BN83</f>
        <v>2.6</v>
      </c>
      <c r="AC83" s="136">
        <v>3.1</v>
      </c>
      <c r="AD83" s="195">
        <f t="shared" si="60"/>
        <v>2.7</v>
      </c>
      <c r="AE83" s="195">
        <f t="shared" si="60"/>
        <v>3.1</v>
      </c>
      <c r="AF83" s="136">
        <v>2.7</v>
      </c>
      <c r="AG83" s="136">
        <v>2</v>
      </c>
      <c r="AH83" s="195">
        <f t="shared" si="58"/>
        <v>1.9</v>
      </c>
      <c r="AI83" s="136">
        <v>2.7</v>
      </c>
      <c r="AJ83" s="195">
        <f>K83</f>
        <v>2.7</v>
      </c>
      <c r="AK83" s="136">
        <v>1.2</v>
      </c>
      <c r="AL83" s="195">
        <f>BP83</f>
        <v>2.2000000000000002</v>
      </c>
      <c r="AM83" s="136">
        <v>2.7</v>
      </c>
      <c r="AN83" s="136">
        <v>2.7</v>
      </c>
      <c r="AO83" s="194">
        <f>L83</f>
        <v>2.7</v>
      </c>
      <c r="AP83" s="136">
        <v>2.7</v>
      </c>
      <c r="AQ83" s="195">
        <f>BQ83</f>
        <v>0</v>
      </c>
      <c r="AR83" s="136"/>
      <c r="AS83" s="520"/>
      <c r="AT83" s="522"/>
      <c r="AU83" s="195">
        <f>BR83</f>
        <v>0</v>
      </c>
      <c r="AV83" s="195">
        <f>BV83</f>
        <v>0</v>
      </c>
      <c r="AW83" s="520"/>
      <c r="AX83" s="522"/>
      <c r="AY83" s="522"/>
      <c r="AZ83" s="195">
        <f>BZ83</f>
        <v>0</v>
      </c>
      <c r="BA83" s="520"/>
      <c r="BB83" s="522"/>
      <c r="BC83" s="522"/>
      <c r="BD83" s="195">
        <f>CD83</f>
        <v>0</v>
      </c>
      <c r="BE83" s="520"/>
      <c r="BF83" s="522"/>
      <c r="BG83" s="522"/>
      <c r="BH83" s="195">
        <f>CH83</f>
        <v>0</v>
      </c>
      <c r="BI83" s="520"/>
      <c r="BJ83" s="522"/>
      <c r="BK83" s="130"/>
      <c r="BL83" s="136">
        <v>2.9</v>
      </c>
      <c r="BM83" s="136">
        <v>3</v>
      </c>
      <c r="BN83" s="136">
        <v>2.6</v>
      </c>
      <c r="BO83" s="136">
        <v>1.9</v>
      </c>
      <c r="BP83" s="136">
        <v>2.2000000000000002</v>
      </c>
      <c r="BQ83" s="358"/>
      <c r="BR83" s="358"/>
      <c r="BS83" s="358"/>
      <c r="BT83" s="358"/>
      <c r="BU83" s="358"/>
      <c r="BW83" s="136">
        <v>1.9</v>
      </c>
    </row>
    <row r="84" spans="2:75" hidden="1" outlineLevel="1">
      <c r="B84" s="1" t="s">
        <v>586</v>
      </c>
      <c r="C84" s="1" t="s">
        <v>595</v>
      </c>
      <c r="D84" s="137">
        <v>3844</v>
      </c>
      <c r="E84" s="137">
        <v>5597</v>
      </c>
      <c r="F84" s="137">
        <v>6726</v>
      </c>
      <c r="G84" s="137">
        <v>11214.28</v>
      </c>
      <c r="H84" s="137">
        <v>11214.28</v>
      </c>
      <c r="I84" s="137">
        <v>13770.273999999999</v>
      </c>
      <c r="J84" s="137">
        <v>13575</v>
      </c>
      <c r="K84" s="137">
        <v>12372</v>
      </c>
      <c r="L84" s="137">
        <v>13528</v>
      </c>
      <c r="M84" s="518"/>
      <c r="N84" s="518"/>
      <c r="O84" s="518"/>
      <c r="P84" s="518"/>
      <c r="Q84" s="518"/>
      <c r="R84" s="137"/>
      <c r="S84" s="137">
        <v>6002</v>
      </c>
      <c r="T84" s="196">
        <f t="shared" si="56"/>
        <v>6580</v>
      </c>
      <c r="U84" s="137">
        <v>6269</v>
      </c>
      <c r="V84" s="196">
        <f>F84</f>
        <v>6726</v>
      </c>
      <c r="W84" s="137">
        <v>6995</v>
      </c>
      <c r="X84" s="196">
        <f t="shared" si="57"/>
        <v>8094</v>
      </c>
      <c r="Y84" s="137">
        <v>9021</v>
      </c>
      <c r="Z84" s="194">
        <f>G84</f>
        <v>11214.28</v>
      </c>
      <c r="AA84" s="137">
        <v>12712</v>
      </c>
      <c r="AB84" s="194">
        <f>BN84</f>
        <v>14209.82</v>
      </c>
      <c r="AC84" s="137">
        <v>10000</v>
      </c>
      <c r="AD84" s="194">
        <f t="shared" si="60"/>
        <v>13770.273999999999</v>
      </c>
      <c r="AE84" s="194">
        <f t="shared" si="60"/>
        <v>13575</v>
      </c>
      <c r="AF84" s="137">
        <v>12581</v>
      </c>
      <c r="AG84" s="137">
        <v>12135</v>
      </c>
      <c r="AH84" s="194">
        <f t="shared" si="58"/>
        <v>12216</v>
      </c>
      <c r="AI84" s="137">
        <v>11721</v>
      </c>
      <c r="AJ84" s="194">
        <f>K84</f>
        <v>12372</v>
      </c>
      <c r="AK84" s="137">
        <v>12408</v>
      </c>
      <c r="AL84" s="194">
        <f>BP84</f>
        <v>11856</v>
      </c>
      <c r="AM84" s="137">
        <v>12501</v>
      </c>
      <c r="AN84" s="137">
        <v>12501</v>
      </c>
      <c r="AO84" s="194">
        <f>L84</f>
        <v>13528</v>
      </c>
      <c r="AP84" s="137">
        <v>12408</v>
      </c>
      <c r="AQ84" s="194">
        <f>BQ84</f>
        <v>0</v>
      </c>
      <c r="AR84" s="137"/>
      <c r="AS84" s="520"/>
      <c r="AT84" s="520"/>
      <c r="AU84" s="194">
        <f>BR84</f>
        <v>0</v>
      </c>
      <c r="AV84" s="194">
        <f>BV84</f>
        <v>0</v>
      </c>
      <c r="AW84" s="520"/>
      <c r="AX84" s="520"/>
      <c r="AY84" s="520"/>
      <c r="AZ84" s="194">
        <f>BZ84</f>
        <v>0</v>
      </c>
      <c r="BA84" s="520"/>
      <c r="BB84" s="520"/>
      <c r="BC84" s="520"/>
      <c r="BD84" s="194">
        <f>CD84</f>
        <v>0</v>
      </c>
      <c r="BE84" s="520"/>
      <c r="BF84" s="520"/>
      <c r="BG84" s="520"/>
      <c r="BH84" s="194">
        <f>CH84</f>
        <v>0</v>
      </c>
      <c r="BI84" s="520"/>
      <c r="BJ84" s="520"/>
      <c r="BK84" s="130"/>
      <c r="BL84" s="137">
        <v>6580</v>
      </c>
      <c r="BM84" s="137">
        <v>8094</v>
      </c>
      <c r="BN84" s="137">
        <v>14209.82</v>
      </c>
      <c r="BO84" s="137">
        <v>12216</v>
      </c>
      <c r="BP84" s="137">
        <v>11856</v>
      </c>
      <c r="BQ84" s="359"/>
      <c r="BR84" s="359"/>
      <c r="BS84" s="359"/>
      <c r="BT84" s="359"/>
      <c r="BU84" s="359"/>
      <c r="BW84" s="137">
        <v>12216</v>
      </c>
    </row>
    <row r="85" spans="2:75" collapsed="1">
      <c r="B85" s="1"/>
      <c r="C85" s="1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35"/>
      <c r="AK85" s="135"/>
      <c r="AL85" s="135"/>
      <c r="AM85" s="135"/>
      <c r="AN85" s="135"/>
      <c r="AO85" s="135"/>
      <c r="AP85" s="135"/>
      <c r="AQ85" s="135"/>
      <c r="AR85" s="135"/>
      <c r="AS85" s="135"/>
      <c r="AT85" s="135"/>
      <c r="AU85" s="135"/>
      <c r="AV85" s="135"/>
      <c r="AW85" s="135"/>
      <c r="AX85" s="135"/>
      <c r="AY85" s="135"/>
      <c r="AZ85" s="135"/>
      <c r="BA85" s="135"/>
      <c r="BB85" s="135"/>
      <c r="BC85" s="135"/>
      <c r="BD85" s="135"/>
      <c r="BE85" s="135"/>
      <c r="BF85" s="135"/>
      <c r="BG85" s="135"/>
      <c r="BH85" s="135"/>
      <c r="BI85" s="135"/>
      <c r="BJ85" s="135"/>
      <c r="BK85" s="130"/>
      <c r="BL85" s="135"/>
      <c r="BM85" s="135"/>
      <c r="BN85" s="135"/>
      <c r="BO85" s="135"/>
      <c r="BP85" s="135"/>
      <c r="BQ85" s="135"/>
      <c r="BR85" s="135"/>
      <c r="BS85" s="135"/>
      <c r="BT85" s="135"/>
      <c r="BU85" s="135"/>
      <c r="BW85" s="134"/>
    </row>
    <row r="86" spans="2:75">
      <c r="B86" s="5" t="s">
        <v>596</v>
      </c>
      <c r="C86" s="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  <c r="AK86" s="135"/>
      <c r="AL86" s="135"/>
      <c r="AM86" s="135"/>
      <c r="AN86" s="135"/>
      <c r="AO86" s="135"/>
      <c r="AP86" s="135"/>
      <c r="AQ86" s="135"/>
      <c r="AR86" s="135"/>
      <c r="AS86" s="135"/>
      <c r="AT86" s="135"/>
      <c r="AU86" s="135"/>
      <c r="AV86" s="135"/>
      <c r="AW86" s="135"/>
      <c r="AX86" s="135"/>
      <c r="AY86" s="135"/>
      <c r="AZ86" s="135"/>
      <c r="BA86" s="135"/>
      <c r="BB86" s="135"/>
      <c r="BC86" s="135"/>
      <c r="BD86" s="135"/>
      <c r="BE86" s="135"/>
      <c r="BF86" s="135"/>
      <c r="BG86" s="135"/>
      <c r="BH86" s="135"/>
      <c r="BI86" s="135"/>
      <c r="BJ86" s="135"/>
      <c r="BK86" s="130"/>
      <c r="BL86" s="135"/>
      <c r="BM86" s="135"/>
      <c r="BN86" s="135"/>
      <c r="BO86" s="135"/>
      <c r="BP86" s="135"/>
      <c r="BQ86" s="135"/>
      <c r="BR86" s="135"/>
      <c r="BS86" s="135"/>
      <c r="BT86" s="135"/>
      <c r="BU86" s="135"/>
      <c r="BW86" s="134"/>
    </row>
    <row r="87" spans="2:75">
      <c r="B87" s="1" t="s">
        <v>592</v>
      </c>
      <c r="C87" s="1" t="s">
        <v>597</v>
      </c>
      <c r="D87" s="130">
        <v>1471806</v>
      </c>
      <c r="E87" s="130">
        <v>1747486</v>
      </c>
      <c r="F87" s="130">
        <v>2088821</v>
      </c>
      <c r="G87" s="130">
        <v>2162004</v>
      </c>
      <c r="H87" s="130">
        <v>2162004</v>
      </c>
      <c r="I87" s="130">
        <v>3052122</v>
      </c>
      <c r="J87" s="130">
        <v>3052122</v>
      </c>
      <c r="K87" s="130">
        <v>3809072</v>
      </c>
      <c r="L87" s="130">
        <v>3744840</v>
      </c>
      <c r="M87" s="130">
        <v>5122428</v>
      </c>
      <c r="N87" s="130">
        <v>6821670</v>
      </c>
      <c r="O87" s="130">
        <f>5631374</f>
        <v>5631374</v>
      </c>
      <c r="P87" s="130">
        <v>4892053</v>
      </c>
      <c r="Q87" s="130">
        <v>5439490</v>
      </c>
      <c r="R87" s="1"/>
      <c r="S87" s="130">
        <v>1735512</v>
      </c>
      <c r="T87" s="194">
        <f t="shared" si="56"/>
        <v>1897343</v>
      </c>
      <c r="U87" s="130">
        <v>1913068</v>
      </c>
      <c r="V87" s="194">
        <f>F87</f>
        <v>2088821</v>
      </c>
      <c r="W87" s="130">
        <v>1945509</v>
      </c>
      <c r="X87" s="194">
        <f t="shared" si="57"/>
        <v>1988289</v>
      </c>
      <c r="Y87" s="130">
        <v>1935769</v>
      </c>
      <c r="Z87" s="194">
        <f>G87</f>
        <v>2162004</v>
      </c>
      <c r="AA87" s="130">
        <v>2212582</v>
      </c>
      <c r="AB87" s="194">
        <f>BN87</f>
        <v>2476310</v>
      </c>
      <c r="AC87" s="130">
        <v>2688419</v>
      </c>
      <c r="AD87" s="194">
        <f t="shared" ref="AD87:AE91" si="61">I87</f>
        <v>3052122</v>
      </c>
      <c r="AE87" s="194">
        <f t="shared" si="61"/>
        <v>3052122</v>
      </c>
      <c r="AF87" s="130">
        <v>3212780</v>
      </c>
      <c r="AG87" s="130">
        <v>3212780</v>
      </c>
      <c r="AH87" s="194">
        <f t="shared" si="58"/>
        <v>3408420</v>
      </c>
      <c r="AI87" s="130">
        <v>3486345</v>
      </c>
      <c r="AJ87" s="194">
        <f>K87</f>
        <v>3809072</v>
      </c>
      <c r="AK87" s="130">
        <v>3600648</v>
      </c>
      <c r="AL87" s="194">
        <f>BP87</f>
        <v>3634309</v>
      </c>
      <c r="AM87" s="130">
        <v>3517955</v>
      </c>
      <c r="AN87" s="130">
        <v>3517955</v>
      </c>
      <c r="AO87" s="194">
        <f>L87</f>
        <v>3744840</v>
      </c>
      <c r="AP87" s="130">
        <v>3533757</v>
      </c>
      <c r="AQ87" s="194">
        <f>BQ87</f>
        <v>4001488</v>
      </c>
      <c r="AR87" s="130">
        <v>4417308</v>
      </c>
      <c r="AS87" s="194">
        <f>M87</f>
        <v>5122428</v>
      </c>
      <c r="AT87" s="130">
        <v>5303094</v>
      </c>
      <c r="AU87" s="194">
        <f>BR87</f>
        <v>6281857</v>
      </c>
      <c r="AV87" s="130">
        <v>6563989</v>
      </c>
      <c r="AW87" s="194">
        <f>N87</f>
        <v>6821670</v>
      </c>
      <c r="AX87" s="130">
        <v>5668119</v>
      </c>
      <c r="AY87" s="194">
        <f>BS87</f>
        <v>5941.2950000000001</v>
      </c>
      <c r="AZ87" s="130">
        <v>5694029</v>
      </c>
      <c r="BA87" s="194">
        <f>O87</f>
        <v>5631374</v>
      </c>
      <c r="BB87" s="130">
        <v>4807844</v>
      </c>
      <c r="BC87" s="194">
        <f>BT87</f>
        <v>4992.2520000000004</v>
      </c>
      <c r="BD87" s="130">
        <v>4820296</v>
      </c>
      <c r="BE87" s="194">
        <f t="shared" ref="BE87:BE95" si="62">P87</f>
        <v>4892053</v>
      </c>
      <c r="BF87" s="130">
        <v>4817728</v>
      </c>
      <c r="BG87" s="194">
        <f>BU87</f>
        <v>5022.1840000000002</v>
      </c>
      <c r="BH87" s="130">
        <v>5163741</v>
      </c>
      <c r="BI87" s="135">
        <f>Q87</f>
        <v>5439490</v>
      </c>
      <c r="BJ87" s="130">
        <v>5427695</v>
      </c>
      <c r="BK87" s="130"/>
      <c r="BL87" s="130">
        <v>1897343</v>
      </c>
      <c r="BM87" s="130">
        <v>1988289</v>
      </c>
      <c r="BN87" s="130">
        <v>2476310</v>
      </c>
      <c r="BO87" s="130">
        <v>3408420</v>
      </c>
      <c r="BP87" s="130">
        <v>3634309</v>
      </c>
      <c r="BQ87" s="130">
        <v>4001488</v>
      </c>
      <c r="BR87" s="130">
        <v>6281857</v>
      </c>
      <c r="BS87" s="130">
        <v>5941.2950000000001</v>
      </c>
      <c r="BT87" s="130">
        <v>4992.2520000000004</v>
      </c>
      <c r="BU87" s="130">
        <v>5022.1840000000002</v>
      </c>
      <c r="BW87" s="130">
        <v>3408420</v>
      </c>
    </row>
    <row r="88" spans="2:75">
      <c r="B88" s="1" t="s">
        <v>581</v>
      </c>
      <c r="C88" s="1" t="s">
        <v>597</v>
      </c>
      <c r="D88" s="130">
        <v>-84922</v>
      </c>
      <c r="E88" s="130">
        <v>-101774</v>
      </c>
      <c r="F88" s="130">
        <v>-151464</v>
      </c>
      <c r="G88" s="130">
        <v>-158619</v>
      </c>
      <c r="H88" s="130">
        <v>-158619</v>
      </c>
      <c r="I88" s="130">
        <v>-238488</v>
      </c>
      <c r="J88" s="130">
        <v>-238488</v>
      </c>
      <c r="K88" s="130">
        <v>-223927</v>
      </c>
      <c r="L88" s="130">
        <v>-320777</v>
      </c>
      <c r="M88" s="130">
        <v>-290212</v>
      </c>
      <c r="N88" s="130">
        <v>-522307</v>
      </c>
      <c r="O88" s="130">
        <v>-539290</v>
      </c>
      <c r="P88" s="130">
        <v>-335178</v>
      </c>
      <c r="Q88" s="130">
        <v>-294044</v>
      </c>
      <c r="R88" s="1"/>
      <c r="S88" s="130">
        <v>-102866</v>
      </c>
      <c r="T88" s="194">
        <f t="shared" si="56"/>
        <v>-119254</v>
      </c>
      <c r="U88" s="130">
        <v>-127488</v>
      </c>
      <c r="V88" s="194">
        <f>F88</f>
        <v>-151464</v>
      </c>
      <c r="W88" s="130">
        <v>-148591</v>
      </c>
      <c r="X88" s="194">
        <f t="shared" si="57"/>
        <v>-160918</v>
      </c>
      <c r="Y88" s="130">
        <v>-156008</v>
      </c>
      <c r="Z88" s="194">
        <f>G88</f>
        <v>-158619</v>
      </c>
      <c r="AA88" s="130">
        <v>-149092</v>
      </c>
      <c r="AB88" s="194">
        <f>BN88</f>
        <v>-184877</v>
      </c>
      <c r="AC88" s="130">
        <v>-209451</v>
      </c>
      <c r="AD88" s="194">
        <f t="shared" si="61"/>
        <v>-238488</v>
      </c>
      <c r="AE88" s="194">
        <f t="shared" si="61"/>
        <v>-238488</v>
      </c>
      <c r="AF88" s="130">
        <v>-229172</v>
      </c>
      <c r="AG88" s="130">
        <v>-265718</v>
      </c>
      <c r="AH88" s="194">
        <f t="shared" si="58"/>
        <v>-206592</v>
      </c>
      <c r="AI88" s="130">
        <v>-208831</v>
      </c>
      <c r="AJ88" s="194">
        <f>K88</f>
        <v>-223927</v>
      </c>
      <c r="AK88" s="130">
        <v>-230970</v>
      </c>
      <c r="AL88" s="194">
        <f>BP88</f>
        <v>-274922</v>
      </c>
      <c r="AM88" s="130">
        <v>-281416</v>
      </c>
      <c r="AN88" s="130">
        <v>-281416</v>
      </c>
      <c r="AO88" s="194">
        <f>L88</f>
        <v>-320777</v>
      </c>
      <c r="AP88" s="130">
        <v>-312997</v>
      </c>
      <c r="AQ88" s="194">
        <f>BQ88</f>
        <v>-306604</v>
      </c>
      <c r="AR88" s="130">
        <v>-282426</v>
      </c>
      <c r="AS88" s="194">
        <f>M88</f>
        <v>-290212</v>
      </c>
      <c r="AT88" s="130">
        <v>-329768</v>
      </c>
      <c r="AU88" s="194">
        <f>BR88</f>
        <v>-391843</v>
      </c>
      <c r="AV88" s="130">
        <v>-443469</v>
      </c>
      <c r="AW88" s="194">
        <f>N88</f>
        <v>-522307</v>
      </c>
      <c r="AX88" s="130">
        <v>-593312</v>
      </c>
      <c r="AY88" s="194">
        <f>BS88</f>
        <v>-623248</v>
      </c>
      <c r="AZ88" s="130">
        <v>-592449</v>
      </c>
      <c r="BA88" s="194">
        <f>O88</f>
        <v>-539290</v>
      </c>
      <c r="BB88" s="130">
        <v>-477390</v>
      </c>
      <c r="BC88" s="194">
        <f>BT88</f>
        <v>-431487</v>
      </c>
      <c r="BD88" s="130">
        <v>-372784</v>
      </c>
      <c r="BE88" s="194">
        <f t="shared" si="62"/>
        <v>-335178</v>
      </c>
      <c r="BF88" s="130">
        <v>-303213</v>
      </c>
      <c r="BG88" s="194">
        <f>BU88</f>
        <v>-275996</v>
      </c>
      <c r="BH88" s="130">
        <v>-281161</v>
      </c>
      <c r="BI88" s="135">
        <f>Q88</f>
        <v>-294044</v>
      </c>
      <c r="BJ88" s="130">
        <v>-303533</v>
      </c>
      <c r="BK88" s="130"/>
      <c r="BL88" s="130">
        <v>-119254</v>
      </c>
      <c r="BM88" s="130">
        <v>-160918</v>
      </c>
      <c r="BN88" s="130">
        <v>-184877</v>
      </c>
      <c r="BO88" s="130">
        <v>-206592</v>
      </c>
      <c r="BP88" s="130">
        <v>-274922</v>
      </c>
      <c r="BQ88" s="130">
        <v>-306604</v>
      </c>
      <c r="BR88" s="130">
        <v>-391843</v>
      </c>
      <c r="BS88" s="130">
        <v>-623248</v>
      </c>
      <c r="BT88" s="130">
        <v>-431487</v>
      </c>
      <c r="BU88" s="130">
        <v>-275996</v>
      </c>
      <c r="BW88" s="130">
        <v>-206592</v>
      </c>
    </row>
    <row r="89" spans="2:75">
      <c r="B89" s="1" t="s">
        <v>582</v>
      </c>
      <c r="C89" s="1" t="s">
        <v>583</v>
      </c>
      <c r="D89" s="130">
        <v>803984</v>
      </c>
      <c r="E89" s="130">
        <v>934648</v>
      </c>
      <c r="F89" s="130">
        <v>1045641</v>
      </c>
      <c r="G89" s="130">
        <v>1102957</v>
      </c>
      <c r="H89" s="130">
        <v>1102957</v>
      </c>
      <c r="I89" s="130">
        <v>1058544</v>
      </c>
      <c r="J89" s="130">
        <v>1018453</v>
      </c>
      <c r="K89" s="130">
        <v>1086499</v>
      </c>
      <c r="L89" s="130">
        <v>1008113</v>
      </c>
      <c r="M89" s="130">
        <v>1238830</v>
      </c>
      <c r="N89" s="130">
        <v>1269442</v>
      </c>
      <c r="O89" s="130">
        <v>1094245</v>
      </c>
      <c r="P89" s="130">
        <v>953250</v>
      </c>
      <c r="Q89" s="130">
        <v>949448</v>
      </c>
      <c r="R89" s="1"/>
      <c r="S89" s="130">
        <v>915148</v>
      </c>
      <c r="T89" s="194">
        <f t="shared" si="56"/>
        <v>945253</v>
      </c>
      <c r="U89" s="130">
        <v>973497</v>
      </c>
      <c r="V89" s="194">
        <f>F89</f>
        <v>1045641</v>
      </c>
      <c r="W89" s="130">
        <v>1024855</v>
      </c>
      <c r="X89" s="194">
        <f t="shared" si="57"/>
        <v>1038592</v>
      </c>
      <c r="Y89" s="130">
        <v>1040457</v>
      </c>
      <c r="Z89" s="194">
        <f>G89</f>
        <v>1102957</v>
      </c>
      <c r="AA89" s="130">
        <v>1067895</v>
      </c>
      <c r="AB89" s="194">
        <f>BN89</f>
        <v>1083931</v>
      </c>
      <c r="AC89" s="130">
        <v>1021757</v>
      </c>
      <c r="AD89" s="194">
        <f t="shared" si="61"/>
        <v>1058544</v>
      </c>
      <c r="AE89" s="194">
        <f t="shared" si="61"/>
        <v>1018453</v>
      </c>
      <c r="AF89" s="130">
        <v>967578</v>
      </c>
      <c r="AG89" s="130">
        <v>967578</v>
      </c>
      <c r="AH89" s="194">
        <f t="shared" si="58"/>
        <v>1009720</v>
      </c>
      <c r="AI89" s="130">
        <v>1023084</v>
      </c>
      <c r="AJ89" s="194">
        <f>K89</f>
        <v>1086499</v>
      </c>
      <c r="AK89" s="130">
        <v>1051128</v>
      </c>
      <c r="AL89" s="194">
        <f>BP89</f>
        <v>1051128</v>
      </c>
      <c r="AM89" s="130">
        <v>971037</v>
      </c>
      <c r="AN89" s="130">
        <v>971037</v>
      </c>
      <c r="AO89" s="194">
        <f>L89</f>
        <v>1008113</v>
      </c>
      <c r="AP89" s="130">
        <v>1018531</v>
      </c>
      <c r="AQ89" s="194">
        <f>BQ89</f>
        <v>1074606</v>
      </c>
      <c r="AR89" s="130">
        <v>1133507</v>
      </c>
      <c r="AS89" s="194">
        <f>M89</f>
        <v>1238830</v>
      </c>
      <c r="AT89" s="130">
        <v>1243721</v>
      </c>
      <c r="AU89" s="194">
        <f>BR89</f>
        <v>1306252</v>
      </c>
      <c r="AV89" s="130">
        <v>1328029</v>
      </c>
      <c r="AW89" s="194">
        <f>N89</f>
        <v>1269442</v>
      </c>
      <c r="AX89" s="130">
        <v>1263396</v>
      </c>
      <c r="AY89" s="194">
        <f>BS89</f>
        <v>1115033</v>
      </c>
      <c r="AZ89" s="130">
        <v>1108377</v>
      </c>
      <c r="BA89" s="194">
        <f>O89</f>
        <v>1094245</v>
      </c>
      <c r="BB89" s="130">
        <v>1046208</v>
      </c>
      <c r="BC89" s="194">
        <f>BT89</f>
        <v>975440</v>
      </c>
      <c r="BD89" s="130">
        <v>1108377</v>
      </c>
      <c r="BE89" s="194">
        <f t="shared" si="62"/>
        <v>953250</v>
      </c>
      <c r="BF89" s="130">
        <v>923318</v>
      </c>
      <c r="BG89" s="194">
        <f>BU89</f>
        <v>928554</v>
      </c>
      <c r="BH89" s="130">
        <v>909513</v>
      </c>
      <c r="BI89" s="135">
        <f>Q89</f>
        <v>949448</v>
      </c>
      <c r="BJ89" s="130">
        <v>928635</v>
      </c>
      <c r="BK89" s="130"/>
      <c r="BL89" s="130">
        <v>945253</v>
      </c>
      <c r="BM89" s="130">
        <v>1038592</v>
      </c>
      <c r="BN89" s="130">
        <v>1083931</v>
      </c>
      <c r="BO89" s="130">
        <v>1009720</v>
      </c>
      <c r="BP89" s="130">
        <v>1051128</v>
      </c>
      <c r="BQ89" s="130">
        <v>1074606</v>
      </c>
      <c r="BR89" s="130">
        <v>1306252</v>
      </c>
      <c r="BS89" s="130">
        <v>1115033</v>
      </c>
      <c r="BT89" s="130">
        <v>975440</v>
      </c>
      <c r="BU89" s="130">
        <v>928554</v>
      </c>
      <c r="BW89" s="130">
        <v>967578</v>
      </c>
    </row>
    <row r="90" spans="2:75">
      <c r="B90" s="1" t="s">
        <v>584</v>
      </c>
      <c r="C90" s="1" t="s">
        <v>585</v>
      </c>
      <c r="D90" s="136">
        <v>7.7</v>
      </c>
      <c r="E90" s="136">
        <v>8.4</v>
      </c>
      <c r="F90" s="136">
        <v>8.1999999999999993</v>
      </c>
      <c r="G90" s="136">
        <v>9.5</v>
      </c>
      <c r="H90" s="136">
        <v>9.5</v>
      </c>
      <c r="I90" s="136">
        <v>12</v>
      </c>
      <c r="J90" s="136">
        <v>12</v>
      </c>
      <c r="K90" s="136">
        <v>12.5</v>
      </c>
      <c r="L90" s="136">
        <v>15.8</v>
      </c>
      <c r="M90" s="136">
        <v>16.3</v>
      </c>
      <c r="N90" s="136">
        <v>11.6</v>
      </c>
      <c r="O90" s="136">
        <v>10.1</v>
      </c>
      <c r="P90" s="136">
        <v>8.9</v>
      </c>
      <c r="Q90" s="136">
        <v>9.6999999999999993</v>
      </c>
      <c r="R90" s="1"/>
      <c r="S90" s="136">
        <v>8.8000000000000007</v>
      </c>
      <c r="T90" s="195">
        <f t="shared" si="56"/>
        <v>8.6999999999999993</v>
      </c>
      <c r="U90" s="136">
        <v>8.6999999999999993</v>
      </c>
      <c r="V90" s="195">
        <f>F90</f>
        <v>8.1999999999999993</v>
      </c>
      <c r="W90" s="136">
        <v>8.8000000000000007</v>
      </c>
      <c r="X90" s="195">
        <f t="shared" si="57"/>
        <v>9</v>
      </c>
      <c r="Y90" s="136">
        <v>9</v>
      </c>
      <c r="Z90" s="195">
        <f>G90</f>
        <v>9.5</v>
      </c>
      <c r="AA90" s="136">
        <v>10.4</v>
      </c>
      <c r="AB90" s="195">
        <f>BN90</f>
        <v>11.1</v>
      </c>
      <c r="AC90" s="136">
        <v>12</v>
      </c>
      <c r="AD90" s="195">
        <f t="shared" si="61"/>
        <v>12</v>
      </c>
      <c r="AE90" s="195">
        <f t="shared" si="61"/>
        <v>12</v>
      </c>
      <c r="AF90" s="136">
        <v>12.8</v>
      </c>
      <c r="AG90" s="136">
        <v>12.8</v>
      </c>
      <c r="AH90" s="195">
        <f t="shared" si="58"/>
        <v>12.6</v>
      </c>
      <c r="AI90" s="136">
        <v>11.7</v>
      </c>
      <c r="AJ90" s="195">
        <f>K90</f>
        <v>12.5</v>
      </c>
      <c r="AK90" s="136">
        <v>13.9</v>
      </c>
      <c r="AL90" s="195">
        <f>BP90</f>
        <v>13.9</v>
      </c>
      <c r="AM90" s="136">
        <v>16.8</v>
      </c>
      <c r="AN90" s="136">
        <v>17</v>
      </c>
      <c r="AO90" s="194">
        <f>L90</f>
        <v>15.8</v>
      </c>
      <c r="AP90" s="136">
        <v>16.7</v>
      </c>
      <c r="AQ90" s="195">
        <f>BQ90</f>
        <v>16.2</v>
      </c>
      <c r="AR90" s="136">
        <v>17</v>
      </c>
      <c r="AS90" s="194">
        <f>M90</f>
        <v>16.3</v>
      </c>
      <c r="AT90" s="136">
        <v>16.600000000000001</v>
      </c>
      <c r="AU90" s="195">
        <f>BR90</f>
        <v>16.600000000000001</v>
      </c>
      <c r="AV90" s="136">
        <v>16.5</v>
      </c>
      <c r="AW90" s="194">
        <f>N90</f>
        <v>11.6</v>
      </c>
      <c r="AX90" s="136">
        <v>15.8</v>
      </c>
      <c r="AY90" s="194">
        <f>BS90</f>
        <v>10.9</v>
      </c>
      <c r="AZ90" s="136">
        <v>14.9</v>
      </c>
      <c r="BA90" s="194">
        <f>O90</f>
        <v>10.1</v>
      </c>
      <c r="BB90" s="136">
        <v>9.6</v>
      </c>
      <c r="BC90" s="194">
        <f>BT90</f>
        <v>9.1999999999999993</v>
      </c>
      <c r="BD90" s="136">
        <v>14.9</v>
      </c>
      <c r="BE90" s="194">
        <f t="shared" si="62"/>
        <v>8.9</v>
      </c>
      <c r="BF90" s="136">
        <v>9.1999999999999993</v>
      </c>
      <c r="BG90" s="194">
        <f>BU90</f>
        <v>9.1999999999999993</v>
      </c>
      <c r="BH90" s="136">
        <v>9.6</v>
      </c>
      <c r="BI90" s="135">
        <f>Q90</f>
        <v>9.6999999999999993</v>
      </c>
      <c r="BJ90" s="136">
        <v>10</v>
      </c>
      <c r="BK90" s="130"/>
      <c r="BL90" s="136">
        <v>8.6999999999999993</v>
      </c>
      <c r="BM90" s="136">
        <v>9</v>
      </c>
      <c r="BN90" s="136">
        <v>11.1</v>
      </c>
      <c r="BO90" s="136">
        <v>12.6</v>
      </c>
      <c r="BP90" s="136">
        <v>13.9</v>
      </c>
      <c r="BQ90" s="136">
        <v>16.2</v>
      </c>
      <c r="BR90" s="136">
        <v>16.600000000000001</v>
      </c>
      <c r="BS90" s="136">
        <v>10.9</v>
      </c>
      <c r="BT90" s="136">
        <v>9.1999999999999993</v>
      </c>
      <c r="BU90" s="136">
        <v>9.1999999999999993</v>
      </c>
      <c r="BW90" s="136">
        <v>12.8</v>
      </c>
    </row>
    <row r="91" spans="2:75">
      <c r="B91" s="1" t="s">
        <v>586</v>
      </c>
      <c r="C91" s="1" t="s">
        <v>598</v>
      </c>
      <c r="D91" s="137">
        <v>1830641</v>
      </c>
      <c r="E91" s="137">
        <v>1869673</v>
      </c>
      <c r="F91" s="137">
        <v>1997646</v>
      </c>
      <c r="G91" s="137">
        <v>1960188</v>
      </c>
      <c r="H91" s="137">
        <v>1960188</v>
      </c>
      <c r="I91" s="137">
        <v>2883321</v>
      </c>
      <c r="J91" s="137">
        <v>1775423</v>
      </c>
      <c r="K91" s="137">
        <v>3505822</v>
      </c>
      <c r="L91" s="137">
        <v>3714702</v>
      </c>
      <c r="M91" s="362">
        <v>4134892</v>
      </c>
      <c r="N91" s="362">
        <v>5373755</v>
      </c>
      <c r="O91" s="362">
        <v>5146356</v>
      </c>
      <c r="P91" s="362">
        <v>5131973</v>
      </c>
      <c r="Q91" s="362">
        <v>5729108</v>
      </c>
      <c r="R91" s="1"/>
      <c r="S91" s="137">
        <v>1896428</v>
      </c>
      <c r="T91" s="196">
        <f t="shared" si="56"/>
        <v>2007233</v>
      </c>
      <c r="U91" s="137">
        <v>1965150</v>
      </c>
      <c r="V91" s="196">
        <f>F91</f>
        <v>1997646</v>
      </c>
      <c r="W91" s="137">
        <v>1898326</v>
      </c>
      <c r="X91" s="196">
        <f t="shared" si="57"/>
        <v>1914408</v>
      </c>
      <c r="Y91" s="137">
        <v>1860499</v>
      </c>
      <c r="Z91" s="194">
        <f>G91</f>
        <v>1960188</v>
      </c>
      <c r="AA91" s="137">
        <v>2071909</v>
      </c>
      <c r="AB91" s="194">
        <f>BN91</f>
        <v>2284564</v>
      </c>
      <c r="AC91" s="137">
        <v>2631173</v>
      </c>
      <c r="AD91" s="194">
        <f t="shared" si="61"/>
        <v>2883321</v>
      </c>
      <c r="AE91" s="194">
        <f t="shared" si="61"/>
        <v>1775423</v>
      </c>
      <c r="AF91" s="137">
        <v>3320435</v>
      </c>
      <c r="AG91" s="137">
        <v>3320435</v>
      </c>
      <c r="AH91" s="194">
        <f t="shared" si="58"/>
        <v>3375609</v>
      </c>
      <c r="AI91" s="137">
        <v>3407682</v>
      </c>
      <c r="AJ91" s="194">
        <f>K91</f>
        <v>3505822</v>
      </c>
      <c r="AK91" s="137">
        <v>3645244</v>
      </c>
      <c r="AL91" s="194">
        <f>BP91</f>
        <v>3457533</v>
      </c>
      <c r="AM91" s="137">
        <v>3622884</v>
      </c>
      <c r="AN91" s="137">
        <v>3622884</v>
      </c>
      <c r="AO91" s="194">
        <f>L91</f>
        <v>3714702</v>
      </c>
      <c r="AP91" s="137">
        <v>3776767</v>
      </c>
      <c r="AQ91" s="194">
        <f>BQ91</f>
        <v>3723679</v>
      </c>
      <c r="AR91" s="137">
        <v>3897028</v>
      </c>
      <c r="AS91" s="194">
        <f>M91</f>
        <v>4134892</v>
      </c>
      <c r="AT91" s="137">
        <v>4529039</v>
      </c>
      <c r="AU91" s="194">
        <f>BR91</f>
        <v>4809069</v>
      </c>
      <c r="AV91" s="137">
        <v>4942655</v>
      </c>
      <c r="AW91" s="194">
        <f>N91</f>
        <v>5373755</v>
      </c>
      <c r="AX91" s="137">
        <v>4956032</v>
      </c>
      <c r="AY91" s="194">
        <f>BS91</f>
        <v>5328358</v>
      </c>
      <c r="AZ91" s="137">
        <v>5137268</v>
      </c>
      <c r="BA91" s="194">
        <f>O91</f>
        <v>5146356</v>
      </c>
      <c r="BB91" s="137">
        <v>5051800</v>
      </c>
      <c r="BC91" s="194">
        <f>BT91</f>
        <v>5117949</v>
      </c>
      <c r="BD91" s="137">
        <v>5137268</v>
      </c>
      <c r="BE91" s="194">
        <f t="shared" si="62"/>
        <v>5131973</v>
      </c>
      <c r="BF91" s="137">
        <v>5217843</v>
      </c>
      <c r="BG91" s="194">
        <f>BU91</f>
        <v>5408607</v>
      </c>
      <c r="BH91" s="137">
        <v>5677479</v>
      </c>
      <c r="BI91" s="135">
        <f>Q91</f>
        <v>5729108</v>
      </c>
      <c r="BJ91" s="137">
        <v>5844810</v>
      </c>
      <c r="BK91" s="130"/>
      <c r="BL91" s="137">
        <v>2007233</v>
      </c>
      <c r="BM91" s="137">
        <v>1914408</v>
      </c>
      <c r="BN91" s="137">
        <v>2284564</v>
      </c>
      <c r="BO91" s="137">
        <v>3375609</v>
      </c>
      <c r="BP91" s="137">
        <v>3457533</v>
      </c>
      <c r="BQ91" s="137">
        <v>3723679</v>
      </c>
      <c r="BR91" s="137">
        <v>4809069</v>
      </c>
      <c r="BS91" s="137">
        <v>5328358</v>
      </c>
      <c r="BT91" s="137">
        <v>5117949</v>
      </c>
      <c r="BU91" s="137">
        <v>5408607</v>
      </c>
      <c r="BW91" s="137">
        <v>3522631</v>
      </c>
    </row>
    <row r="92" spans="2:7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94">
        <f t="shared" si="62"/>
        <v>0</v>
      </c>
      <c r="BF92" s="1"/>
      <c r="BG92" s="1"/>
      <c r="BH92" s="1"/>
      <c r="BI92" s="194"/>
      <c r="BJ92" s="1"/>
      <c r="BK92" s="130"/>
      <c r="BL92" s="1"/>
      <c r="BM92" s="1"/>
      <c r="BN92" s="1"/>
      <c r="BO92" s="1"/>
      <c r="BP92" s="1"/>
      <c r="BQ92" s="1"/>
      <c r="BR92" s="1"/>
      <c r="BS92" s="1"/>
      <c r="BT92" s="1"/>
      <c r="BU92" s="1"/>
    </row>
    <row r="93" spans="2:75">
      <c r="B93" s="5" t="s">
        <v>599</v>
      </c>
      <c r="C93" s="5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94">
        <f t="shared" si="62"/>
        <v>0</v>
      </c>
      <c r="BF93" s="1"/>
      <c r="BG93" s="1"/>
      <c r="BH93" s="1"/>
      <c r="BI93" s="194"/>
      <c r="BJ93" s="1"/>
      <c r="BK93" s="130"/>
      <c r="BL93" s="1"/>
      <c r="BM93" s="1"/>
      <c r="BN93" s="1"/>
      <c r="BO93" s="1"/>
      <c r="BP93" s="1"/>
      <c r="BQ93" s="1"/>
      <c r="BR93" s="1"/>
      <c r="BS93" s="1"/>
      <c r="BT93" s="1"/>
      <c r="BU93" s="1"/>
    </row>
    <row r="94" spans="2:75">
      <c r="B94" s="1" t="s">
        <v>579</v>
      </c>
      <c r="C94" s="1" t="s">
        <v>580</v>
      </c>
      <c r="D94" s="124">
        <v>1311374</v>
      </c>
      <c r="E94" s="124">
        <v>1416219</v>
      </c>
      <c r="F94" s="124">
        <v>1546889</v>
      </c>
      <c r="G94" s="124">
        <v>1643817</v>
      </c>
      <c r="H94" s="124">
        <v>1643817</v>
      </c>
      <c r="I94" s="124">
        <v>1722069</v>
      </c>
      <c r="J94" s="124">
        <v>3625620</v>
      </c>
      <c r="K94" s="124">
        <v>3911440</v>
      </c>
      <c r="L94" s="124">
        <v>3282384</v>
      </c>
      <c r="M94" s="130">
        <v>3922087</v>
      </c>
      <c r="N94" s="130">
        <v>4476184</v>
      </c>
      <c r="O94" s="130">
        <v>3944408</v>
      </c>
      <c r="P94" s="130">
        <v>4132267</v>
      </c>
      <c r="Q94" s="130">
        <v>4910417</v>
      </c>
      <c r="R94" s="124"/>
      <c r="S94" s="124">
        <v>1382190</v>
      </c>
      <c r="T94" s="63">
        <f t="shared" si="56"/>
        <v>1474961</v>
      </c>
      <c r="U94" s="124">
        <v>1504030</v>
      </c>
      <c r="V94" s="63">
        <f>F94</f>
        <v>1546889</v>
      </c>
      <c r="W94" s="124">
        <v>1495818</v>
      </c>
      <c r="X94" s="63">
        <f t="shared" si="57"/>
        <v>1586195</v>
      </c>
      <c r="Y94" s="124">
        <v>1600557</v>
      </c>
      <c r="Z94" s="194">
        <f>G94</f>
        <v>1643817</v>
      </c>
      <c r="AA94" s="124">
        <v>1674617</v>
      </c>
      <c r="AB94" s="194">
        <f>BN94</f>
        <v>1692189</v>
      </c>
      <c r="AC94" s="124">
        <v>1701432</v>
      </c>
      <c r="AD94" s="194">
        <f>I94</f>
        <v>1722069</v>
      </c>
      <c r="AE94" s="194">
        <f>J94</f>
        <v>3625620</v>
      </c>
      <c r="AF94" s="124">
        <v>3660138</v>
      </c>
      <c r="AG94" s="124">
        <v>3660138</v>
      </c>
      <c r="AH94" s="194">
        <f t="shared" si="58"/>
        <v>3719008</v>
      </c>
      <c r="AI94" s="124">
        <v>3774187</v>
      </c>
      <c r="AJ94" s="194">
        <f>K94</f>
        <v>3911440</v>
      </c>
      <c r="AK94" s="124">
        <v>3854391</v>
      </c>
      <c r="AL94" s="194">
        <f>BP94</f>
        <v>3543519</v>
      </c>
      <c r="AM94" s="124">
        <v>3287681</v>
      </c>
      <c r="AN94" s="124">
        <v>3287681</v>
      </c>
      <c r="AO94" s="194">
        <f>L94</f>
        <v>3282384</v>
      </c>
      <c r="AP94" s="124">
        <v>3084521</v>
      </c>
      <c r="AQ94" s="194">
        <f>BQ94</f>
        <v>3372851</v>
      </c>
      <c r="AR94" s="124">
        <v>3546838</v>
      </c>
      <c r="AS94" s="194">
        <f>M94</f>
        <v>3922087</v>
      </c>
      <c r="AT94" s="124">
        <v>3983711</v>
      </c>
      <c r="AU94" s="194">
        <f>BR94</f>
        <v>4502098</v>
      </c>
      <c r="AV94" s="124">
        <v>4424920</v>
      </c>
      <c r="AW94" s="194">
        <f>N94</f>
        <v>4476184</v>
      </c>
      <c r="AX94" s="124">
        <v>3949895</v>
      </c>
      <c r="AY94" s="194">
        <f>BS94</f>
        <v>4132077</v>
      </c>
      <c r="AZ94" s="124">
        <v>3896139</v>
      </c>
      <c r="BA94" s="194">
        <f>O94</f>
        <v>3944408</v>
      </c>
      <c r="BB94" s="124">
        <v>3622018</v>
      </c>
      <c r="BC94" s="194">
        <f>BT94</f>
        <v>3836471</v>
      </c>
      <c r="BD94" s="124">
        <v>3852850</v>
      </c>
      <c r="BE94" s="194">
        <f t="shared" si="62"/>
        <v>4132267</v>
      </c>
      <c r="BF94" s="124">
        <v>4240451</v>
      </c>
      <c r="BG94" s="194">
        <f>BU94</f>
        <v>4362637</v>
      </c>
      <c r="BH94" s="124">
        <v>4483089</v>
      </c>
      <c r="BI94" s="135">
        <f>Q94</f>
        <v>4910417</v>
      </c>
      <c r="BJ94" s="124">
        <v>5011045</v>
      </c>
      <c r="BK94" s="130"/>
      <c r="BL94" s="124">
        <v>1474961</v>
      </c>
      <c r="BM94" s="124">
        <v>1586195</v>
      </c>
      <c r="BN94" s="124">
        <v>1692189</v>
      </c>
      <c r="BO94" s="124">
        <v>3719008</v>
      </c>
      <c r="BP94" s="124">
        <v>3543519</v>
      </c>
      <c r="BQ94" s="124">
        <v>3372851</v>
      </c>
      <c r="BR94" s="124">
        <v>4502098</v>
      </c>
      <c r="BS94" s="124">
        <v>4132077</v>
      </c>
      <c r="BT94" s="124">
        <v>3836471</v>
      </c>
      <c r="BU94" s="124">
        <v>4362637</v>
      </c>
      <c r="BW94" s="124">
        <v>3719008</v>
      </c>
    </row>
    <row r="95" spans="2:75">
      <c r="B95" s="1" t="s">
        <v>581</v>
      </c>
      <c r="C95" s="1" t="s">
        <v>580</v>
      </c>
      <c r="D95" s="124">
        <v>-63318</v>
      </c>
      <c r="E95" s="124">
        <v>-69121</v>
      </c>
      <c r="F95" s="124">
        <v>-76447</v>
      </c>
      <c r="G95" s="124">
        <v>-79855</v>
      </c>
      <c r="H95" s="124">
        <v>-79855</v>
      </c>
      <c r="I95" s="124">
        <v>-102559</v>
      </c>
      <c r="J95" s="124">
        <v>-226765</v>
      </c>
      <c r="K95" s="124">
        <v>-255008</v>
      </c>
      <c r="L95" s="124">
        <v>-215771</v>
      </c>
      <c r="M95" s="130">
        <v>-217580</v>
      </c>
      <c r="N95" s="130">
        <v>-340957</v>
      </c>
      <c r="O95" s="130">
        <v>-211046</v>
      </c>
      <c r="P95" s="130">
        <v>-221818</v>
      </c>
      <c r="Q95" s="130">
        <v>-290699</v>
      </c>
      <c r="R95" s="124"/>
      <c r="S95" s="124">
        <v>-67868</v>
      </c>
      <c r="T95" s="63">
        <f t="shared" si="56"/>
        <v>-71737</v>
      </c>
      <c r="U95" s="124">
        <v>-73083</v>
      </c>
      <c r="V95" s="63">
        <f>F95</f>
        <v>-76447</v>
      </c>
      <c r="W95" s="124">
        <v>-78521</v>
      </c>
      <c r="X95" s="63">
        <f t="shared" si="57"/>
        <v>-80450</v>
      </c>
      <c r="Y95" s="124">
        <v>-79348</v>
      </c>
      <c r="Z95" s="194">
        <f>G95</f>
        <v>-79855</v>
      </c>
      <c r="AA95" s="124">
        <v>-96167</v>
      </c>
      <c r="AB95" s="194">
        <f>BN95</f>
        <v>-96677</v>
      </c>
      <c r="AC95" s="124">
        <v>-103026</v>
      </c>
      <c r="AD95" s="194">
        <f>I95</f>
        <v>-102559</v>
      </c>
      <c r="AE95" s="194">
        <f>J95</f>
        <v>-226765</v>
      </c>
      <c r="AF95" s="124">
        <v>-224363</v>
      </c>
      <c r="AG95" s="124">
        <v>-223836</v>
      </c>
      <c r="AH95" s="194">
        <f t="shared" si="58"/>
        <v>-237003</v>
      </c>
      <c r="AI95" s="124">
        <v>-237313</v>
      </c>
      <c r="AJ95" s="194">
        <f>K95</f>
        <v>-255008</v>
      </c>
      <c r="AK95" s="124">
        <v>-257481</v>
      </c>
      <c r="AL95" s="194">
        <f>BP95</f>
        <v>-285913</v>
      </c>
      <c r="AM95" s="124">
        <v>-264830</v>
      </c>
      <c r="AN95" s="124">
        <v>-264830</v>
      </c>
      <c r="AO95" s="194">
        <f>L95</f>
        <v>-215771</v>
      </c>
      <c r="AP95" s="124">
        <v>-188785</v>
      </c>
      <c r="AQ95" s="194">
        <f>BQ95</f>
        <v>-184791</v>
      </c>
      <c r="AR95" s="124">
        <v>-194857</v>
      </c>
      <c r="AS95" s="194">
        <f>M95</f>
        <v>-217580</v>
      </c>
      <c r="AT95" s="124">
        <v>-249060</v>
      </c>
      <c r="AU95" s="194">
        <f>BR95</f>
        <v>-286107</v>
      </c>
      <c r="AV95" s="124">
        <v>-321347</v>
      </c>
      <c r="AW95" s="194">
        <f>N95</f>
        <v>-340957</v>
      </c>
      <c r="AX95" s="124">
        <v>-328345</v>
      </c>
      <c r="AY95" s="194">
        <f>BS95</f>
        <v>-311377</v>
      </c>
      <c r="AZ95" s="124">
        <v>-278148</v>
      </c>
      <c r="BA95" s="194">
        <f>O95</f>
        <v>-211046</v>
      </c>
      <c r="BB95" s="124">
        <v>-233452</v>
      </c>
      <c r="BC95" s="194">
        <f>BT95</f>
        <v>-227738</v>
      </c>
      <c r="BD95" s="124">
        <v>-214351</v>
      </c>
      <c r="BE95" s="194">
        <f t="shared" si="62"/>
        <v>-221818</v>
      </c>
      <c r="BF95" s="124">
        <v>-228782</v>
      </c>
      <c r="BG95" s="194">
        <f>BU95</f>
        <v>-248505</v>
      </c>
      <c r="BH95" s="124">
        <v>-259443</v>
      </c>
      <c r="BI95" s="135">
        <f>Q95</f>
        <v>-290699</v>
      </c>
      <c r="BJ95" s="124">
        <v>-295176</v>
      </c>
      <c r="BK95" s="130"/>
      <c r="BL95" s="124">
        <v>-71737</v>
      </c>
      <c r="BM95" s="124">
        <v>-80450</v>
      </c>
      <c r="BN95" s="124">
        <v>-96677</v>
      </c>
      <c r="BO95" s="124">
        <v>-237003</v>
      </c>
      <c r="BP95" s="124">
        <v>-285913</v>
      </c>
      <c r="BQ95" s="124">
        <v>-184791</v>
      </c>
      <c r="BR95" s="124">
        <v>-286107</v>
      </c>
      <c r="BS95" s="124">
        <v>-311377</v>
      </c>
      <c r="BT95" s="124">
        <v>-227738</v>
      </c>
      <c r="BU95" s="124">
        <v>-248505</v>
      </c>
      <c r="BW95" s="124">
        <v>-237003</v>
      </c>
    </row>
    <row r="96" spans="2:7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</row>
    <row r="97" spans="2:7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</row>
    <row r="98" spans="2:75">
      <c r="B98" s="120" t="s">
        <v>600</v>
      </c>
      <c r="C98" s="120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62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62"/>
      <c r="BL98" s="82"/>
      <c r="BM98" s="82"/>
      <c r="BN98" s="82"/>
      <c r="BO98" s="82"/>
      <c r="BP98" s="82"/>
      <c r="BQ98" s="82"/>
      <c r="BR98" s="82"/>
      <c r="BS98" s="82"/>
      <c r="BT98" s="82"/>
      <c r="BU98" s="82"/>
      <c r="BW98" s="82"/>
    </row>
    <row r="99" spans="2:75">
      <c r="B99" s="547" t="s">
        <v>601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</row>
    <row r="100" spans="2:75">
      <c r="B100" s="1" t="s">
        <v>602</v>
      </c>
      <c r="C100" s="1"/>
      <c r="D100" s="138">
        <v>0.52700000000000002</v>
      </c>
      <c r="E100" s="138">
        <v>0.45700000000000002</v>
      </c>
      <c r="F100" s="138">
        <v>0.45300000000000001</v>
      </c>
      <c r="G100" s="138">
        <v>0.46100000000000002</v>
      </c>
      <c r="H100" s="138">
        <v>0.46100000000000002</v>
      </c>
      <c r="I100" s="138">
        <v>0.47</v>
      </c>
      <c r="J100" s="138">
        <v>0.47</v>
      </c>
      <c r="K100" s="138">
        <v>0.47199999999999998</v>
      </c>
      <c r="L100" s="138">
        <v>0.45500000000000002</v>
      </c>
      <c r="M100" s="138">
        <v>0.41099999999999998</v>
      </c>
      <c r="N100" s="138">
        <v>0.45900000000000002</v>
      </c>
      <c r="O100" s="138">
        <v>0.39</v>
      </c>
      <c r="P100" s="138">
        <v>0.375</v>
      </c>
      <c r="Q100" s="138">
        <v>0.35899999999999999</v>
      </c>
      <c r="R100" s="130"/>
      <c r="S100" s="138">
        <v>0.41199999999999998</v>
      </c>
      <c r="T100" s="138">
        <v>0.44600000000000001</v>
      </c>
      <c r="U100" s="138">
        <v>0.45100000000000001</v>
      </c>
      <c r="V100" s="138">
        <v>0.45300000000000001</v>
      </c>
      <c r="W100" s="138">
        <v>0.42</v>
      </c>
      <c r="X100" s="138">
        <v>0.45200000000000001</v>
      </c>
      <c r="Y100" s="138">
        <v>0.45600000000000002</v>
      </c>
      <c r="Z100" s="283">
        <f t="shared" ref="Z100:Z105" si="63">G100</f>
        <v>0.46100000000000002</v>
      </c>
      <c r="AA100" s="138">
        <v>0.441</v>
      </c>
      <c r="AB100" s="283">
        <f t="shared" ref="AB100:AB105" si="64">BN100</f>
        <v>0.47</v>
      </c>
      <c r="AC100" s="138">
        <v>0.46899999999999997</v>
      </c>
      <c r="AD100" s="283">
        <f t="shared" ref="AD100:AE105" si="65">I100</f>
        <v>0.47</v>
      </c>
      <c r="AE100" s="283">
        <f t="shared" si="65"/>
        <v>0.47</v>
      </c>
      <c r="AF100" s="138">
        <v>0.45600000000000002</v>
      </c>
      <c r="AG100" s="138">
        <v>0.45600000000000002</v>
      </c>
      <c r="AH100" s="283">
        <f t="shared" ref="AH100:AH105" si="66">BO100</f>
        <v>0.5</v>
      </c>
      <c r="AI100" s="138">
        <v>0.46400000000000002</v>
      </c>
      <c r="AJ100" s="283">
        <f t="shared" ref="AJ100:AJ105" si="67">K100</f>
        <v>0.47199999999999998</v>
      </c>
      <c r="AK100" s="138">
        <v>0.45900000000000002</v>
      </c>
      <c r="AL100" s="283">
        <f t="shared" ref="AL100:AL105" si="68">BP100</f>
        <v>0.51400000000000001</v>
      </c>
      <c r="AM100" s="138">
        <v>0.49</v>
      </c>
      <c r="AN100" s="138">
        <v>0.49</v>
      </c>
      <c r="AO100" s="283">
        <f t="shared" ref="AO100:AO105" si="69">L100</f>
        <v>0.45500000000000002</v>
      </c>
      <c r="AP100" s="138">
        <v>0.44900000000000001</v>
      </c>
      <c r="AQ100" s="283">
        <f t="shared" ref="AQ100:AQ105" si="70">BQ100</f>
        <v>0.434</v>
      </c>
      <c r="AR100" s="138">
        <v>0.40899999999999997</v>
      </c>
      <c r="AS100" s="283">
        <f>M100</f>
        <v>0.41099999999999998</v>
      </c>
      <c r="AT100" s="138">
        <v>0.41799999999999998</v>
      </c>
      <c r="AU100" s="283">
        <f>BR100</f>
        <v>0.42899999999999999</v>
      </c>
      <c r="AV100" s="138">
        <v>0.45200000000000001</v>
      </c>
      <c r="AW100" s="283">
        <f>N100</f>
        <v>0.45900000000000002</v>
      </c>
      <c r="AX100" s="138">
        <v>0.441</v>
      </c>
      <c r="AY100" s="283">
        <f>BS100</f>
        <v>0.41499999999999998</v>
      </c>
      <c r="AZ100" s="138">
        <v>0.39900000000000002</v>
      </c>
      <c r="BA100" s="283">
        <f>O100</f>
        <v>0.39</v>
      </c>
      <c r="BB100" s="138">
        <v>0.38800000000000001</v>
      </c>
      <c r="BC100" s="283">
        <f>BT100</f>
        <v>0.38400000000000001</v>
      </c>
      <c r="BD100" s="138">
        <v>0.38300000000000001</v>
      </c>
      <c r="BE100" s="283">
        <f>P100</f>
        <v>0.375</v>
      </c>
      <c r="BF100" s="138">
        <v>0.36</v>
      </c>
      <c r="BG100" s="283">
        <f>BU100</f>
        <v>0.35599999999999998</v>
      </c>
      <c r="BH100" s="138">
        <v>0.35099999999999998</v>
      </c>
      <c r="BI100" s="283">
        <f>Q100</f>
        <v>0.35899999999999999</v>
      </c>
      <c r="BJ100" s="138">
        <v>0.371</v>
      </c>
      <c r="BK100" s="263"/>
      <c r="BL100" s="138">
        <v>0.44600000000000001</v>
      </c>
      <c r="BM100" s="138">
        <v>0.45200000000000001</v>
      </c>
      <c r="BN100" s="138">
        <v>0.47</v>
      </c>
      <c r="BO100" s="138">
        <v>0.5</v>
      </c>
      <c r="BP100" s="138">
        <v>0.51400000000000001</v>
      </c>
      <c r="BQ100" s="138">
        <v>0.434</v>
      </c>
      <c r="BR100" s="138">
        <v>0.42899999999999999</v>
      </c>
      <c r="BS100" s="138">
        <v>0.41499999999999998</v>
      </c>
      <c r="BT100" s="138">
        <v>0.38400000000000001</v>
      </c>
      <c r="BU100" s="138">
        <v>0.35599999999999998</v>
      </c>
      <c r="BW100" s="138">
        <v>0.5</v>
      </c>
    </row>
    <row r="101" spans="2:75">
      <c r="B101" s="1" t="s">
        <v>603</v>
      </c>
      <c r="C101" s="1"/>
      <c r="D101" s="138">
        <v>0.28299999999999997</v>
      </c>
      <c r="E101" s="138">
        <v>0.26100000000000001</v>
      </c>
      <c r="F101" s="138">
        <v>0.27500000000000002</v>
      </c>
      <c r="G101" s="138">
        <v>0.27600000000000002</v>
      </c>
      <c r="H101" s="138">
        <v>0.27600000000000002</v>
      </c>
      <c r="I101" s="138">
        <v>0.26900000000000002</v>
      </c>
      <c r="J101" s="138">
        <v>0.26900000000000002</v>
      </c>
      <c r="K101" s="138">
        <v>0.26300000000000001</v>
      </c>
      <c r="L101" s="138">
        <v>0.20799999999999999</v>
      </c>
      <c r="M101" s="138">
        <v>0.17699999999999999</v>
      </c>
      <c r="N101" s="138">
        <v>0.217</v>
      </c>
      <c r="O101" s="138">
        <v>0.22600000000000001</v>
      </c>
      <c r="P101" s="138">
        <v>0.222</v>
      </c>
      <c r="Q101" s="138">
        <v>0.23499999999999999</v>
      </c>
      <c r="R101" s="136"/>
      <c r="S101" s="138">
        <v>0.26800000000000002</v>
      </c>
      <c r="T101" s="138">
        <v>0.27200000000000002</v>
      </c>
      <c r="U101" s="138">
        <v>0.27100000000000002</v>
      </c>
      <c r="V101" s="138">
        <v>0.27500000000000002</v>
      </c>
      <c r="W101" s="138">
        <v>0.26700000000000002</v>
      </c>
      <c r="X101" s="138">
        <v>0.27800000000000002</v>
      </c>
      <c r="Y101" s="138">
        <v>0.27500000000000002</v>
      </c>
      <c r="Z101" s="283">
        <f t="shared" si="63"/>
        <v>0.27600000000000002</v>
      </c>
      <c r="AA101" s="138">
        <v>0.26</v>
      </c>
      <c r="AB101" s="283">
        <f t="shared" si="64"/>
        <v>0.26400000000000001</v>
      </c>
      <c r="AC101" s="138">
        <v>0.26800000000000002</v>
      </c>
      <c r="AD101" s="283">
        <f t="shared" si="65"/>
        <v>0.26900000000000002</v>
      </c>
      <c r="AE101" s="283">
        <f t="shared" si="65"/>
        <v>0.26900000000000002</v>
      </c>
      <c r="AF101" s="138">
        <v>0.25900000000000001</v>
      </c>
      <c r="AG101" s="138">
        <v>0.25900000000000001</v>
      </c>
      <c r="AH101" s="283">
        <f t="shared" si="66"/>
        <v>0.26100000000000001</v>
      </c>
      <c r="AI101" s="138">
        <v>0.26600000000000001</v>
      </c>
      <c r="AJ101" s="283">
        <f t="shared" si="67"/>
        <v>0.26300000000000001</v>
      </c>
      <c r="AK101" s="138">
        <v>0.24399999999999999</v>
      </c>
      <c r="AL101" s="283">
        <f t="shared" si="68"/>
        <v>0.248</v>
      </c>
      <c r="AM101" s="138">
        <v>0.23200000000000001</v>
      </c>
      <c r="AN101" s="138">
        <v>0.23200000000000001</v>
      </c>
      <c r="AO101" s="283">
        <f t="shared" si="69"/>
        <v>0.20799999999999999</v>
      </c>
      <c r="AP101" s="138">
        <v>0.189</v>
      </c>
      <c r="AQ101" s="283">
        <f t="shared" si="70"/>
        <v>0.17299999999999999</v>
      </c>
      <c r="AR101" s="138">
        <v>0.17</v>
      </c>
      <c r="AS101" s="283">
        <f>M101</f>
        <v>0.17699999999999999</v>
      </c>
      <c r="AT101" s="138">
        <v>0.187</v>
      </c>
      <c r="AU101" s="283">
        <f>BR101</f>
        <v>0.2</v>
      </c>
      <c r="AV101" s="138">
        <v>0.21099999999999999</v>
      </c>
      <c r="AW101" s="283">
        <f>N101</f>
        <v>0.217</v>
      </c>
      <c r="AX101" s="138">
        <v>0.222</v>
      </c>
      <c r="AY101" s="283">
        <f>BS101</f>
        <v>0.223</v>
      </c>
      <c r="AZ101" s="138">
        <v>0.22500000000000001</v>
      </c>
      <c r="BA101" s="283">
        <f>O101</f>
        <v>0.22600000000000001</v>
      </c>
      <c r="BB101" s="138">
        <v>0.223</v>
      </c>
      <c r="BC101" s="283">
        <f>BT101</f>
        <v>0.219</v>
      </c>
      <c r="BD101" s="138">
        <v>0.22</v>
      </c>
      <c r="BE101" s="283">
        <f>P101</f>
        <v>0.222</v>
      </c>
      <c r="BF101" s="138">
        <v>0.222</v>
      </c>
      <c r="BG101" s="283">
        <f>BU101</f>
        <v>0.22600000000000001</v>
      </c>
      <c r="BH101" s="138">
        <v>0.23</v>
      </c>
      <c r="BI101" s="283">
        <f>Q101</f>
        <v>0.23499999999999999</v>
      </c>
      <c r="BJ101" s="138">
        <v>0.24199999999999999</v>
      </c>
      <c r="BK101" s="263"/>
      <c r="BL101" s="138">
        <v>0.27200000000000002</v>
      </c>
      <c r="BM101" s="138">
        <v>0.27800000000000002</v>
      </c>
      <c r="BN101" s="138">
        <v>0.26400000000000001</v>
      </c>
      <c r="BO101" s="138">
        <v>0.26100000000000001</v>
      </c>
      <c r="BP101" s="138">
        <v>0.248</v>
      </c>
      <c r="BQ101" s="138">
        <v>0.17299999999999999</v>
      </c>
      <c r="BR101" s="138">
        <v>0.2</v>
      </c>
      <c r="BS101" s="138">
        <v>0.223</v>
      </c>
      <c r="BT101" s="138">
        <v>0.219</v>
      </c>
      <c r="BU101" s="138">
        <v>0.22600000000000001</v>
      </c>
      <c r="BW101" s="138">
        <v>0.26100000000000001</v>
      </c>
    </row>
    <row r="102" spans="2:75">
      <c r="B102" s="1" t="s">
        <v>604</v>
      </c>
      <c r="C102" s="1"/>
      <c r="D102" s="138">
        <v>0.19600000000000001</v>
      </c>
      <c r="E102" s="138">
        <v>0.20100000000000001</v>
      </c>
      <c r="F102" s="138">
        <v>0.2</v>
      </c>
      <c r="G102" s="138">
        <v>0.20100000000000001</v>
      </c>
      <c r="H102" s="138">
        <v>0.20100000000000001</v>
      </c>
      <c r="I102" s="138">
        <v>0.20200000000000001</v>
      </c>
      <c r="J102" s="138">
        <v>0.20200000000000001</v>
      </c>
      <c r="K102" s="138">
        <v>0.187</v>
      </c>
      <c r="L102" s="138">
        <v>0.152</v>
      </c>
      <c r="M102" s="138">
        <v>0.156</v>
      </c>
      <c r="N102" s="138">
        <v>0.17599999999999999</v>
      </c>
      <c r="O102" s="138">
        <v>0.129</v>
      </c>
      <c r="P102" s="138">
        <v>0.14000000000000001</v>
      </c>
      <c r="Q102" s="138">
        <v>0.152</v>
      </c>
      <c r="R102" s="137"/>
      <c r="S102" s="138">
        <v>0.187</v>
      </c>
      <c r="T102" s="138">
        <v>0.19400000000000001</v>
      </c>
      <c r="U102" s="138">
        <v>0.19800000000000001</v>
      </c>
      <c r="V102" s="138">
        <v>0.2</v>
      </c>
      <c r="W102" s="138">
        <v>0.186</v>
      </c>
      <c r="X102" s="138">
        <v>0.19400000000000001</v>
      </c>
      <c r="Y102" s="138">
        <v>0.19900000000000001</v>
      </c>
      <c r="Z102" s="283">
        <f t="shared" si="63"/>
        <v>0.20100000000000001</v>
      </c>
      <c r="AA102" s="138">
        <v>0.191</v>
      </c>
      <c r="AB102" s="283">
        <f t="shared" si="64"/>
        <v>0.19400000000000001</v>
      </c>
      <c r="AC102" s="138">
        <v>0.19700000000000001</v>
      </c>
      <c r="AD102" s="283">
        <f t="shared" si="65"/>
        <v>0.20200000000000001</v>
      </c>
      <c r="AE102" s="283">
        <f t="shared" si="65"/>
        <v>0.20200000000000001</v>
      </c>
      <c r="AF102" s="138">
        <v>0.19700000000000001</v>
      </c>
      <c r="AG102" s="138">
        <v>0.19700000000000001</v>
      </c>
      <c r="AH102" s="283">
        <f t="shared" si="66"/>
        <v>0.19900000000000001</v>
      </c>
      <c r="AI102" s="138">
        <v>0.20699999999999999</v>
      </c>
      <c r="AJ102" s="283">
        <f t="shared" si="67"/>
        <v>0.187</v>
      </c>
      <c r="AK102" s="138">
        <v>0.159</v>
      </c>
      <c r="AL102" s="283">
        <f t="shared" si="68"/>
        <v>0.16</v>
      </c>
      <c r="AM102" s="138">
        <v>0.16200000000000001</v>
      </c>
      <c r="AN102" s="138">
        <v>0.16200000000000001</v>
      </c>
      <c r="AO102" s="283">
        <f t="shared" si="69"/>
        <v>0.152</v>
      </c>
      <c r="AP102" s="138">
        <v>0.14899999999999999</v>
      </c>
      <c r="AQ102" s="283">
        <f t="shared" si="70"/>
        <v>0.14799999999999999</v>
      </c>
      <c r="AR102" s="138">
        <v>0.15</v>
      </c>
      <c r="AS102" s="283">
        <f>M102</f>
        <v>0.156</v>
      </c>
      <c r="AT102" s="138">
        <v>0.161</v>
      </c>
      <c r="AU102" s="283">
        <f>BR102</f>
        <v>0.16900000000000001</v>
      </c>
      <c r="AV102" s="138">
        <v>0.17699999999999999</v>
      </c>
      <c r="AW102" s="283">
        <f>N102</f>
        <v>0.17599999999999999</v>
      </c>
      <c r="AX102" s="138">
        <v>0.16600000000000001</v>
      </c>
      <c r="AY102" s="283">
        <f>BS102</f>
        <v>0.151</v>
      </c>
      <c r="AZ102" s="138">
        <v>0.13800000000000001</v>
      </c>
      <c r="BA102" s="283">
        <f>O102</f>
        <v>0.129</v>
      </c>
      <c r="BB102" s="138">
        <v>0.128</v>
      </c>
      <c r="BC102" s="283">
        <f>BT102</f>
        <v>0.13400000000000001</v>
      </c>
      <c r="BD102" s="138">
        <v>0.13800000000000001</v>
      </c>
      <c r="BE102" s="283">
        <f>P102</f>
        <v>0.14000000000000001</v>
      </c>
      <c r="BF102" s="138">
        <v>0.14199999999999999</v>
      </c>
      <c r="BG102" s="283">
        <f>BU102</f>
        <v>0.14399999999999999</v>
      </c>
      <c r="BH102" s="138">
        <v>0.14699999999999999</v>
      </c>
      <c r="BI102" s="283">
        <f>Q102</f>
        <v>0.152</v>
      </c>
      <c r="BJ102" s="138">
        <v>0.159</v>
      </c>
      <c r="BK102" s="263"/>
      <c r="BL102" s="138">
        <v>0.19400000000000001</v>
      </c>
      <c r="BM102" s="138">
        <v>0.19400000000000001</v>
      </c>
      <c r="BN102" s="138">
        <v>0.19400000000000001</v>
      </c>
      <c r="BO102" s="138">
        <v>0.19900000000000001</v>
      </c>
      <c r="BP102" s="138">
        <v>0.16</v>
      </c>
      <c r="BQ102" s="138">
        <v>0.14799999999999999</v>
      </c>
      <c r="BR102" s="138">
        <v>0.16900000000000001</v>
      </c>
      <c r="BS102" s="138">
        <v>0.151</v>
      </c>
      <c r="BT102" s="138">
        <v>0.13400000000000001</v>
      </c>
      <c r="BU102" s="138">
        <v>0.14399999999999999</v>
      </c>
      <c r="BW102" s="138">
        <v>0.19900000000000001</v>
      </c>
    </row>
    <row r="103" spans="2:75">
      <c r="B103" s="1" t="s">
        <v>605</v>
      </c>
      <c r="C103" s="1"/>
      <c r="D103" s="138">
        <v>0.42499999999999999</v>
      </c>
      <c r="E103" s="138">
        <v>0.38700000000000001</v>
      </c>
      <c r="F103" s="138">
        <v>0.38800000000000001</v>
      </c>
      <c r="G103" s="138">
        <v>0.376</v>
      </c>
      <c r="H103" s="138">
        <v>0.376</v>
      </c>
      <c r="I103" s="138">
        <v>0.36099999999999999</v>
      </c>
      <c r="J103" s="138">
        <v>0.36099999999999999</v>
      </c>
      <c r="K103" s="138">
        <v>0.374</v>
      </c>
      <c r="L103" s="138">
        <v>0.33100000000000002</v>
      </c>
      <c r="M103" s="138">
        <v>0.34499999999999997</v>
      </c>
      <c r="N103" s="138">
        <v>0.35399999999999998</v>
      </c>
      <c r="O103" s="138">
        <v>0.33300000000000002</v>
      </c>
      <c r="P103" s="138">
        <v>0.31</v>
      </c>
      <c r="Q103" s="138">
        <v>0.309</v>
      </c>
      <c r="R103" s="135"/>
      <c r="S103" s="138">
        <v>0.36599999999999999</v>
      </c>
      <c r="T103" s="138">
        <v>0.38500000000000001</v>
      </c>
      <c r="U103" s="138">
        <v>0.38700000000000001</v>
      </c>
      <c r="V103" s="138">
        <v>0.38800000000000001</v>
      </c>
      <c r="W103" s="138">
        <v>0.35199999999999998</v>
      </c>
      <c r="X103" s="138">
        <v>0.373</v>
      </c>
      <c r="Y103" s="138">
        <v>0.373</v>
      </c>
      <c r="Z103" s="283">
        <f t="shared" si="63"/>
        <v>0.376</v>
      </c>
      <c r="AA103" s="138">
        <v>0.32800000000000001</v>
      </c>
      <c r="AB103" s="283">
        <f t="shared" si="64"/>
        <v>0.35599999999999998</v>
      </c>
      <c r="AC103" s="138">
        <v>0.35599999999999998</v>
      </c>
      <c r="AD103" s="283">
        <f t="shared" si="65"/>
        <v>0.36099999999999999</v>
      </c>
      <c r="AE103" s="283">
        <f t="shared" si="65"/>
        <v>0.36099999999999999</v>
      </c>
      <c r="AF103" s="138">
        <v>0.35299999999999998</v>
      </c>
      <c r="AG103" s="138">
        <v>0.35299999999999998</v>
      </c>
      <c r="AH103" s="283">
        <f t="shared" si="66"/>
        <v>0.38600000000000001</v>
      </c>
      <c r="AI103" s="138">
        <v>0.37</v>
      </c>
      <c r="AJ103" s="283">
        <f t="shared" si="67"/>
        <v>0.374</v>
      </c>
      <c r="AK103" s="138">
        <v>0.35399999999999998</v>
      </c>
      <c r="AL103" s="283">
        <f t="shared" si="68"/>
        <v>0.34200000000000003</v>
      </c>
      <c r="AM103" s="138">
        <v>0.34200000000000003</v>
      </c>
      <c r="AN103" s="138">
        <v>0.34200000000000003</v>
      </c>
      <c r="AO103" s="283">
        <f t="shared" si="69"/>
        <v>0.33100000000000002</v>
      </c>
      <c r="AP103" s="138">
        <v>0.32900000000000001</v>
      </c>
      <c r="AQ103" s="283">
        <f t="shared" si="70"/>
        <v>0.33900000000000002</v>
      </c>
      <c r="AR103" s="138">
        <v>0.34399999999999997</v>
      </c>
      <c r="AS103" s="283">
        <f>M103</f>
        <v>0.34499999999999997</v>
      </c>
      <c r="AT103" s="138">
        <v>0.34899999999999998</v>
      </c>
      <c r="AU103" s="283">
        <f>BR103</f>
        <v>0.34899999999999998</v>
      </c>
      <c r="AV103" s="138">
        <v>0.35099999999999998</v>
      </c>
      <c r="AW103" s="283">
        <f>N103</f>
        <v>0.35399999999999998</v>
      </c>
      <c r="AX103" s="138">
        <v>0.35199999999999998</v>
      </c>
      <c r="AY103" s="283">
        <f>BS103</f>
        <v>0.34699999999999998</v>
      </c>
      <c r="AZ103" s="138">
        <v>0.34200000000000003</v>
      </c>
      <c r="BA103" s="283">
        <f>O103</f>
        <v>0.33300000000000002</v>
      </c>
      <c r="BB103" s="138">
        <v>0.32600000000000001</v>
      </c>
      <c r="BC103" s="283">
        <f>BT103</f>
        <v>0.31900000000000001</v>
      </c>
      <c r="BD103" s="138">
        <v>0.312</v>
      </c>
      <c r="BE103" s="283">
        <f>P103</f>
        <v>0.31</v>
      </c>
      <c r="BF103" s="138">
        <v>0.309</v>
      </c>
      <c r="BG103" s="283">
        <f>BU103</f>
        <v>0.31</v>
      </c>
      <c r="BH103" s="138">
        <v>0.311</v>
      </c>
      <c r="BI103" s="283">
        <f>Q103</f>
        <v>0.309</v>
      </c>
      <c r="BJ103" s="138">
        <v>0.30599999999999999</v>
      </c>
      <c r="BK103" s="263"/>
      <c r="BL103" s="138">
        <v>0.38500000000000001</v>
      </c>
      <c r="BM103" s="138">
        <v>0.373</v>
      </c>
      <c r="BN103" s="138">
        <v>0.35599999999999998</v>
      </c>
      <c r="BO103" s="138">
        <v>0.38600000000000001</v>
      </c>
      <c r="BP103" s="138">
        <v>0.34200000000000003</v>
      </c>
      <c r="BQ103" s="138">
        <v>0.33900000000000002</v>
      </c>
      <c r="BR103" s="138">
        <v>0.34899999999999998</v>
      </c>
      <c r="BS103" s="138">
        <v>0.34699999999999998</v>
      </c>
      <c r="BT103" s="138">
        <v>0.31900000000000001</v>
      </c>
      <c r="BU103" s="138">
        <v>0.31</v>
      </c>
      <c r="BW103" s="138">
        <v>0.38600000000000001</v>
      </c>
    </row>
    <row r="104" spans="2:75">
      <c r="B104" s="1" t="s">
        <v>606</v>
      </c>
      <c r="C104" s="1"/>
      <c r="D104" s="138">
        <v>0.25700000000000001</v>
      </c>
      <c r="E104" s="138">
        <v>0.246</v>
      </c>
      <c r="F104" s="138">
        <v>0.254</v>
      </c>
      <c r="G104" s="138">
        <v>0.253</v>
      </c>
      <c r="H104" s="138">
        <v>0.253</v>
      </c>
      <c r="I104" s="138">
        <v>0.22800000000000001</v>
      </c>
      <c r="J104" s="138">
        <v>0.22800000000000001</v>
      </c>
      <c r="K104" s="138">
        <v>0.14799999999999999</v>
      </c>
      <c r="L104" s="138">
        <v>0.154</v>
      </c>
      <c r="M104" s="510"/>
      <c r="N104" s="510"/>
      <c r="O104" s="510"/>
      <c r="P104" s="510"/>
      <c r="Q104" s="510"/>
      <c r="R104" s="135"/>
      <c r="S104" s="138">
        <v>0.252</v>
      </c>
      <c r="T104" s="138">
        <v>0.26100000000000001</v>
      </c>
      <c r="U104" s="138">
        <v>0.25600000000000001</v>
      </c>
      <c r="V104" s="138">
        <v>0.254</v>
      </c>
      <c r="W104" s="138">
        <v>0.23</v>
      </c>
      <c r="X104" s="138">
        <v>0.25</v>
      </c>
      <c r="Y104" s="138">
        <v>0.251</v>
      </c>
      <c r="Z104" s="283">
        <f t="shared" si="63"/>
        <v>0.253</v>
      </c>
      <c r="AA104" s="138">
        <v>0.25700000000000001</v>
      </c>
      <c r="AB104" s="283">
        <f t="shared" si="64"/>
        <v>0.23100000000000001</v>
      </c>
      <c r="AC104" s="138">
        <v>0.22900000000000001</v>
      </c>
      <c r="AD104" s="283">
        <f t="shared" si="65"/>
        <v>0.22800000000000001</v>
      </c>
      <c r="AE104" s="283">
        <f t="shared" si="65"/>
        <v>0.22800000000000001</v>
      </c>
      <c r="AF104" s="138">
        <v>0.182</v>
      </c>
      <c r="AG104" s="138">
        <v>0.182</v>
      </c>
      <c r="AH104" s="283">
        <f t="shared" si="66"/>
        <v>0.161</v>
      </c>
      <c r="AI104" s="138">
        <v>0.22</v>
      </c>
      <c r="AJ104" s="283">
        <f t="shared" si="67"/>
        <v>0.14799999999999999</v>
      </c>
      <c r="AK104" s="138">
        <v>0.159</v>
      </c>
      <c r="AL104" s="283">
        <f t="shared" si="68"/>
        <v>0.16400000000000001</v>
      </c>
      <c r="AM104" s="138">
        <v>0.16200000000000001</v>
      </c>
      <c r="AN104" s="138">
        <v>0.16200000000000001</v>
      </c>
      <c r="AO104" s="283">
        <f t="shared" si="69"/>
        <v>0.154</v>
      </c>
      <c r="AP104" s="138">
        <v>0.218</v>
      </c>
      <c r="AQ104" s="283" t="str">
        <f t="shared" si="70"/>
        <v>N/A</v>
      </c>
      <c r="AR104" s="361">
        <v>0.16200000000000001</v>
      </c>
      <c r="AS104" s="511"/>
      <c r="AT104" s="511"/>
      <c r="AU104" s="511"/>
      <c r="AV104" s="511"/>
      <c r="AW104" s="511"/>
      <c r="AX104" s="511"/>
      <c r="AY104" s="511"/>
      <c r="AZ104" s="511"/>
      <c r="BA104" s="511"/>
      <c r="BB104" s="511"/>
      <c r="BC104" s="511"/>
      <c r="BD104" s="511"/>
      <c r="BE104" s="511"/>
      <c r="BF104" s="511"/>
      <c r="BG104" s="511"/>
      <c r="BH104" s="511"/>
      <c r="BI104" s="511"/>
      <c r="BJ104" s="511"/>
      <c r="BK104" s="263"/>
      <c r="BL104" s="138">
        <v>0.26100000000000001</v>
      </c>
      <c r="BM104" s="138">
        <v>0.25</v>
      </c>
      <c r="BN104" s="138">
        <v>0.23100000000000001</v>
      </c>
      <c r="BO104" s="138">
        <v>0.161</v>
      </c>
      <c r="BP104" s="138">
        <v>0.16400000000000001</v>
      </c>
      <c r="BQ104" s="366" t="s">
        <v>567</v>
      </c>
      <c r="BR104" s="366" t="s">
        <v>567</v>
      </c>
      <c r="BS104" s="366" t="s">
        <v>567</v>
      </c>
      <c r="BT104" s="366" t="s">
        <v>567</v>
      </c>
      <c r="BU104" s="366" t="s">
        <v>567</v>
      </c>
      <c r="BW104" s="138">
        <v>0.161</v>
      </c>
    </row>
    <row r="105" spans="2:75">
      <c r="B105" s="1" t="s">
        <v>607</v>
      </c>
      <c r="C105" s="1"/>
      <c r="D105" s="138">
        <v>0.25700000000000001</v>
      </c>
      <c r="E105" s="138">
        <v>0.245</v>
      </c>
      <c r="F105" s="138">
        <v>0.24199999999999999</v>
      </c>
      <c r="G105" s="138">
        <v>0.23100000000000001</v>
      </c>
      <c r="H105" s="138">
        <v>0.23100000000000001</v>
      </c>
      <c r="I105" s="138">
        <v>0.23300000000000001</v>
      </c>
      <c r="J105" s="138">
        <v>0.23300000000000001</v>
      </c>
      <c r="K105" s="138">
        <v>0.25700000000000001</v>
      </c>
      <c r="L105" s="138">
        <v>0.22</v>
      </c>
      <c r="M105" s="138">
        <v>0.224</v>
      </c>
      <c r="N105" s="138">
        <v>0.23499999999999999</v>
      </c>
      <c r="O105" s="138">
        <v>0.21099999999999999</v>
      </c>
      <c r="P105" s="138">
        <v>0.185</v>
      </c>
      <c r="Q105" s="138">
        <v>0.18099999999999999</v>
      </c>
      <c r="R105" s="1"/>
      <c r="S105" s="138">
        <v>0.20300000000000001</v>
      </c>
      <c r="T105" s="138">
        <v>0.23300000000000001</v>
      </c>
      <c r="U105" s="138">
        <v>0.23200000000000001</v>
      </c>
      <c r="V105" s="138">
        <v>0.24199999999999999</v>
      </c>
      <c r="W105" s="138">
        <v>0.20399999999999999</v>
      </c>
      <c r="X105" s="138">
        <v>0.221</v>
      </c>
      <c r="Y105" s="138">
        <v>0.216</v>
      </c>
      <c r="Z105" s="283">
        <f t="shared" si="63"/>
        <v>0.23100000000000001</v>
      </c>
      <c r="AA105" s="138">
        <v>0.19600000000000001</v>
      </c>
      <c r="AB105" s="283">
        <f t="shared" si="64"/>
        <v>0.22</v>
      </c>
      <c r="AC105" s="138">
        <v>0.221</v>
      </c>
      <c r="AD105" s="283">
        <f t="shared" si="65"/>
        <v>0.23300000000000001</v>
      </c>
      <c r="AE105" s="283">
        <f t="shared" si="65"/>
        <v>0.23300000000000001</v>
      </c>
      <c r="AF105" s="138">
        <v>0.20200000000000001</v>
      </c>
      <c r="AG105" s="138">
        <v>0.20200000000000001</v>
      </c>
      <c r="AH105" s="283">
        <f t="shared" si="66"/>
        <v>0.24199999999999999</v>
      </c>
      <c r="AI105" s="138">
        <v>0.13900000000000001</v>
      </c>
      <c r="AJ105" s="283">
        <f t="shared" si="67"/>
        <v>0.25700000000000001</v>
      </c>
      <c r="AK105" s="138">
        <v>0.21099999999999999</v>
      </c>
      <c r="AL105" s="283">
        <f t="shared" si="68"/>
        <v>0.215</v>
      </c>
      <c r="AM105" s="138">
        <v>0.23</v>
      </c>
      <c r="AN105" s="138">
        <v>0.23</v>
      </c>
      <c r="AO105" s="283">
        <f t="shared" si="69"/>
        <v>0.22</v>
      </c>
      <c r="AP105" s="138">
        <v>0.127</v>
      </c>
      <c r="AQ105" s="283">
        <f t="shared" si="70"/>
        <v>0.221</v>
      </c>
      <c r="AR105" s="138">
        <v>0.22</v>
      </c>
      <c r="AS105" s="283">
        <f>M105</f>
        <v>0.224</v>
      </c>
      <c r="AT105" s="138">
        <v>0.22700000000000001</v>
      </c>
      <c r="AU105" s="283">
        <f>BR105</f>
        <v>0.22800000000000001</v>
      </c>
      <c r="AV105" s="138">
        <v>0.23100000000000001</v>
      </c>
      <c r="AW105" s="283">
        <f>N105</f>
        <v>0.23499999999999999</v>
      </c>
      <c r="AX105" s="138">
        <v>0.23100000000000001</v>
      </c>
      <c r="AY105" s="283">
        <f>BS105</f>
        <v>0.22600000000000001</v>
      </c>
      <c r="AZ105" s="138">
        <v>0.22</v>
      </c>
      <c r="BA105" s="283">
        <f>O105</f>
        <v>0.21099999999999999</v>
      </c>
      <c r="BB105" s="138">
        <v>0.20399999999999999</v>
      </c>
      <c r="BC105" s="283">
        <f>BT105</f>
        <v>0.19900000000000001</v>
      </c>
      <c r="BD105" s="138">
        <v>0.19400000000000001</v>
      </c>
      <c r="BE105" s="283">
        <f>P105</f>
        <v>0.185</v>
      </c>
      <c r="BF105" s="138">
        <v>0.183</v>
      </c>
      <c r="BG105" s="283">
        <f>BU105</f>
        <v>0.182</v>
      </c>
      <c r="BH105" s="138">
        <v>0.18</v>
      </c>
      <c r="BI105" s="283">
        <f>Q105</f>
        <v>0.18099999999999999</v>
      </c>
      <c r="BJ105" s="138">
        <v>0.18</v>
      </c>
      <c r="BK105" s="263"/>
      <c r="BL105" s="138">
        <v>0.23300000000000001</v>
      </c>
      <c r="BM105" s="138">
        <v>0.221</v>
      </c>
      <c r="BN105" s="138">
        <v>0.22</v>
      </c>
      <c r="BO105" s="138">
        <v>0.24199999999999999</v>
      </c>
      <c r="BP105" s="138">
        <v>0.215</v>
      </c>
      <c r="BQ105" s="138">
        <v>0.221</v>
      </c>
      <c r="BR105" s="138">
        <v>0.22800000000000001</v>
      </c>
      <c r="BS105" s="138">
        <v>0.22600000000000001</v>
      </c>
      <c r="BT105" s="138">
        <v>0.19900000000000001</v>
      </c>
      <c r="BU105" s="138">
        <v>0.182</v>
      </c>
      <c r="BW105" s="138">
        <v>0.24199999999999999</v>
      </c>
    </row>
    <row r="106" spans="2:75">
      <c r="B106" s="1" t="s">
        <v>608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38">
        <v>0.126</v>
      </c>
      <c r="P106" s="138">
        <v>0.11899999999999999</v>
      </c>
      <c r="Q106" s="138">
        <v>0.122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283">
        <f>O106</f>
        <v>0.126</v>
      </c>
      <c r="BB106" s="1"/>
      <c r="BC106" s="1"/>
      <c r="BD106" s="138">
        <v>0.11899999999999999</v>
      </c>
      <c r="BE106" s="283">
        <f>P106</f>
        <v>0.11899999999999999</v>
      </c>
      <c r="BF106" s="138">
        <v>0.11899999999999999</v>
      </c>
      <c r="BG106" s="1"/>
      <c r="BH106" s="138">
        <v>0.123</v>
      </c>
      <c r="BI106" s="283">
        <f>Q106</f>
        <v>0.122</v>
      </c>
      <c r="BJ106" s="138">
        <v>0.12</v>
      </c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W106" s="1"/>
    </row>
    <row r="107" spans="2:7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W107" s="1"/>
    </row>
    <row r="108" spans="2:75">
      <c r="B108" s="120" t="s">
        <v>609</v>
      </c>
      <c r="C108" s="120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62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62"/>
      <c r="BL108" s="82"/>
      <c r="BM108" s="82"/>
      <c r="BN108" s="82"/>
      <c r="BO108" s="82"/>
      <c r="BP108" s="82"/>
      <c r="BQ108" s="82"/>
      <c r="BR108" s="82"/>
      <c r="BS108" s="82"/>
      <c r="BT108" s="82"/>
      <c r="BU108" s="82"/>
      <c r="BW108" s="82"/>
    </row>
    <row r="109" spans="2:7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W109" s="1"/>
    </row>
    <row r="110" spans="2:7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W110" s="1"/>
    </row>
    <row r="111" spans="2:75">
      <c r="B111" s="5" t="s">
        <v>521</v>
      </c>
      <c r="C111" s="1"/>
      <c r="D111" s="163">
        <f t="shared" ref="D111:I111" si="71">+SUM(D112:D117)</f>
        <v>4284591.7489999998</v>
      </c>
      <c r="E111" s="163">
        <f t="shared" si="71"/>
        <v>4631523.4220000003</v>
      </c>
      <c r="F111" s="163">
        <f t="shared" si="71"/>
        <v>4928063.8999999994</v>
      </c>
      <c r="G111" s="163">
        <f t="shared" si="71"/>
        <v>5139250.5150000006</v>
      </c>
      <c r="H111" s="163">
        <f t="shared" si="71"/>
        <v>5128154.6790000005</v>
      </c>
      <c r="I111" s="163">
        <f t="shared" si="71"/>
        <v>5386962.9100000011</v>
      </c>
      <c r="J111" s="163">
        <f t="shared" ref="J111:O111" si="72">+SUM(J112:J117)</f>
        <v>4880283.9820000008</v>
      </c>
      <c r="K111" s="163">
        <f t="shared" si="72"/>
        <v>4743393.0090000005</v>
      </c>
      <c r="L111" s="163">
        <f t="shared" si="72"/>
        <v>5064102.3969999989</v>
      </c>
      <c r="M111" s="163">
        <f t="shared" si="72"/>
        <v>6808483.3880000003</v>
      </c>
      <c r="N111" s="163">
        <v>6443601.2479999997</v>
      </c>
      <c r="O111" s="163">
        <f t="shared" si="72"/>
        <v>5209177.034</v>
      </c>
      <c r="P111" s="163">
        <f>+SUM(P112:P117)</f>
        <v>5406558.4990000008</v>
      </c>
      <c r="Q111" s="163">
        <f>+SUM(Q112:Q117)</f>
        <v>5879467.4999999991</v>
      </c>
      <c r="R111" s="1"/>
      <c r="S111" s="163">
        <f t="shared" ref="S111:X111" si="73">+SUM(S112:S117)</f>
        <v>1216002.618</v>
      </c>
      <c r="T111" s="163">
        <f t="shared" si="73"/>
        <v>1221292.561</v>
      </c>
      <c r="U111" s="163">
        <f t="shared" si="73"/>
        <v>1165405.8099999998</v>
      </c>
      <c r="V111" s="150">
        <f>+SUM(V112:V117)</f>
        <v>1325362.9110000001</v>
      </c>
      <c r="W111" s="163">
        <f t="shared" si="73"/>
        <v>1258452.0329999998</v>
      </c>
      <c r="X111" s="163">
        <f t="shared" si="73"/>
        <v>1245230.7410000002</v>
      </c>
      <c r="Y111" s="163">
        <f t="shared" ref="Y111:AD111" si="74">+SUM(Y112:Y117)</f>
        <v>1203073.32</v>
      </c>
      <c r="Z111" s="163">
        <f t="shared" si="74"/>
        <v>1432494.4210000003</v>
      </c>
      <c r="AA111" s="163">
        <f t="shared" si="74"/>
        <v>1309891.6680000001</v>
      </c>
      <c r="AB111" s="150">
        <f t="shared" si="74"/>
        <v>1342001.0490000001</v>
      </c>
      <c r="AC111" s="150">
        <f t="shared" si="74"/>
        <v>1253519.9140000001</v>
      </c>
      <c r="AD111" s="150">
        <f t="shared" si="74"/>
        <v>1481550.2789999999</v>
      </c>
      <c r="AE111" s="150">
        <f t="shared" ref="AE111:AK111" si="75">+SUM(AE112:AE117)</f>
        <v>974871.35100000002</v>
      </c>
      <c r="AF111" s="163">
        <f t="shared" si="75"/>
        <v>1209743.4780000004</v>
      </c>
      <c r="AG111" s="163">
        <f t="shared" si="75"/>
        <v>1209743.4780000004</v>
      </c>
      <c r="AH111" s="150">
        <f t="shared" si="75"/>
        <v>1207064.905</v>
      </c>
      <c r="AI111" s="163">
        <f t="shared" si="75"/>
        <v>1124400.2569999998</v>
      </c>
      <c r="AJ111" s="150">
        <f t="shared" si="75"/>
        <v>1202184.3690000002</v>
      </c>
      <c r="AK111" s="163">
        <f t="shared" si="75"/>
        <v>1121196.0190000001</v>
      </c>
      <c r="AL111" s="150">
        <f t="shared" ref="AL111:AR111" si="76">+SUM(AL112:AL117)</f>
        <v>929701.75199999998</v>
      </c>
      <c r="AM111" s="163">
        <f t="shared" si="76"/>
        <v>1333908.5960000001</v>
      </c>
      <c r="AN111" s="163">
        <f>+SUM(AN112:AN117)</f>
        <v>1333908.5960000001</v>
      </c>
      <c r="AO111" s="150">
        <f t="shared" si="76"/>
        <v>1679296.0299999998</v>
      </c>
      <c r="AP111" s="163">
        <f t="shared" si="76"/>
        <v>1463664.7050000001</v>
      </c>
      <c r="AQ111" s="150">
        <f t="shared" si="76"/>
        <v>1629086.5310000002</v>
      </c>
      <c r="AR111" s="163">
        <f t="shared" si="76"/>
        <v>1733567.2889999999</v>
      </c>
      <c r="AS111" s="150">
        <f t="shared" ref="AS111:AX111" si="77">+SUM(AS112:AS117)</f>
        <v>1982164.8630000004</v>
      </c>
      <c r="AT111" s="163">
        <f t="shared" si="77"/>
        <v>1669413.405</v>
      </c>
      <c r="AU111" s="150">
        <f t="shared" si="77"/>
        <v>1638967.443</v>
      </c>
      <c r="AV111" s="163">
        <f t="shared" si="77"/>
        <v>1463455.8589999997</v>
      </c>
      <c r="AW111" s="150">
        <f t="shared" si="77"/>
        <v>1671764.5410000004</v>
      </c>
      <c r="AX111" s="163">
        <f t="shared" si="77"/>
        <v>1458699.5599999998</v>
      </c>
      <c r="AY111" s="150">
        <f t="shared" ref="AY111:BD111" si="78">+SUM(AY112:AY117)</f>
        <v>1440302.5790000001</v>
      </c>
      <c r="AZ111" s="163">
        <f t="shared" si="78"/>
        <v>1273230.97</v>
      </c>
      <c r="BA111" s="150">
        <f t="shared" si="78"/>
        <v>1036943.925</v>
      </c>
      <c r="BB111" s="163">
        <f t="shared" si="78"/>
        <v>1437729.8290000001</v>
      </c>
      <c r="BC111" s="150">
        <f t="shared" si="78"/>
        <v>1493115.5999999999</v>
      </c>
      <c r="BD111" s="163">
        <f t="shared" si="78"/>
        <v>1400261.4650000003</v>
      </c>
      <c r="BE111" s="150">
        <f t="shared" ref="BE111:BJ111" si="79">+SUM(BE112:BE117)</f>
        <v>1075451.6050000002</v>
      </c>
      <c r="BF111" s="163">
        <f t="shared" si="79"/>
        <v>1611832.318</v>
      </c>
      <c r="BG111" s="150">
        <f t="shared" si="79"/>
        <v>1576064.1869999999</v>
      </c>
      <c r="BH111" s="163">
        <f t="shared" si="79"/>
        <v>1009235.4699999999</v>
      </c>
      <c r="BI111" s="150">
        <f t="shared" si="79"/>
        <v>1682335.5249999999</v>
      </c>
      <c r="BJ111" s="163">
        <f t="shared" si="79"/>
        <v>1463300.8539999998</v>
      </c>
      <c r="BK111" s="197"/>
      <c r="BL111" s="163">
        <f t="shared" ref="BL111:BQ111" si="80">+SUM(BL112:BL117)</f>
        <v>2437295.1790000005</v>
      </c>
      <c r="BM111" s="163">
        <f t="shared" si="80"/>
        <v>2503682.7740000002</v>
      </c>
      <c r="BN111" s="163">
        <f t="shared" si="80"/>
        <v>2651892.7170000002</v>
      </c>
      <c r="BO111" s="163">
        <f t="shared" si="80"/>
        <v>2416808.3830000004</v>
      </c>
      <c r="BP111" s="163">
        <f t="shared" si="80"/>
        <v>2050897.7710000002</v>
      </c>
      <c r="BQ111" s="163">
        <f t="shared" si="80"/>
        <v>3092751.236</v>
      </c>
      <c r="BR111" s="163">
        <f>+SUM(BR112:BR117)</f>
        <v>3308380.8479999998</v>
      </c>
      <c r="BS111" s="163">
        <f>+SUM(BS112:BS117)</f>
        <v>2899002.139</v>
      </c>
      <c r="BT111" s="163">
        <f>+SUM(BT112:BT117)</f>
        <v>2930845.4289999995</v>
      </c>
      <c r="BU111" s="163">
        <f>+SUM(BU112:BU117)</f>
        <v>3187896.5049999999</v>
      </c>
      <c r="BW111" s="163">
        <f>+SUM(BW112:BW117)</f>
        <v>2416808.3830000004</v>
      </c>
    </row>
    <row r="112" spans="2:75">
      <c r="B112" s="1" t="s">
        <v>610</v>
      </c>
      <c r="C112" s="1"/>
      <c r="D112" s="140">
        <v>1300447.6470000001</v>
      </c>
      <c r="E112" s="140">
        <v>1354273.088</v>
      </c>
      <c r="F112" s="140">
        <v>1471981.905</v>
      </c>
      <c r="G112" s="140">
        <v>1535036.121</v>
      </c>
      <c r="H112" s="140">
        <v>1534916.45</v>
      </c>
      <c r="I112" s="140">
        <v>1525908.483</v>
      </c>
      <c r="J112" s="140">
        <v>1525908.483</v>
      </c>
      <c r="K112" s="140">
        <v>1472210.6170000001</v>
      </c>
      <c r="L112" s="140">
        <v>1554181.69</v>
      </c>
      <c r="M112" s="140">
        <v>2205805.4870000002</v>
      </c>
      <c r="N112" s="140">
        <v>2016957.0120000001</v>
      </c>
      <c r="O112" s="140">
        <v>1860536.064</v>
      </c>
      <c r="P112" s="140">
        <v>1964086.558</v>
      </c>
      <c r="Q112" s="140">
        <v>2240970.0129999998</v>
      </c>
      <c r="R112" s="1"/>
      <c r="S112" s="197">
        <f>BL112-T112</f>
        <v>330972.23300000001</v>
      </c>
      <c r="T112" s="140">
        <v>354058</v>
      </c>
      <c r="U112" s="140">
        <f>1015347.836-T112-S112</f>
        <v>330317.603</v>
      </c>
      <c r="V112" s="151">
        <f t="shared" ref="V112:V117" si="81">F112-SUM(S112:U112)</f>
        <v>456634.06900000002</v>
      </c>
      <c r="W112" s="151">
        <f>BM112-X112</f>
        <v>354880.12</v>
      </c>
      <c r="X112" s="140">
        <v>365829</v>
      </c>
      <c r="Y112" s="140">
        <f>1066831.845-X112-W112</f>
        <v>346122.72499999998</v>
      </c>
      <c r="Z112" s="151">
        <f t="shared" ref="Z112:Z117" si="82">G112-W112-X112-Y112</f>
        <v>468204.27600000019</v>
      </c>
      <c r="AA112" s="140">
        <v>351318.23300000001</v>
      </c>
      <c r="AB112" s="151">
        <f t="shared" ref="AB112:AB117" si="83">BN112-AA112</f>
        <v>381351.53599999996</v>
      </c>
      <c r="AC112" s="140">
        <f>1067012.142-AB112-AA112</f>
        <v>334342.37300000002</v>
      </c>
      <c r="AD112" s="151">
        <f t="shared" ref="AD112:AD117" si="84">I112-AC112-AB112-AA112</f>
        <v>458896.3409999999</v>
      </c>
      <c r="AE112" s="151">
        <f t="shared" ref="AE112:AE117" si="85">J112-AC112-AB112-AA112</f>
        <v>458896.3409999999</v>
      </c>
      <c r="AF112" s="140">
        <v>355354.3</v>
      </c>
      <c r="AG112" s="140">
        <v>355354.3</v>
      </c>
      <c r="AH112" s="151">
        <f>BO112-AF112</f>
        <v>363940.34300000005</v>
      </c>
      <c r="AI112" s="140">
        <f>1051259.055-AH112-AF112</f>
        <v>331964.41199999984</v>
      </c>
      <c r="AJ112" s="151">
        <f>K112-AI112-AH112-AF112</f>
        <v>420951.56200000021</v>
      </c>
      <c r="AK112" s="140">
        <v>299981</v>
      </c>
      <c r="AL112" s="151">
        <f>BP112-AK112</f>
        <v>241080</v>
      </c>
      <c r="AM112" s="140">
        <f>960810.846-AL112-AK112</f>
        <v>419749.84600000002</v>
      </c>
      <c r="AN112" s="140">
        <f>960810.846-AL112-AK112</f>
        <v>419749.84600000002</v>
      </c>
      <c r="AO112" s="151">
        <f>L112-AM112-AL112-AK112</f>
        <v>593370.84400000004</v>
      </c>
      <c r="AP112" s="140">
        <v>425469.489</v>
      </c>
      <c r="AQ112" s="151">
        <f>BQ112-AP112</f>
        <v>478631.69199999998</v>
      </c>
      <c r="AR112" s="140">
        <f>1485263.923-AQ112-AP112</f>
        <v>581162.74199999985</v>
      </c>
      <c r="AS112" s="151">
        <f>M112-AR112-AQ112-AP112</f>
        <v>720541.56400000025</v>
      </c>
      <c r="AT112" s="140">
        <v>483708.60200000001</v>
      </c>
      <c r="AU112" s="151">
        <f>BR112-AT112</f>
        <v>516285.47700000001</v>
      </c>
      <c r="AV112" s="140">
        <f>1444020.951-AU112-AT112</f>
        <v>444026.87199999992</v>
      </c>
      <c r="AW112" s="151">
        <f>N112-AV112-AU112-AT112</f>
        <v>572936.06100000022</v>
      </c>
      <c r="AX112" s="140">
        <v>389383.31199999998</v>
      </c>
      <c r="AY112" s="151">
        <f>BS112-AX112</f>
        <v>484551.93900000007</v>
      </c>
      <c r="AZ112" s="140">
        <f>1192803-AY112-AX112</f>
        <v>318867.74900000001</v>
      </c>
      <c r="BA112" s="151">
        <f>O112-AZ112-AY112-AX112</f>
        <v>667733.06400000001</v>
      </c>
      <c r="BB112" s="140">
        <v>383314</v>
      </c>
      <c r="BC112" s="151">
        <f>BT112-BB112</f>
        <v>506622.81599999999</v>
      </c>
      <c r="BD112" s="140">
        <f>1306729.171-BC112-BB112</f>
        <v>416792.3550000001</v>
      </c>
      <c r="BE112" s="151">
        <f>P112-BD112-BC112-BB112</f>
        <v>657357.38699999976</v>
      </c>
      <c r="BF112" s="140">
        <v>522856.93599999999</v>
      </c>
      <c r="BG112" s="151">
        <f>BU112-BF112</f>
        <v>532212.06400000001</v>
      </c>
      <c r="BH112" s="140">
        <f>1529795.821-BG112-BF112</f>
        <v>474726.821</v>
      </c>
      <c r="BI112" s="151">
        <f>Q112-BH112-BG112-BF112</f>
        <v>711174.19199999981</v>
      </c>
      <c r="BJ112" s="140">
        <v>504906.10200000001</v>
      </c>
      <c r="BK112" s="197"/>
      <c r="BL112" s="140">
        <v>685030.23300000001</v>
      </c>
      <c r="BM112" s="140">
        <v>720709.12</v>
      </c>
      <c r="BN112" s="140">
        <v>732669.76899999997</v>
      </c>
      <c r="BO112" s="140">
        <v>719294.64300000004</v>
      </c>
      <c r="BP112" s="140">
        <v>541061</v>
      </c>
      <c r="BQ112" s="140">
        <v>904101.18099999998</v>
      </c>
      <c r="BR112" s="140">
        <v>999994.07900000003</v>
      </c>
      <c r="BS112" s="140">
        <v>873935.25100000005</v>
      </c>
      <c r="BT112" s="140">
        <v>889936.81599999999</v>
      </c>
      <c r="BU112" s="140">
        <v>1055069</v>
      </c>
      <c r="BW112" s="140">
        <v>719294.64300000004</v>
      </c>
    </row>
    <row r="113" spans="2:75">
      <c r="B113" s="1" t="s">
        <v>611</v>
      </c>
      <c r="C113" s="1"/>
      <c r="D113" s="140">
        <v>1832390.236</v>
      </c>
      <c r="E113" s="140">
        <v>1967839.4890000001</v>
      </c>
      <c r="F113" s="140">
        <v>2000746.66</v>
      </c>
      <c r="G113" s="140">
        <v>2045240.7590000001</v>
      </c>
      <c r="H113" s="140">
        <v>2058298.0630000001</v>
      </c>
      <c r="I113" s="140">
        <v>2169506.0690000001</v>
      </c>
      <c r="J113" s="140">
        <v>2169506.0690000001</v>
      </c>
      <c r="K113" s="140">
        <v>2092652.5660000001</v>
      </c>
      <c r="L113" s="140">
        <v>2290251.443</v>
      </c>
      <c r="M113" s="140">
        <v>3255724.1490000002</v>
      </c>
      <c r="N113" s="140">
        <v>2957797.4589999998</v>
      </c>
      <c r="O113" s="140">
        <v>2364993.2609999999</v>
      </c>
      <c r="P113" s="140">
        <v>2422084.4840000002</v>
      </c>
      <c r="Q113" s="140">
        <v>2555785.7560000001</v>
      </c>
      <c r="R113" s="1"/>
      <c r="S113" s="197">
        <f>BL113-T113</f>
        <v>535958.69799999997</v>
      </c>
      <c r="T113" s="140">
        <v>511044</v>
      </c>
      <c r="U113" s="140">
        <f>1521641.434-T113-S113</f>
        <v>474638.73599999992</v>
      </c>
      <c r="V113" s="151">
        <f t="shared" si="81"/>
        <v>479105.22600000002</v>
      </c>
      <c r="W113" s="151">
        <f>BM113-X113</f>
        <v>531256.09100000001</v>
      </c>
      <c r="X113" s="140">
        <v>497577</v>
      </c>
      <c r="Y113" s="140">
        <f>1494600.335-X113-W113</f>
        <v>465767.24399999995</v>
      </c>
      <c r="Z113" s="151">
        <f t="shared" si="82"/>
        <v>550640.42400000012</v>
      </c>
      <c r="AA113" s="140">
        <v>566131.75</v>
      </c>
      <c r="AB113" s="151">
        <f t="shared" si="83"/>
        <v>548508.93299999996</v>
      </c>
      <c r="AC113" s="140">
        <f>1610017.158-AB113-AA113</f>
        <v>495376.47500000009</v>
      </c>
      <c r="AD113" s="151">
        <f t="shared" si="84"/>
        <v>559488.91100000008</v>
      </c>
      <c r="AE113" s="151">
        <f t="shared" si="85"/>
        <v>559488.91100000008</v>
      </c>
      <c r="AF113" s="140">
        <v>571847.89800000004</v>
      </c>
      <c r="AG113" s="140">
        <v>571847.89800000004</v>
      </c>
      <c r="AH113" s="151">
        <f>BO113-AF113</f>
        <v>529456.74099999992</v>
      </c>
      <c r="AI113" s="140">
        <f>1591703.857-AH113-AF113</f>
        <v>490399.21800000011</v>
      </c>
      <c r="AJ113" s="151">
        <f>K113-AI113-AH113-AF113</f>
        <v>500948.70900000003</v>
      </c>
      <c r="AK113" s="140">
        <v>528321</v>
      </c>
      <c r="AL113" s="151">
        <f>BP113-AK113</f>
        <v>418101</v>
      </c>
      <c r="AM113" s="140">
        <f>1561271.968-AL113-AK113</f>
        <v>614849.96800000011</v>
      </c>
      <c r="AN113" s="140">
        <f>1561271.968-AL113-AK113</f>
        <v>614849.96800000011</v>
      </c>
      <c r="AO113" s="151">
        <f>L113-AM113-AL113-AK113</f>
        <v>728979.47499999986</v>
      </c>
      <c r="AP113" s="140">
        <v>728350.13199999998</v>
      </c>
      <c r="AQ113" s="151">
        <f>BQ113-AP113</f>
        <v>819373.10400000005</v>
      </c>
      <c r="AR113" s="140">
        <f>2364237.435-AQ113-AP113</f>
        <v>816514.19900000002</v>
      </c>
      <c r="AS113" s="151">
        <f>M113-AR113-AQ113-AP113</f>
        <v>891486.71400000015</v>
      </c>
      <c r="AT113" s="140">
        <v>847987.43</v>
      </c>
      <c r="AU113" s="151">
        <f>BR113-AT113</f>
        <v>769868.07299999997</v>
      </c>
      <c r="AV113" s="140">
        <f>2267990.942-AU113-AT113</f>
        <v>650135.4389999999</v>
      </c>
      <c r="AW113" s="151">
        <f>N113-AV113-AU113-AT113</f>
        <v>689806.51700000011</v>
      </c>
      <c r="AX113" s="140">
        <v>662497.09199999995</v>
      </c>
      <c r="AY113" s="151">
        <f>BS113-AX113</f>
        <v>583261.36600000015</v>
      </c>
      <c r="AZ113" s="140">
        <f>1770834-AY113-AX113</f>
        <v>525075.5419999999</v>
      </c>
      <c r="BA113" s="151">
        <f>O113-AZ113-AY113-AX113</f>
        <v>594159.26099999994</v>
      </c>
      <c r="BB113" s="140">
        <v>624369</v>
      </c>
      <c r="BC113" s="151">
        <f>BT113-BB113</f>
        <v>587348.83700000006</v>
      </c>
      <c r="BD113" s="140">
        <f>1767371.229-BC113-BB113</f>
        <v>555653.39199999999</v>
      </c>
      <c r="BE113" s="151">
        <f>P113-BD113-BC113-BB113</f>
        <v>654713.25500000012</v>
      </c>
      <c r="BF113" s="140">
        <v>676044.60100000002</v>
      </c>
      <c r="BG113" s="151">
        <f>BU113-BF113</f>
        <v>629131.39899999998</v>
      </c>
      <c r="BH113" s="140">
        <f>1883554.312-BG113-BF113</f>
        <v>578378.31199999992</v>
      </c>
      <c r="BI113" s="151">
        <f>Q113-BH113-BG113-BF113</f>
        <v>672231.44400000013</v>
      </c>
      <c r="BJ113" s="140">
        <v>682481.56799999997</v>
      </c>
      <c r="BK113" s="197"/>
      <c r="BL113" s="140">
        <v>1047002.698</v>
      </c>
      <c r="BM113" s="140">
        <v>1028833.091</v>
      </c>
      <c r="BN113" s="140">
        <v>1114640.683</v>
      </c>
      <c r="BO113" s="140">
        <v>1101304.639</v>
      </c>
      <c r="BP113" s="140">
        <v>946422</v>
      </c>
      <c r="BQ113" s="140">
        <v>1547723.236</v>
      </c>
      <c r="BR113" s="140">
        <v>1617855.503</v>
      </c>
      <c r="BS113" s="140">
        <v>1245758.4580000001</v>
      </c>
      <c r="BT113" s="140">
        <v>1211717.8370000001</v>
      </c>
      <c r="BU113" s="140">
        <v>1305176</v>
      </c>
      <c r="BW113" s="140">
        <v>1101304.639</v>
      </c>
    </row>
    <row r="114" spans="2:75">
      <c r="B114" s="1" t="s">
        <v>612</v>
      </c>
      <c r="C114" s="1"/>
      <c r="D114" s="140">
        <v>609362.92799999996</v>
      </c>
      <c r="E114" s="140">
        <v>667358.26399999997</v>
      </c>
      <c r="F114" s="140">
        <v>705967.54500000004</v>
      </c>
      <c r="G114" s="140">
        <v>738765.78399999999</v>
      </c>
      <c r="H114" s="140">
        <v>738660.79299999995</v>
      </c>
      <c r="I114" s="140">
        <v>776141.60400000005</v>
      </c>
      <c r="J114" s="140">
        <v>776141.60400000005</v>
      </c>
      <c r="K114" s="140">
        <v>750664.89899999998</v>
      </c>
      <c r="L114" s="140">
        <v>867017.58600000001</v>
      </c>
      <c r="M114" s="140">
        <v>989973.95700000005</v>
      </c>
      <c r="N114" s="140">
        <v>1006466.991</v>
      </c>
      <c r="O114" s="140">
        <v>983647.70900000003</v>
      </c>
      <c r="P114" s="140">
        <v>1020387.4570000001</v>
      </c>
      <c r="Q114" s="140">
        <v>1082711.7309999999</v>
      </c>
      <c r="R114" s="1"/>
      <c r="S114" s="197">
        <f>BL114-T114</f>
        <v>169054.26</v>
      </c>
      <c r="T114" s="140">
        <v>169647</v>
      </c>
      <c r="U114" s="140">
        <f>514938.669-T114-S114</f>
        <v>176237.40899999999</v>
      </c>
      <c r="V114" s="151">
        <f t="shared" si="81"/>
        <v>191028.87600000005</v>
      </c>
      <c r="W114" s="151">
        <f>BM114-X114</f>
        <v>171565.65500000003</v>
      </c>
      <c r="X114" s="140">
        <v>180222</v>
      </c>
      <c r="Y114" s="140">
        <f>536372.525-X114-W114</f>
        <v>184584.87</v>
      </c>
      <c r="Z114" s="151">
        <f t="shared" si="82"/>
        <v>202393.25899999996</v>
      </c>
      <c r="AA114" s="140">
        <v>183184.19699999999</v>
      </c>
      <c r="AB114" s="151">
        <f t="shared" si="83"/>
        <v>192618.44699999999</v>
      </c>
      <c r="AC114" s="140">
        <f>572125.779-AB114-AA114</f>
        <v>196323.13500000001</v>
      </c>
      <c r="AD114" s="151">
        <f t="shared" si="84"/>
        <v>204015.82500000007</v>
      </c>
      <c r="AE114" s="151">
        <f t="shared" si="85"/>
        <v>204015.82500000007</v>
      </c>
      <c r="AF114" s="140">
        <v>185449.68400000001</v>
      </c>
      <c r="AG114" s="140">
        <v>185449.68400000001</v>
      </c>
      <c r="AH114" s="151">
        <f>BO114-AF114</f>
        <v>189583.13799999998</v>
      </c>
      <c r="AI114" s="140">
        <f>570477.437-AH114-AF114</f>
        <v>195444.61500000005</v>
      </c>
      <c r="AJ114" s="151">
        <f>K114-AI114-AH114-AF114</f>
        <v>180187.462</v>
      </c>
      <c r="AK114" s="140">
        <v>185416</v>
      </c>
      <c r="AL114" s="151">
        <f>BP114-AK114</f>
        <v>196993</v>
      </c>
      <c r="AM114" s="140">
        <f>613311.62-AL114-AK114</f>
        <v>230902.62</v>
      </c>
      <c r="AN114" s="140">
        <f>613311.62-AL114-AK114</f>
        <v>230902.62</v>
      </c>
      <c r="AO114" s="151">
        <f>L114-AM114-AL114-AK114</f>
        <v>253705.96600000001</v>
      </c>
      <c r="AP114" s="140">
        <v>222198.14300000001</v>
      </c>
      <c r="AQ114" s="151">
        <f>BQ114-AP114</f>
        <v>246256.682</v>
      </c>
      <c r="AR114" s="140">
        <f>718857.696-AQ114-AP114</f>
        <v>250402.87099999996</v>
      </c>
      <c r="AS114" s="151">
        <f>M114-AR114-AQ114-AP114</f>
        <v>271116.26100000006</v>
      </c>
      <c r="AT114" s="140">
        <v>240053.69899999999</v>
      </c>
      <c r="AU114" s="151">
        <f>BR114-AT114</f>
        <v>241103.40599999999</v>
      </c>
      <c r="AV114" s="140">
        <f>738002.845-AU114-AT114</f>
        <v>256845.74000000002</v>
      </c>
      <c r="AW114" s="151">
        <f>N114-AV114-AU114-AT114</f>
        <v>268464.14600000007</v>
      </c>
      <c r="AX114" s="140">
        <v>242400.20199999999</v>
      </c>
      <c r="AY114" s="151">
        <f>BS114-AX114</f>
        <v>238414.375</v>
      </c>
      <c r="AZ114" s="140">
        <f>724256-AY114-AX114</f>
        <v>243441.42300000001</v>
      </c>
      <c r="BA114" s="151">
        <f>O114-AZ114-AY114-AX114</f>
        <v>259391.70900000009</v>
      </c>
      <c r="BB114" s="140">
        <v>238696</v>
      </c>
      <c r="BC114" s="151">
        <f>BT114-BB114</f>
        <v>241417.87699999998</v>
      </c>
      <c r="BD114" s="140">
        <f>740724.33-BC114-BB114</f>
        <v>260610.45299999998</v>
      </c>
      <c r="BE114" s="151">
        <f>P114-BD114-BC114-BB114</f>
        <v>279663.12700000009</v>
      </c>
      <c r="BF114" s="140">
        <v>256885.68799999999</v>
      </c>
      <c r="BG114" s="151">
        <f>BU114-BF114</f>
        <v>254658.31200000001</v>
      </c>
      <c r="BH114" s="140">
        <f>783781.842-BG114-BF114</f>
        <v>272237.84199999995</v>
      </c>
      <c r="BI114" s="151">
        <f>Q114-BH114-BG114-BF114</f>
        <v>298929.88899999997</v>
      </c>
      <c r="BJ114" s="140">
        <v>275913.18400000001</v>
      </c>
      <c r="BK114" s="197"/>
      <c r="BL114" s="140">
        <v>338701.26</v>
      </c>
      <c r="BM114" s="140">
        <v>351787.65500000003</v>
      </c>
      <c r="BN114" s="140">
        <v>375802.64399999997</v>
      </c>
      <c r="BO114" s="140">
        <v>375032.82199999999</v>
      </c>
      <c r="BP114" s="140">
        <v>382409</v>
      </c>
      <c r="BQ114" s="140">
        <v>468454.82500000001</v>
      </c>
      <c r="BR114" s="140">
        <v>481157.10499999998</v>
      </c>
      <c r="BS114" s="140">
        <v>480814.57699999999</v>
      </c>
      <c r="BT114" s="140">
        <v>480113.87699999998</v>
      </c>
      <c r="BU114" s="140">
        <v>511544</v>
      </c>
      <c r="BW114" s="140">
        <v>375032.82199999999</v>
      </c>
    </row>
    <row r="115" spans="2:75">
      <c r="B115" s="1" t="s">
        <v>613</v>
      </c>
      <c r="C115" s="1"/>
      <c r="D115" s="140">
        <v>323491.04800000001</v>
      </c>
      <c r="E115" s="140">
        <v>356994.065</v>
      </c>
      <c r="F115" s="140">
        <v>414750.23</v>
      </c>
      <c r="G115" s="140">
        <v>467216.04700000002</v>
      </c>
      <c r="H115" s="140">
        <v>467216.04700000002</v>
      </c>
      <c r="I115" s="140">
        <v>506678.92800000001</v>
      </c>
      <c r="J115" s="302"/>
      <c r="K115" s="302"/>
      <c r="L115" s="302"/>
      <c r="M115" s="302"/>
      <c r="N115" s="512"/>
      <c r="O115" s="512"/>
      <c r="P115" s="512"/>
      <c r="Q115" s="512"/>
      <c r="R115" s="1"/>
      <c r="S115" s="197">
        <f>BL115-T115</f>
        <v>98284.962999999989</v>
      </c>
      <c r="T115" s="140">
        <v>101851</v>
      </c>
      <c r="U115" s="140">
        <f>304837.663-T115-S115</f>
        <v>104701.70000000001</v>
      </c>
      <c r="V115" s="151">
        <f t="shared" si="81"/>
        <v>109912.56699999998</v>
      </c>
      <c r="W115" s="151">
        <f>BM115-X115</f>
        <v>115573.82199999999</v>
      </c>
      <c r="X115" s="140">
        <v>116463</v>
      </c>
      <c r="Y115" s="140">
        <f>347350.024-X115-W115</f>
        <v>115313.20199999999</v>
      </c>
      <c r="Z115" s="151">
        <f t="shared" si="82"/>
        <v>119866.02300000004</v>
      </c>
      <c r="AA115" s="140">
        <v>123115.04300000001</v>
      </c>
      <c r="AB115" s="151">
        <f t="shared" si="83"/>
        <v>125921.32399999999</v>
      </c>
      <c r="AC115" s="140">
        <f>375621.681-AB115-AA115</f>
        <v>126585.31399999998</v>
      </c>
      <c r="AD115" s="151">
        <f t="shared" si="84"/>
        <v>131057.24700000006</v>
      </c>
      <c r="AE115" s="151">
        <f t="shared" si="85"/>
        <v>-375621.68099999998</v>
      </c>
      <c r="AF115" s="302"/>
      <c r="AG115" s="302"/>
      <c r="AH115" s="319"/>
      <c r="AI115" s="302"/>
      <c r="AJ115" s="302"/>
      <c r="AK115" s="302"/>
      <c r="AL115" s="319"/>
      <c r="AM115" s="302"/>
      <c r="AN115" s="302"/>
      <c r="AO115" s="319"/>
      <c r="AP115" s="302"/>
      <c r="AQ115" s="319"/>
      <c r="AR115" s="302"/>
      <c r="AS115" s="319"/>
      <c r="AT115" s="302"/>
      <c r="AU115" s="319"/>
      <c r="AV115" s="302"/>
      <c r="AW115" s="319"/>
      <c r="AX115" s="302"/>
      <c r="AY115" s="319"/>
      <c r="AZ115" s="302"/>
      <c r="BA115" s="319"/>
      <c r="BB115" s="512"/>
      <c r="BC115" s="513"/>
      <c r="BD115" s="512"/>
      <c r="BE115" s="512"/>
      <c r="BF115" s="512"/>
      <c r="BG115" s="513"/>
      <c r="BH115" s="512"/>
      <c r="BI115" s="512"/>
      <c r="BJ115" s="512"/>
      <c r="BK115" s="197"/>
      <c r="BL115" s="140">
        <v>200135.96299999999</v>
      </c>
      <c r="BM115" s="140">
        <v>232036.82199999999</v>
      </c>
      <c r="BN115" s="140">
        <v>249036.367</v>
      </c>
      <c r="BO115" s="302"/>
      <c r="BP115" s="302"/>
      <c r="BQ115" s="302"/>
      <c r="BR115" s="302"/>
      <c r="BS115" s="512"/>
      <c r="BT115" s="512"/>
      <c r="BU115" s="512"/>
      <c r="BW115" s="302"/>
    </row>
    <row r="116" spans="2:75">
      <c r="B116" s="1" t="s">
        <v>570</v>
      </c>
      <c r="C116" s="1"/>
      <c r="D116" s="140">
        <v>284466.73599999998</v>
      </c>
      <c r="E116" s="140">
        <v>312700.85499999998</v>
      </c>
      <c r="F116" s="140">
        <v>332540.44199999998</v>
      </c>
      <c r="G116" s="140">
        <v>358036.92800000001</v>
      </c>
      <c r="H116" s="140">
        <v>358036.92800000001</v>
      </c>
      <c r="I116" s="140">
        <v>398110.86599999998</v>
      </c>
      <c r="J116" s="140">
        <v>398110.86599999998</v>
      </c>
      <c r="K116" s="140">
        <v>385944.47</v>
      </c>
      <c r="L116" s="140">
        <v>253374.902</v>
      </c>
      <c r="M116" s="140">
        <v>365307.72200000001</v>
      </c>
      <c r="N116" s="140">
        <v>478410.79399999999</v>
      </c>
      <c r="O116" s="140"/>
      <c r="P116" s="140"/>
      <c r="Q116" s="140"/>
      <c r="R116" s="1"/>
      <c r="S116" s="140">
        <v>81370.433000000005</v>
      </c>
      <c r="T116" s="151">
        <f>BL116-S116</f>
        <v>82041.607999999993</v>
      </c>
      <c r="U116" s="140">
        <f>245423.537-T116-S116</f>
        <v>82011.495999999999</v>
      </c>
      <c r="V116" s="151">
        <f t="shared" si="81"/>
        <v>87116.90499999997</v>
      </c>
      <c r="W116" s="140">
        <v>85151.369000000006</v>
      </c>
      <c r="X116" s="151">
        <f>BM116-W116</f>
        <v>86071.877000000008</v>
      </c>
      <c r="Y116" s="140">
        <f>258150.853-X116-W116</f>
        <v>86927.606999999989</v>
      </c>
      <c r="Z116" s="151">
        <f t="shared" si="82"/>
        <v>99886.075000000012</v>
      </c>
      <c r="AA116" s="140">
        <v>90059.176000000007</v>
      </c>
      <c r="AB116" s="151">
        <f t="shared" si="83"/>
        <v>93863.367999999988</v>
      </c>
      <c r="AC116" s="140">
        <f>279433.58-AB116-AA116</f>
        <v>95511.036000000022</v>
      </c>
      <c r="AD116" s="151">
        <f t="shared" si="84"/>
        <v>118677.28599999996</v>
      </c>
      <c r="AE116" s="151">
        <f t="shared" si="85"/>
        <v>118677.28599999996</v>
      </c>
      <c r="AF116" s="140">
        <v>95500.985000000001</v>
      </c>
      <c r="AG116" s="140">
        <v>95500.985000000001</v>
      </c>
      <c r="AH116" s="151">
        <f>BO116-AF116</f>
        <v>99086.37999999999</v>
      </c>
      <c r="AI116" s="140">
        <f>293047.319-AH116-AF116</f>
        <v>98459.954000000012</v>
      </c>
      <c r="AJ116" s="151">
        <f>K116-AI116-AH116-AF116</f>
        <v>92897.15099999994</v>
      </c>
      <c r="AK116" s="140">
        <v>92917.357000000004</v>
      </c>
      <c r="AL116" s="151">
        <f>BP116-AK116</f>
        <v>37505.171999999991</v>
      </c>
      <c r="AM116" s="140">
        <f>175241.76-AL116-AK116</f>
        <v>44819.231000000014</v>
      </c>
      <c r="AN116" s="140">
        <f>175241.76-AL116-AK116</f>
        <v>44819.231000000014</v>
      </c>
      <c r="AO116" s="151">
        <f>L116-AM116-AL116-AK116</f>
        <v>78133.141999999978</v>
      </c>
      <c r="AP116" s="140">
        <v>78246.553</v>
      </c>
      <c r="AQ116" s="151">
        <f>BQ116-AP116</f>
        <v>76952.876999999993</v>
      </c>
      <c r="AR116" s="140">
        <f>254337.779-AQ116-AP116</f>
        <v>99138.349000000002</v>
      </c>
      <c r="AS116" s="151">
        <f>M116-AR116-AQ116-AP116</f>
        <v>110969.94300000004</v>
      </c>
      <c r="AT116" s="140">
        <v>112658.81200000001</v>
      </c>
      <c r="AU116" s="151">
        <f>BR116-AT116</f>
        <v>108923.02899999998</v>
      </c>
      <c r="AV116" s="140">
        <f>354772.629-AU116-AT116</f>
        <v>133190.78800000003</v>
      </c>
      <c r="AW116" s="151">
        <f>N116-AV116-AU116-AT116</f>
        <v>123638.16499999995</v>
      </c>
      <c r="AX116" s="140">
        <v>124706.368</v>
      </c>
      <c r="AY116" s="151">
        <f t="shared" ref="AY116:AY125" si="86">BS116-AX116</f>
        <v>128263.13400000001</v>
      </c>
      <c r="AZ116" s="140">
        <f>388566.058-AY116-AX116</f>
        <v>135596.55599999998</v>
      </c>
      <c r="BA116" s="151">
        <f>O116-AZ116-AY116-AX116</f>
        <v>-388566.05800000002</v>
      </c>
      <c r="BB116" s="140">
        <v>139294.448</v>
      </c>
      <c r="BC116" s="151">
        <f t="shared" ref="BC116:BC125" si="87">BT116-BB116</f>
        <v>146451.003</v>
      </c>
      <c r="BD116" s="140">
        <f>431750.146-BC116-BB116</f>
        <v>146004.69500000004</v>
      </c>
      <c r="BE116" s="151">
        <f>P116-BD116-BC116-BB116</f>
        <v>-431750.14600000007</v>
      </c>
      <c r="BF116" s="140">
        <v>156045.09299999999</v>
      </c>
      <c r="BG116" s="151">
        <f t="shared" ref="BG116:BG127" si="88">BU116-BF116</f>
        <v>160062.41200000001</v>
      </c>
      <c r="BH116" s="140">
        <f>0-BG116-BF116</f>
        <v>-316107.505</v>
      </c>
      <c r="BI116" s="151">
        <f>Q116-BH116-BG116-BF116</f>
        <v>0</v>
      </c>
      <c r="BJ116" s="140">
        <v>0</v>
      </c>
      <c r="BK116" s="197"/>
      <c r="BL116" s="140">
        <v>163412.041</v>
      </c>
      <c r="BM116" s="140">
        <v>171223.24600000001</v>
      </c>
      <c r="BN116" s="140">
        <v>183922.54399999999</v>
      </c>
      <c r="BO116" s="140">
        <v>194587.36499999999</v>
      </c>
      <c r="BP116" s="140">
        <v>130422.52899999999</v>
      </c>
      <c r="BQ116" s="140">
        <v>155199.43</v>
      </c>
      <c r="BR116" s="140">
        <v>221581.84099999999</v>
      </c>
      <c r="BS116" s="140">
        <v>252969.50200000001</v>
      </c>
      <c r="BT116" s="140">
        <v>285745.451</v>
      </c>
      <c r="BU116" s="140">
        <v>316107.505</v>
      </c>
      <c r="BW116" s="140">
        <v>194587.36499999999</v>
      </c>
    </row>
    <row r="117" spans="2:75">
      <c r="B117" s="1" t="s">
        <v>614</v>
      </c>
      <c r="C117" s="1"/>
      <c r="D117" s="140">
        <v>-65566.846000000005</v>
      </c>
      <c r="E117" s="140">
        <v>-27642.339</v>
      </c>
      <c r="F117" s="140">
        <v>2077.1179999999999</v>
      </c>
      <c r="G117" s="140">
        <v>-5045.1239999999998</v>
      </c>
      <c r="H117" s="140">
        <v>-28973.601999999999</v>
      </c>
      <c r="I117" s="140">
        <v>10616.96</v>
      </c>
      <c r="J117" s="140">
        <v>10616.96</v>
      </c>
      <c r="K117" s="140">
        <v>41920.457000000002</v>
      </c>
      <c r="L117" s="140">
        <v>99276.775999999998</v>
      </c>
      <c r="M117" s="140">
        <v>-8327.9269999999997</v>
      </c>
      <c r="N117" s="140">
        <v>-16031.008</v>
      </c>
      <c r="O117" s="140"/>
      <c r="P117" s="140"/>
      <c r="Q117" s="140"/>
      <c r="R117" s="1"/>
      <c r="S117" s="122">
        <v>362.03100000000001</v>
      </c>
      <c r="T117" s="151">
        <f>BL117-S117</f>
        <v>2650.953</v>
      </c>
      <c r="U117" s="140">
        <f>511.85-T117-S117</f>
        <v>-2501.134</v>
      </c>
      <c r="V117" s="1">
        <f t="shared" si="81"/>
        <v>1565.268</v>
      </c>
      <c r="W117" s="122">
        <v>24.975999999999999</v>
      </c>
      <c r="X117" s="151">
        <f>BM117-W117</f>
        <v>-932.13599999999997</v>
      </c>
      <c r="Y117" s="140">
        <f>3450.512-X117-W117</f>
        <v>4357.6720000000005</v>
      </c>
      <c r="Z117" s="151">
        <f t="shared" si="82"/>
        <v>-8495.6360000000004</v>
      </c>
      <c r="AA117" s="140">
        <v>-3916.7310000000002</v>
      </c>
      <c r="AB117" s="151">
        <f t="shared" si="83"/>
        <v>-262.55899999999974</v>
      </c>
      <c r="AC117" s="140">
        <f>1202.291-AB117-AA117</f>
        <v>5381.5810000000001</v>
      </c>
      <c r="AD117" s="151">
        <f t="shared" si="84"/>
        <v>9414.6689999999981</v>
      </c>
      <c r="AE117" s="151">
        <f t="shared" si="85"/>
        <v>9414.6689999999981</v>
      </c>
      <c r="AF117" s="140">
        <v>1590.6110000000001</v>
      </c>
      <c r="AG117" s="140">
        <v>1590.6110000000001</v>
      </c>
      <c r="AH117" s="151">
        <f>BO117-AF117</f>
        <v>24998.303</v>
      </c>
      <c r="AI117" s="140">
        <f>34720.972-AH117-AF117</f>
        <v>8132.0580000000018</v>
      </c>
      <c r="AJ117" s="151">
        <f>K117-AI117-AH117-AF117</f>
        <v>7199.4849999999979</v>
      </c>
      <c r="AK117" s="140">
        <v>14560.662</v>
      </c>
      <c r="AL117" s="151">
        <f>BP117-AK117</f>
        <v>36022.58</v>
      </c>
      <c r="AM117" s="140">
        <f>74170.173-AL117-AK117</f>
        <v>23586.930999999993</v>
      </c>
      <c r="AN117" s="140">
        <f>74170.173-AL117-AK117</f>
        <v>23586.930999999993</v>
      </c>
      <c r="AO117" s="151">
        <f>L117-AM117-AL117-AK117</f>
        <v>25106.602999999999</v>
      </c>
      <c r="AP117" s="140">
        <v>9400.3880000000008</v>
      </c>
      <c r="AQ117" s="151">
        <f>BQ117-AP117</f>
        <v>7872.1759999999977</v>
      </c>
      <c r="AR117" s="140">
        <f>3621.692-AQ117-AP117</f>
        <v>-13650.871999999999</v>
      </c>
      <c r="AS117" s="151">
        <f>M117-AR117-AQ117-AP117</f>
        <v>-11949.618999999999</v>
      </c>
      <c r="AT117" s="140">
        <v>-14995.138000000001</v>
      </c>
      <c r="AU117" s="151">
        <f>BR117-AT117</f>
        <v>2787.4580000000005</v>
      </c>
      <c r="AV117" s="140">
        <f>-32950.66-AU117-AT117</f>
        <v>-20742.980000000003</v>
      </c>
      <c r="AW117" s="151">
        <f>N117-AV117-AU117-AT117</f>
        <v>16919.652000000002</v>
      </c>
      <c r="AX117" s="140">
        <v>39712.586000000003</v>
      </c>
      <c r="AY117" s="151">
        <f t="shared" si="86"/>
        <v>5811.7649999999994</v>
      </c>
      <c r="AZ117" s="140">
        <f>95774.051-AY117-AX117</f>
        <v>50249.700000000004</v>
      </c>
      <c r="BA117" s="151">
        <f>O117-AZ117-AY117-AX117</f>
        <v>-95774.051000000007</v>
      </c>
      <c r="BB117" s="140">
        <v>52056.381000000001</v>
      </c>
      <c r="BC117" s="151">
        <f t="shared" si="87"/>
        <v>11275.066999999995</v>
      </c>
      <c r="BD117" s="140">
        <f>84532.018-BC117-BB117</f>
        <v>21200.57</v>
      </c>
      <c r="BE117" s="151">
        <f>P117-BD117-BC117-BB117</f>
        <v>-84532.017999999996</v>
      </c>
      <c r="BF117" s="140">
        <v>0</v>
      </c>
      <c r="BG117" s="151">
        <f t="shared" si="88"/>
        <v>0</v>
      </c>
      <c r="BH117" s="140">
        <f>0-BG117-BF117</f>
        <v>0</v>
      </c>
      <c r="BI117" s="151">
        <f>Q117-BH117-BG117-BF117</f>
        <v>0</v>
      </c>
      <c r="BJ117" s="140">
        <v>0</v>
      </c>
      <c r="BK117" s="197"/>
      <c r="BL117" s="140">
        <v>3012.9839999999999</v>
      </c>
      <c r="BM117" s="140">
        <v>-907.16</v>
      </c>
      <c r="BN117" s="140">
        <v>-4179.29</v>
      </c>
      <c r="BO117" s="140">
        <v>26588.914000000001</v>
      </c>
      <c r="BP117" s="140">
        <v>50583.241999999998</v>
      </c>
      <c r="BQ117" s="140">
        <v>17272.563999999998</v>
      </c>
      <c r="BR117" s="140">
        <v>-12207.68</v>
      </c>
      <c r="BS117" s="140">
        <v>45524.351000000002</v>
      </c>
      <c r="BT117" s="140">
        <v>63331.447999999997</v>
      </c>
      <c r="BU117" s="140">
        <v>0</v>
      </c>
      <c r="BW117" s="140">
        <v>26588.914000000001</v>
      </c>
    </row>
    <row r="118" spans="2:75">
      <c r="B118" s="5" t="s">
        <v>522</v>
      </c>
      <c r="C118" s="1"/>
      <c r="D118" s="163">
        <f t="shared" ref="D118:I118" si="89">+SUM(D119:D122)</f>
        <v>1607501.477</v>
      </c>
      <c r="E118" s="163">
        <f t="shared" si="89"/>
        <v>1907965.784</v>
      </c>
      <c r="F118" s="163">
        <f t="shared" si="89"/>
        <v>1890834.4319999998</v>
      </c>
      <c r="G118" s="163">
        <f t="shared" si="89"/>
        <v>1941278.7069999999</v>
      </c>
      <c r="H118" s="163">
        <f t="shared" si="89"/>
        <v>1932478.8730000001</v>
      </c>
      <c r="I118" s="163">
        <f t="shared" si="89"/>
        <v>2043745.639</v>
      </c>
      <c r="J118" s="163">
        <f t="shared" ref="J118:O118" si="90">+SUM(J119:J122)</f>
        <v>2043745.639</v>
      </c>
      <c r="K118" s="163">
        <f t="shared" si="90"/>
        <v>2255307.5619999999</v>
      </c>
      <c r="L118" s="163">
        <f t="shared" si="90"/>
        <v>2323486.5569999996</v>
      </c>
      <c r="M118" s="163">
        <f t="shared" si="90"/>
        <v>2606990.6189999999</v>
      </c>
      <c r="N118" s="163">
        <v>3069355.094</v>
      </c>
      <c r="O118" s="163">
        <f t="shared" si="90"/>
        <v>2804859.8679999998</v>
      </c>
      <c r="P118" s="163">
        <f>+SUM(P119:P122)</f>
        <v>3245321.852</v>
      </c>
      <c r="Q118" s="163">
        <f>+SUM(Q119:Q122)</f>
        <v>3573624.682</v>
      </c>
      <c r="R118" s="1"/>
      <c r="S118" s="163">
        <f t="shared" ref="S118:X118" si="91">+SUM(S119:S122)</f>
        <v>449962.52999999997</v>
      </c>
      <c r="T118" s="163">
        <f t="shared" si="91"/>
        <v>459762.397</v>
      </c>
      <c r="U118" s="163">
        <f t="shared" si="91"/>
        <v>455139.723</v>
      </c>
      <c r="V118" s="150">
        <f t="shared" si="91"/>
        <v>525969.78200000001</v>
      </c>
      <c r="W118" s="163">
        <f t="shared" si="91"/>
        <v>449761.78</v>
      </c>
      <c r="X118" s="163">
        <f t="shared" si="91"/>
        <v>481236.15500000003</v>
      </c>
      <c r="Y118" s="163">
        <f t="shared" ref="Y118:AD118" si="92">+SUM(Y119:Y122)</f>
        <v>470546.576</v>
      </c>
      <c r="Z118" s="163">
        <f t="shared" si="92"/>
        <v>539734.196</v>
      </c>
      <c r="AA118" s="163">
        <f t="shared" si="92"/>
        <v>454111.66000000003</v>
      </c>
      <c r="AB118" s="150">
        <f t="shared" si="92"/>
        <v>494889.34700000001</v>
      </c>
      <c r="AC118" s="150">
        <f t="shared" si="92"/>
        <v>508689.56100000005</v>
      </c>
      <c r="AD118" s="150">
        <f t="shared" si="92"/>
        <v>586055.071</v>
      </c>
      <c r="AE118" s="150">
        <f t="shared" ref="AE118:AK118" si="93">+SUM(AE119:AE122)</f>
        <v>586055.071</v>
      </c>
      <c r="AF118" s="163">
        <f t="shared" si="93"/>
        <v>501121.85500000004</v>
      </c>
      <c r="AG118" s="163">
        <f t="shared" si="93"/>
        <v>501121.85500000004</v>
      </c>
      <c r="AH118" s="150">
        <f t="shared" si="93"/>
        <v>532304.78800000006</v>
      </c>
      <c r="AI118" s="163">
        <f t="shared" si="93"/>
        <v>550057.2620000001</v>
      </c>
      <c r="AJ118" s="150">
        <f t="shared" si="93"/>
        <v>671823.65700000001</v>
      </c>
      <c r="AK118" s="163">
        <f t="shared" si="93"/>
        <v>553070.48300000001</v>
      </c>
      <c r="AL118" s="150">
        <f t="shared" ref="AL118:AR118" si="94">+SUM(AL119:AL122)</f>
        <v>358684.87</v>
      </c>
      <c r="AM118" s="163">
        <f t="shared" si="94"/>
        <v>661984.08399999992</v>
      </c>
      <c r="AN118" s="163">
        <f>+SUM(AN119:AN122)</f>
        <v>661984.08399999992</v>
      </c>
      <c r="AO118" s="150">
        <f t="shared" si="94"/>
        <v>749747.12</v>
      </c>
      <c r="AP118" s="163">
        <f t="shared" si="94"/>
        <v>561107.71400000004</v>
      </c>
      <c r="AQ118" s="150">
        <f t="shared" si="94"/>
        <v>573921.51399999997</v>
      </c>
      <c r="AR118" s="163">
        <f t="shared" si="94"/>
        <v>668094.1100000001</v>
      </c>
      <c r="AS118" s="150">
        <f t="shared" ref="AS118:AX118" si="95">+SUM(AS119:AS122)</f>
        <v>803867.28100000008</v>
      </c>
      <c r="AT118" s="163">
        <f t="shared" si="95"/>
        <v>668009.30200000003</v>
      </c>
      <c r="AU118" s="150">
        <f t="shared" si="95"/>
        <v>726637.68699999992</v>
      </c>
      <c r="AV118" s="163">
        <f t="shared" si="95"/>
        <v>796862.83099999989</v>
      </c>
      <c r="AW118" s="150">
        <f t="shared" si="95"/>
        <v>877845.27399999998</v>
      </c>
      <c r="AX118" s="163">
        <f t="shared" si="95"/>
        <v>648865.027</v>
      </c>
      <c r="AY118" s="151">
        <f t="shared" si="86"/>
        <v>651402.63300000015</v>
      </c>
      <c r="AZ118" s="163">
        <f>+SUM(AZ119:AZ122)</f>
        <v>670477.8629999999</v>
      </c>
      <c r="BA118" s="150">
        <f>+SUM(BA119:BA122)</f>
        <v>834114.34499999997</v>
      </c>
      <c r="BB118" s="163">
        <f>+SUM(BB119:BB122)</f>
        <v>727975.10599999991</v>
      </c>
      <c r="BC118" s="151">
        <f t="shared" si="87"/>
        <v>759765.12800000026</v>
      </c>
      <c r="BD118" s="163">
        <f>+SUM(BD119:BD122)</f>
        <v>796853.10800000001</v>
      </c>
      <c r="BE118" s="150">
        <f>+SUM(BE119:BE122)</f>
        <v>960728.51</v>
      </c>
      <c r="BF118" s="163">
        <f>+SUM(BF119:BF122)</f>
        <v>781683.84500000009</v>
      </c>
      <c r="BG118" s="151">
        <f t="shared" si="88"/>
        <v>824371.10399999993</v>
      </c>
      <c r="BH118" s="163">
        <f>+SUM(BH119:BH122)</f>
        <v>856447.80799999996</v>
      </c>
      <c r="BI118" s="150">
        <f>+SUM(BI119:BI122)</f>
        <v>1111121.925</v>
      </c>
      <c r="BJ118" s="163">
        <f>+SUM(BJ119:BJ122)</f>
        <v>887329.01500000001</v>
      </c>
      <c r="BK118" s="197"/>
      <c r="BL118" s="163">
        <f t="shared" ref="BL118:BQ118" si="96">+SUM(BL119:BL122)</f>
        <v>909724.92699999979</v>
      </c>
      <c r="BM118" s="163">
        <f t="shared" si="96"/>
        <v>930997.93500000006</v>
      </c>
      <c r="BN118" s="163">
        <f t="shared" si="96"/>
        <v>949001.00699999998</v>
      </c>
      <c r="BO118" s="163">
        <f t="shared" si="96"/>
        <v>1033426.6429999999</v>
      </c>
      <c r="BP118" s="163">
        <f t="shared" si="96"/>
        <v>911755.353</v>
      </c>
      <c r="BQ118" s="163">
        <f t="shared" si="96"/>
        <v>1135029.2279999999</v>
      </c>
      <c r="BR118" s="163">
        <f>+SUM(BR119:BR122)</f>
        <v>1394646.9889999998</v>
      </c>
      <c r="BS118" s="163">
        <f>+SUM(BS119:BS122)</f>
        <v>1300267.6600000001</v>
      </c>
      <c r="BT118" s="163">
        <f>+SUM(BT119:BT122)</f>
        <v>1487740.2340000002</v>
      </c>
      <c r="BU118" s="163">
        <f>+SUM(BU119:BU122)</f>
        <v>1606054.949</v>
      </c>
      <c r="BW118" s="163">
        <f>+SUM(BW119:BW122)</f>
        <v>1033426.6429999999</v>
      </c>
    </row>
    <row r="119" spans="2:75">
      <c r="B119" s="1" t="s">
        <v>610</v>
      </c>
      <c r="C119" s="1"/>
      <c r="D119" s="140">
        <v>569488.78200000001</v>
      </c>
      <c r="E119" s="140">
        <v>590596.88300000003</v>
      </c>
      <c r="F119" s="140">
        <v>595595.93400000001</v>
      </c>
      <c r="G119" s="140">
        <v>585881.38399999996</v>
      </c>
      <c r="H119" s="140">
        <v>580860.19200000004</v>
      </c>
      <c r="I119" s="140">
        <v>605024.57700000005</v>
      </c>
      <c r="J119" s="140">
        <v>605024.57700000005</v>
      </c>
      <c r="K119" s="140">
        <v>650251.83200000005</v>
      </c>
      <c r="L119" s="140">
        <v>550057.21400000004</v>
      </c>
      <c r="M119" s="140">
        <v>710799.228</v>
      </c>
      <c r="N119" s="140">
        <v>911099.89899999998</v>
      </c>
      <c r="O119" s="140">
        <v>854193.31599999999</v>
      </c>
      <c r="P119" s="140">
        <v>1009892.611</v>
      </c>
      <c r="Q119" s="140">
        <v>1158420.3600000001</v>
      </c>
      <c r="R119" s="1"/>
      <c r="S119" s="197">
        <f>BL119-T119</f>
        <v>124325.08899999998</v>
      </c>
      <c r="T119" s="140">
        <v>151190</v>
      </c>
      <c r="U119" s="140">
        <f>419748.044-T119-S119</f>
        <v>144232.95500000002</v>
      </c>
      <c r="V119" s="151">
        <f t="shared" ref="V119:V125" si="97">F119-SUM(S119:U119)</f>
        <v>175847.89</v>
      </c>
      <c r="W119" s="151">
        <f>BM119-X119</f>
        <v>119234.37099999998</v>
      </c>
      <c r="X119" s="140">
        <v>153563</v>
      </c>
      <c r="Y119" s="140">
        <f>412899.815-X119-W119</f>
        <v>140102.44400000002</v>
      </c>
      <c r="Z119" s="151">
        <f t="shared" ref="Z119:Z125" si="98">G119-W119-X119-Y119</f>
        <v>172981.56899999996</v>
      </c>
      <c r="AA119" s="140">
        <v>121466.349</v>
      </c>
      <c r="AB119" s="151">
        <f t="shared" ref="AB119:AB125" si="99">BN119-AA119</f>
        <v>156773.88400000002</v>
      </c>
      <c r="AC119" s="140">
        <f>425164.218-AB119-AA119</f>
        <v>146923.98499999999</v>
      </c>
      <c r="AD119" s="151">
        <f t="shared" ref="AD119:AD125" si="100">I119-AC119-AB119-AA119</f>
        <v>179860.35900000005</v>
      </c>
      <c r="AE119" s="151">
        <f t="shared" ref="AE119:AE125" si="101">J119-AC119-AB119-AA119</f>
        <v>179860.35900000005</v>
      </c>
      <c r="AF119" s="140">
        <v>130927.701</v>
      </c>
      <c r="AG119" s="140">
        <v>130927.701</v>
      </c>
      <c r="AH119" s="151">
        <f t="shared" ref="AH119:AH125" si="102">BO119-AF119</f>
        <v>161249.12900000002</v>
      </c>
      <c r="AI119" s="140">
        <f>452624.819-AH119-AF119</f>
        <v>160447.989</v>
      </c>
      <c r="AJ119" s="151">
        <f t="shared" ref="AJ119:AJ125" si="103">K119-AI119-AH119-AF119</f>
        <v>197627.01300000004</v>
      </c>
      <c r="AK119" s="140">
        <v>121793</v>
      </c>
      <c r="AL119" s="151">
        <f t="shared" ref="AL119:AL125" si="104">BP119-AK119</f>
        <v>46894</v>
      </c>
      <c r="AM119" s="140">
        <f>337253.848-AL119-AK119</f>
        <v>168566.848</v>
      </c>
      <c r="AN119" s="140">
        <f>337253.848-AL119-AK119</f>
        <v>168566.848</v>
      </c>
      <c r="AO119" s="151">
        <f t="shared" ref="AO119:AO125" si="105">L119-AM119-AL119-AK119</f>
        <v>212803.36600000004</v>
      </c>
      <c r="AP119" s="140">
        <v>121281.876</v>
      </c>
      <c r="AQ119" s="151">
        <f t="shared" ref="AQ119:AQ125" si="106">BQ119-AP119</f>
        <v>155853.62300000002</v>
      </c>
      <c r="AR119" s="140">
        <f>466901.475-AQ119-AP119</f>
        <v>189765.97599999997</v>
      </c>
      <c r="AS119" s="151">
        <f t="shared" ref="AS119:AS125" si="107">M119-AR119-AQ119-AP119</f>
        <v>243897.75300000003</v>
      </c>
      <c r="AT119" s="140">
        <v>172937.902</v>
      </c>
      <c r="AU119" s="151">
        <f t="shared" ref="AU119:AU125" si="108">BR119-AT119</f>
        <v>224252.63799999998</v>
      </c>
      <c r="AV119" s="140">
        <f>639784.648-AU119-AT119</f>
        <v>242594.10800000007</v>
      </c>
      <c r="AW119" s="151">
        <f t="shared" ref="AW119:AW125" si="109">N119-AV119-AU119-AT119</f>
        <v>271315.25099999999</v>
      </c>
      <c r="AX119" s="140">
        <v>168490.416</v>
      </c>
      <c r="AY119" s="151">
        <f t="shared" si="86"/>
        <v>204892.96400000001</v>
      </c>
      <c r="AZ119" s="140">
        <f>567225-AY119-AX119</f>
        <v>193841.61999999997</v>
      </c>
      <c r="BA119" s="151">
        <f t="shared" ref="BA119:BA127" si="110">O119-AZ119-AY119-AX119</f>
        <v>286968.31599999999</v>
      </c>
      <c r="BB119" s="140">
        <v>192259.59099999999</v>
      </c>
      <c r="BC119" s="151">
        <f t="shared" si="87"/>
        <v>241990.53900000002</v>
      </c>
      <c r="BD119" s="140">
        <f>686080.534-BC119-BB119</f>
        <v>251830.40400000001</v>
      </c>
      <c r="BE119" s="151">
        <f t="shared" ref="BE119:BE127" si="111">P119-BD119-BC119-BB119</f>
        <v>323812.07700000005</v>
      </c>
      <c r="BF119" s="140">
        <v>216965.04</v>
      </c>
      <c r="BG119" s="151">
        <f t="shared" si="88"/>
        <v>273529.95999999996</v>
      </c>
      <c r="BH119" s="140">
        <f>768925.541-BG119-BF119</f>
        <v>278430.54099999997</v>
      </c>
      <c r="BI119" s="151">
        <f t="shared" ref="BI119:BI127" si="112">Q119-BH119-BG119-BF119</f>
        <v>389494.81900000013</v>
      </c>
      <c r="BJ119" s="140">
        <v>259905.65100000001</v>
      </c>
      <c r="BK119" s="197"/>
      <c r="BL119" s="140">
        <v>275515.08899999998</v>
      </c>
      <c r="BM119" s="140">
        <v>272797.37099999998</v>
      </c>
      <c r="BN119" s="140">
        <v>278240.23300000001</v>
      </c>
      <c r="BO119" s="140">
        <v>292176.83</v>
      </c>
      <c r="BP119" s="140">
        <v>168687</v>
      </c>
      <c r="BQ119" s="140">
        <v>277135.49900000001</v>
      </c>
      <c r="BR119" s="140">
        <v>397190.54</v>
      </c>
      <c r="BS119" s="140">
        <v>373383.38</v>
      </c>
      <c r="BT119" s="140">
        <v>434250.13</v>
      </c>
      <c r="BU119" s="140">
        <v>490495</v>
      </c>
      <c r="BW119" s="140">
        <v>292176.83</v>
      </c>
    </row>
    <row r="120" spans="2:75">
      <c r="B120" s="1" t="s">
        <v>611</v>
      </c>
      <c r="C120" s="1"/>
      <c r="D120" s="140">
        <v>423399.10600000003</v>
      </c>
      <c r="E120" s="140">
        <v>640054.66299999994</v>
      </c>
      <c r="F120" s="140">
        <v>591764.54299999995</v>
      </c>
      <c r="G120" s="140">
        <v>601198.79799999995</v>
      </c>
      <c r="H120" s="140">
        <v>601183.95200000005</v>
      </c>
      <c r="I120" s="140">
        <v>615900.56200000003</v>
      </c>
      <c r="J120" s="140">
        <v>615900.56200000003</v>
      </c>
      <c r="K120" s="140">
        <v>669966.32700000005</v>
      </c>
      <c r="L120" s="140">
        <v>587984.16700000002</v>
      </c>
      <c r="M120" s="140">
        <v>764372.31099999999</v>
      </c>
      <c r="N120" s="140">
        <v>847426.52500000002</v>
      </c>
      <c r="O120" s="140">
        <v>702724.68700000003</v>
      </c>
      <c r="P120" s="140">
        <v>778611.33400000003</v>
      </c>
      <c r="Q120" s="140">
        <v>870355.93200000003</v>
      </c>
      <c r="R120" s="1"/>
      <c r="S120" s="197">
        <f>BL120-T120</f>
        <v>159856.15899999999</v>
      </c>
      <c r="T120" s="140">
        <v>142186</v>
      </c>
      <c r="U120" s="140">
        <f>445270.578-T120-S120</f>
        <v>143228.41899999999</v>
      </c>
      <c r="V120" s="151">
        <f t="shared" si="97"/>
        <v>146493.96499999997</v>
      </c>
      <c r="W120" s="151">
        <f>BM120-X120</f>
        <v>152267.16100000002</v>
      </c>
      <c r="X120" s="140">
        <v>145782</v>
      </c>
      <c r="Y120" s="140">
        <f>449405.387-X120-W120</f>
        <v>151356.22599999997</v>
      </c>
      <c r="Z120" s="151">
        <f t="shared" si="98"/>
        <v>151793.41099999996</v>
      </c>
      <c r="AA120" s="140">
        <v>150274.25200000001</v>
      </c>
      <c r="AB120" s="151">
        <f t="shared" si="99"/>
        <v>141245.84900000002</v>
      </c>
      <c r="AC120" s="140">
        <f>450403.27-AB120-AA120</f>
        <v>158883.16899999997</v>
      </c>
      <c r="AD120" s="151">
        <f t="shared" si="100"/>
        <v>165497.29199999999</v>
      </c>
      <c r="AE120" s="151">
        <f t="shared" si="101"/>
        <v>165497.29199999999</v>
      </c>
      <c r="AF120" s="140">
        <v>163125.79800000001</v>
      </c>
      <c r="AG120" s="140">
        <v>163125.79800000001</v>
      </c>
      <c r="AH120" s="151">
        <f t="shared" si="102"/>
        <v>155530.95799999998</v>
      </c>
      <c r="AI120" s="140">
        <f>485501.732-AH120-AF120</f>
        <v>166844.97600000002</v>
      </c>
      <c r="AJ120" s="151">
        <f t="shared" si="103"/>
        <v>184464.59500000003</v>
      </c>
      <c r="AK120" s="140">
        <v>163538</v>
      </c>
      <c r="AL120" s="151">
        <f t="shared" si="104"/>
        <v>25480</v>
      </c>
      <c r="AM120" s="140">
        <f>382173.524-AL120-AK120</f>
        <v>193155.52399999998</v>
      </c>
      <c r="AN120" s="140">
        <f>382173.524-AL120-AK120</f>
        <v>193155.52399999998</v>
      </c>
      <c r="AO120" s="151">
        <f t="shared" si="105"/>
        <v>205810.64300000004</v>
      </c>
      <c r="AP120" s="140">
        <v>180172.878</v>
      </c>
      <c r="AQ120" s="151">
        <f t="shared" si="106"/>
        <v>164435.31899999999</v>
      </c>
      <c r="AR120" s="140">
        <f>545197.988-AQ120-AP120</f>
        <v>200589.791</v>
      </c>
      <c r="AS120" s="151">
        <f t="shared" si="107"/>
        <v>219174.323</v>
      </c>
      <c r="AT120" s="140">
        <v>211361.16099999999</v>
      </c>
      <c r="AU120" s="151">
        <f t="shared" si="108"/>
        <v>196331.16800000003</v>
      </c>
      <c r="AV120" s="140">
        <f>626078.287-AU120-AT120</f>
        <v>218385.95799999996</v>
      </c>
      <c r="AW120" s="151">
        <f t="shared" si="109"/>
        <v>221348.23799999998</v>
      </c>
      <c r="AX120" s="140">
        <v>191153.508</v>
      </c>
      <c r="AY120" s="151">
        <f t="shared" si="86"/>
        <v>159598.57100000003</v>
      </c>
      <c r="AZ120" s="140">
        <f>522814-AY120-AX120</f>
        <v>172061.921</v>
      </c>
      <c r="BA120" s="151">
        <f t="shared" si="110"/>
        <v>179910.68700000006</v>
      </c>
      <c r="BB120" s="140">
        <v>195115.26800000001</v>
      </c>
      <c r="BC120" s="151">
        <f t="shared" si="87"/>
        <v>178303.76300000001</v>
      </c>
      <c r="BD120" s="140">
        <f>569140.427-BC120-BB120</f>
        <v>195721.39599999998</v>
      </c>
      <c r="BE120" s="151">
        <f t="shared" si="111"/>
        <v>209470.90700000004</v>
      </c>
      <c r="BF120" s="140">
        <v>211857.486</v>
      </c>
      <c r="BG120" s="151">
        <f t="shared" si="88"/>
        <v>201794.514</v>
      </c>
      <c r="BH120" s="140">
        <f>627608.604-BG120-BF120</f>
        <v>213956.60400000008</v>
      </c>
      <c r="BI120" s="151">
        <f t="shared" si="112"/>
        <v>242747.32800000001</v>
      </c>
      <c r="BJ120" s="140">
        <v>236763.04399999999</v>
      </c>
      <c r="BK120" s="197"/>
      <c r="BL120" s="140">
        <v>302042.15899999999</v>
      </c>
      <c r="BM120" s="140">
        <v>298049.16100000002</v>
      </c>
      <c r="BN120" s="140">
        <v>291520.10100000002</v>
      </c>
      <c r="BO120" s="140">
        <v>318656.75599999999</v>
      </c>
      <c r="BP120" s="140">
        <v>189018</v>
      </c>
      <c r="BQ120" s="140">
        <v>344608.19699999999</v>
      </c>
      <c r="BR120" s="140">
        <v>407692.32900000003</v>
      </c>
      <c r="BS120" s="140">
        <v>350752.07900000003</v>
      </c>
      <c r="BT120" s="140">
        <v>373419.03100000002</v>
      </c>
      <c r="BU120" s="140">
        <v>413652</v>
      </c>
      <c r="BW120" s="140">
        <v>318656.75599999999</v>
      </c>
    </row>
    <row r="121" spans="2:75">
      <c r="B121" s="1" t="s">
        <v>612</v>
      </c>
      <c r="C121" s="1"/>
      <c r="D121" s="140">
        <v>603164.73899999994</v>
      </c>
      <c r="E121" s="140">
        <v>648958.70600000001</v>
      </c>
      <c r="F121" s="140">
        <v>666022.951</v>
      </c>
      <c r="G121" s="140">
        <v>703275.43400000001</v>
      </c>
      <c r="H121" s="140">
        <v>702487.25600000005</v>
      </c>
      <c r="I121" s="140">
        <v>773459.61600000004</v>
      </c>
      <c r="J121" s="140">
        <v>773459.61600000004</v>
      </c>
      <c r="K121" s="140">
        <v>881829.505</v>
      </c>
      <c r="L121" s="140">
        <v>1151187.3389999999</v>
      </c>
      <c r="M121" s="140">
        <v>1083804.2150000001</v>
      </c>
      <c r="N121" s="140">
        <v>1238960.3640000001</v>
      </c>
      <c r="O121" s="140">
        <v>1172012.0819999999</v>
      </c>
      <c r="P121" s="140">
        <v>1369810.9269999999</v>
      </c>
      <c r="Q121" s="140">
        <v>1523912.1029999999</v>
      </c>
      <c r="R121" s="1"/>
      <c r="S121" s="197">
        <f>BL121-T121</f>
        <v>158440.55499999999</v>
      </c>
      <c r="T121" s="140">
        <v>159085</v>
      </c>
      <c r="U121" s="140">
        <f>474207.26-T121-S121</f>
        <v>156681.70500000002</v>
      </c>
      <c r="V121" s="151">
        <f t="shared" si="97"/>
        <v>191815.69099999999</v>
      </c>
      <c r="W121" s="151">
        <f>BM121-X121</f>
        <v>165234.995</v>
      </c>
      <c r="X121" s="140">
        <v>169032</v>
      </c>
      <c r="Y121" s="140">
        <f>500967.221-X121-W121</f>
        <v>166700.22600000002</v>
      </c>
      <c r="Z121" s="151">
        <f t="shared" si="98"/>
        <v>202308.21299999999</v>
      </c>
      <c r="AA121" s="140">
        <v>170629.10399999999</v>
      </c>
      <c r="AB121" s="151">
        <f t="shared" si="99"/>
        <v>185612.52500000002</v>
      </c>
      <c r="AC121" s="140">
        <f>545680.011-AB121-AA121</f>
        <v>189438.38200000004</v>
      </c>
      <c r="AD121" s="151">
        <f t="shared" si="100"/>
        <v>227779.60499999992</v>
      </c>
      <c r="AE121" s="151">
        <f t="shared" si="101"/>
        <v>227779.60499999992</v>
      </c>
      <c r="AF121" s="140">
        <v>193994.144</v>
      </c>
      <c r="AG121" s="140">
        <v>193994.144</v>
      </c>
      <c r="AH121" s="151">
        <f t="shared" si="102"/>
        <v>202804.095</v>
      </c>
      <c r="AI121" s="140">
        <f>606243.589-AH121-AF121</f>
        <v>209445.35000000006</v>
      </c>
      <c r="AJ121" s="151">
        <f t="shared" si="103"/>
        <v>275585.91599999997</v>
      </c>
      <c r="AK121" s="140">
        <v>253817</v>
      </c>
      <c r="AL121" s="151">
        <f t="shared" si="104"/>
        <v>282018</v>
      </c>
      <c r="AM121" s="140">
        <f>828285.997-AL121-AK121</f>
        <v>292450.99699999997</v>
      </c>
      <c r="AN121" s="140">
        <f>828285.997-AL121-AK121</f>
        <v>292450.99699999997</v>
      </c>
      <c r="AO121" s="151">
        <f t="shared" si="105"/>
        <v>322901.34199999995</v>
      </c>
      <c r="AP121" s="140">
        <v>252193.155</v>
      </c>
      <c r="AQ121" s="151">
        <f t="shared" si="106"/>
        <v>243608.29299999998</v>
      </c>
      <c r="AR121" s="140">
        <f>763458.356-AQ121-AP121</f>
        <v>267656.90800000005</v>
      </c>
      <c r="AS121" s="151">
        <f t="shared" si="107"/>
        <v>320345.85900000005</v>
      </c>
      <c r="AT121" s="140">
        <v>268436.413</v>
      </c>
      <c r="AU121" s="151">
        <f t="shared" si="108"/>
        <v>289254.60099999997</v>
      </c>
      <c r="AV121" s="140">
        <f>874526.967-AU121-AT121</f>
        <v>316835.95299999992</v>
      </c>
      <c r="AW121" s="151">
        <f t="shared" si="109"/>
        <v>364433.39700000006</v>
      </c>
      <c r="AX121" s="140">
        <v>269660.26699999999</v>
      </c>
      <c r="AY121" s="151">
        <f t="shared" si="86"/>
        <v>269035.54500000004</v>
      </c>
      <c r="AZ121" s="140">
        <f>821402-AY121-AX121</f>
        <v>282706.18799999997</v>
      </c>
      <c r="BA121" s="151">
        <f t="shared" si="110"/>
        <v>350610.08199999994</v>
      </c>
      <c r="BB121" s="140">
        <v>317730.57400000002</v>
      </c>
      <c r="BC121" s="151">
        <f t="shared" si="87"/>
        <v>316556.41399999999</v>
      </c>
      <c r="BD121" s="140">
        <f>961060.364-BC121-BB121</f>
        <v>326773.37599999993</v>
      </c>
      <c r="BE121" s="151">
        <f t="shared" si="111"/>
        <v>408750.56299999997</v>
      </c>
      <c r="BF121" s="140">
        <v>347711.24200000003</v>
      </c>
      <c r="BG121" s="151">
        <f t="shared" si="88"/>
        <v>344417.75799999997</v>
      </c>
      <c r="BH121" s="140">
        <f>1050890.386-BG121-BF121</f>
        <v>358761.386</v>
      </c>
      <c r="BI121" s="151">
        <f t="shared" si="112"/>
        <v>473021.717</v>
      </c>
      <c r="BJ121" s="140">
        <v>383846.33500000002</v>
      </c>
      <c r="BK121" s="197"/>
      <c r="BL121" s="140">
        <v>317525.55499999999</v>
      </c>
      <c r="BM121" s="140">
        <v>334266.995</v>
      </c>
      <c r="BN121" s="140">
        <v>356241.62900000002</v>
      </c>
      <c r="BO121" s="140">
        <v>396798.239</v>
      </c>
      <c r="BP121" s="140">
        <v>535835</v>
      </c>
      <c r="BQ121" s="140">
        <v>495801.44799999997</v>
      </c>
      <c r="BR121" s="140">
        <v>557691.01399999997</v>
      </c>
      <c r="BS121" s="140">
        <v>538695.81200000003</v>
      </c>
      <c r="BT121" s="140">
        <v>634286.98800000001</v>
      </c>
      <c r="BU121" s="140">
        <v>692129</v>
      </c>
      <c r="BW121" s="140">
        <v>396798.239</v>
      </c>
    </row>
    <row r="122" spans="2:75">
      <c r="B122" s="1" t="s">
        <v>614</v>
      </c>
      <c r="C122" s="1"/>
      <c r="D122" s="140">
        <v>11448.85</v>
      </c>
      <c r="E122" s="140">
        <v>28355.531999999999</v>
      </c>
      <c r="F122" s="140">
        <v>37451.004000000001</v>
      </c>
      <c r="G122" s="140">
        <v>50923.091</v>
      </c>
      <c r="H122" s="140">
        <v>47947.472999999998</v>
      </c>
      <c r="I122" s="140">
        <v>49360.883999999998</v>
      </c>
      <c r="J122" s="140">
        <v>49360.883999999998</v>
      </c>
      <c r="K122" s="140">
        <v>53259.898000000001</v>
      </c>
      <c r="L122" s="140">
        <v>34257.837</v>
      </c>
      <c r="M122" s="140">
        <v>48014.864999999998</v>
      </c>
      <c r="N122" s="140">
        <v>71868.305999999997</v>
      </c>
      <c r="O122" s="140">
        <v>75929.782999999996</v>
      </c>
      <c r="P122" s="140">
        <v>87006.98</v>
      </c>
      <c r="Q122" s="140">
        <v>20936.287</v>
      </c>
      <c r="R122" s="1"/>
      <c r="S122" s="140">
        <v>7340.7269999999999</v>
      </c>
      <c r="T122" s="151">
        <f>BL122-S122</f>
        <v>7301.3969999999999</v>
      </c>
      <c r="U122" s="140">
        <f>25638.768-T122-S122</f>
        <v>10996.644</v>
      </c>
      <c r="V122" s="151">
        <f t="shared" si="97"/>
        <v>11812.236000000001</v>
      </c>
      <c r="W122" s="140">
        <v>13025.253000000001</v>
      </c>
      <c r="X122" s="151">
        <f>BM122-W122</f>
        <v>12859.154999999999</v>
      </c>
      <c r="Y122" s="140">
        <f>38272.088-X122-W122</f>
        <v>12387.680000000004</v>
      </c>
      <c r="Z122" s="151">
        <f t="shared" si="98"/>
        <v>12651.003000000001</v>
      </c>
      <c r="AA122" s="140">
        <v>11741.955</v>
      </c>
      <c r="AB122" s="151">
        <f t="shared" si="99"/>
        <v>11257.089000000002</v>
      </c>
      <c r="AC122" s="140">
        <f>36443.069-AB122-AA122</f>
        <v>13444.025000000003</v>
      </c>
      <c r="AD122" s="151">
        <f t="shared" si="100"/>
        <v>12917.814999999997</v>
      </c>
      <c r="AE122" s="151">
        <f t="shared" si="101"/>
        <v>12917.814999999997</v>
      </c>
      <c r="AF122" s="140">
        <v>13074.212</v>
      </c>
      <c r="AG122" s="140">
        <v>13074.212</v>
      </c>
      <c r="AH122" s="151">
        <f t="shared" si="102"/>
        <v>12720.606</v>
      </c>
      <c r="AI122" s="140">
        <f>39113.765-AH122-AF122</f>
        <v>13318.947</v>
      </c>
      <c r="AJ122" s="151">
        <f t="shared" si="103"/>
        <v>14146.133000000002</v>
      </c>
      <c r="AK122" s="140">
        <v>13922.483</v>
      </c>
      <c r="AL122" s="151">
        <f t="shared" si="104"/>
        <v>4292.869999999999</v>
      </c>
      <c r="AM122" s="140">
        <f>26026.068-AL122-AK122</f>
        <v>7810.7150000000001</v>
      </c>
      <c r="AN122" s="140">
        <f>26026.068-AL122-AK122</f>
        <v>7810.7150000000001</v>
      </c>
      <c r="AO122" s="151">
        <f t="shared" si="105"/>
        <v>8231.7690000000002</v>
      </c>
      <c r="AP122" s="140">
        <v>7459.8050000000003</v>
      </c>
      <c r="AQ122" s="151">
        <f t="shared" si="106"/>
        <v>10024.278999999999</v>
      </c>
      <c r="AR122" s="140">
        <f>27565.519-AQ122-AP122</f>
        <v>10081.435000000001</v>
      </c>
      <c r="AS122" s="151">
        <f t="shared" si="107"/>
        <v>20449.345999999994</v>
      </c>
      <c r="AT122" s="140">
        <v>15273.825999999999</v>
      </c>
      <c r="AU122" s="151">
        <f t="shared" si="108"/>
        <v>16799.28</v>
      </c>
      <c r="AV122" s="140">
        <f>51119.918-AU122-AT122</f>
        <v>19046.811999999998</v>
      </c>
      <c r="AW122" s="151">
        <f t="shared" si="109"/>
        <v>20748.387999999999</v>
      </c>
      <c r="AX122" s="140">
        <v>19560.835999999999</v>
      </c>
      <c r="AY122" s="151">
        <f t="shared" si="86"/>
        <v>17875.553000000004</v>
      </c>
      <c r="AZ122" s="140">
        <f>59304.523-AY122-AX122</f>
        <v>21868.134000000002</v>
      </c>
      <c r="BA122" s="151">
        <f t="shared" si="110"/>
        <v>16625.259999999991</v>
      </c>
      <c r="BB122" s="140">
        <v>22869.672999999999</v>
      </c>
      <c r="BC122" s="151">
        <f t="shared" si="87"/>
        <v>22914.412</v>
      </c>
      <c r="BD122" s="140">
        <f>68312.017-BC122-BB122</f>
        <v>22527.932000000012</v>
      </c>
      <c r="BE122" s="151">
        <f t="shared" si="111"/>
        <v>18694.962999999985</v>
      </c>
      <c r="BF122" s="140">
        <v>5150.0770000000002</v>
      </c>
      <c r="BG122" s="151">
        <f t="shared" si="88"/>
        <v>4628.8720000000003</v>
      </c>
      <c r="BH122" s="140">
        <f>15078.226-BG122-BF122</f>
        <v>5299.2769999999991</v>
      </c>
      <c r="BI122" s="151">
        <f t="shared" si="112"/>
        <v>5858.0610000000024</v>
      </c>
      <c r="BJ122" s="140">
        <v>6813.9849999999997</v>
      </c>
      <c r="BK122" s="197"/>
      <c r="BL122" s="140">
        <v>14642.124</v>
      </c>
      <c r="BM122" s="140">
        <v>25884.407999999999</v>
      </c>
      <c r="BN122" s="140">
        <v>22999.044000000002</v>
      </c>
      <c r="BO122" s="140">
        <v>25794.817999999999</v>
      </c>
      <c r="BP122" s="140">
        <v>18215.352999999999</v>
      </c>
      <c r="BQ122" s="140">
        <v>17484.083999999999</v>
      </c>
      <c r="BR122" s="140">
        <v>32073.106</v>
      </c>
      <c r="BS122" s="140">
        <v>37436.389000000003</v>
      </c>
      <c r="BT122" s="140">
        <v>45784.084999999999</v>
      </c>
      <c r="BU122" s="140">
        <v>9778.9490000000005</v>
      </c>
      <c r="BW122" s="140">
        <v>25794.817999999999</v>
      </c>
    </row>
    <row r="123" spans="2:75">
      <c r="B123" s="5" t="s">
        <v>523</v>
      </c>
      <c r="C123" s="1"/>
      <c r="D123" s="139">
        <f>492684.962+61212.963-4385.061</f>
        <v>549512.86400000006</v>
      </c>
      <c r="E123" s="139">
        <f>614720.98+76122.047-5563.702</f>
        <v>685279.32499999995</v>
      </c>
      <c r="F123" s="139">
        <f>469115.061+73767.993-4872.734</f>
        <v>538010.31999999995</v>
      </c>
      <c r="G123" s="139">
        <f>489578.952+86892.545-5555.172</f>
        <v>570916.32499999995</v>
      </c>
      <c r="H123" s="139">
        <f>490001.32+86892.545-5555.172</f>
        <v>571338.69299999997</v>
      </c>
      <c r="I123" s="139">
        <f>366609.541+80675.756-4938.46</f>
        <v>442346.837</v>
      </c>
      <c r="J123" s="139">
        <f>366609.541+80675.756-4938.46</f>
        <v>442346.837</v>
      </c>
      <c r="K123" s="139">
        <f>325768.779+64896.36-3981.114</f>
        <v>386684.02499999997</v>
      </c>
      <c r="L123" s="139">
        <f>210008.407+34821.886-1818.903</f>
        <v>243011.39</v>
      </c>
      <c r="M123" s="139">
        <f>182389.607+14476.933+7800.059</f>
        <v>204666.59899999999</v>
      </c>
      <c r="N123" s="139">
        <v>134683.723</v>
      </c>
      <c r="O123" s="139">
        <v>0</v>
      </c>
      <c r="P123" s="139">
        <v>0</v>
      </c>
      <c r="Q123" s="139">
        <v>0</v>
      </c>
      <c r="R123" s="1"/>
      <c r="S123" s="139">
        <f>105819.488+16387.061-1136.342</f>
        <v>121070.20699999999</v>
      </c>
      <c r="T123" s="150">
        <f>BL123-S123</f>
        <v>138853.67499999999</v>
      </c>
      <c r="U123" s="139">
        <f>336922.857+54701.337-3672.78-T123-S123</f>
        <v>128027.53200000001</v>
      </c>
      <c r="V123" s="150">
        <f t="shared" si="97"/>
        <v>150058.90599999996</v>
      </c>
      <c r="W123" s="139">
        <f>103682.824+20901.797-809.886</f>
        <v>123774.73499999999</v>
      </c>
      <c r="X123" s="150">
        <f>BM123-W123</f>
        <v>149042.87599999999</v>
      </c>
      <c r="Y123" s="139">
        <f>347272.88+63471.002-3615.409-X123-W123</f>
        <v>134310.86200000002</v>
      </c>
      <c r="Z123" s="150">
        <f t="shared" si="98"/>
        <v>163787.85199999996</v>
      </c>
      <c r="AA123" s="139">
        <f>102067.028+23498.521-906.925</f>
        <v>124658.624</v>
      </c>
      <c r="AB123" s="150">
        <f t="shared" si="99"/>
        <v>129710.99399999999</v>
      </c>
      <c r="AC123" s="139">
        <f>294780.489+67121.528-3223.761-AB123-AA123</f>
        <v>104308.63799999999</v>
      </c>
      <c r="AD123" s="151">
        <f t="shared" si="100"/>
        <v>83668.58100000002</v>
      </c>
      <c r="AE123" s="151">
        <f t="shared" si="101"/>
        <v>83668.58100000002</v>
      </c>
      <c r="AF123" s="139">
        <f>66594.382+17701.246-319.099</f>
        <v>83976.528999999995</v>
      </c>
      <c r="AG123" s="139">
        <f>66594.382+17701.246-319.099</f>
        <v>83976.528999999995</v>
      </c>
      <c r="AH123" s="151">
        <f t="shared" si="102"/>
        <v>105393.99</v>
      </c>
      <c r="AI123" s="139">
        <f>206184.138+45447.476-2008.089-AH123-AF123</f>
        <v>60253.005999999979</v>
      </c>
      <c r="AJ123" s="151">
        <f t="shared" si="103"/>
        <v>137060.5</v>
      </c>
      <c r="AK123" s="139">
        <f>65088.59+14797.66-196.119</f>
        <v>79690.130999999994</v>
      </c>
      <c r="AL123" s="151">
        <f t="shared" si="104"/>
        <v>43287.075000000026</v>
      </c>
      <c r="AM123" s="139">
        <f>155627.924+30471.986-1159.703-AL123-AK123</f>
        <v>61963.000999999989</v>
      </c>
      <c r="AN123" s="139">
        <f>155627.924+30471.986-1159.703-AL123-AK123</f>
        <v>61963.000999999989</v>
      </c>
      <c r="AO123" s="151">
        <f t="shared" si="105"/>
        <v>58071.183000000019</v>
      </c>
      <c r="AP123" s="139">
        <f>53135.247+5281.654+959.352</f>
        <v>59376.253000000004</v>
      </c>
      <c r="AQ123" s="151">
        <f t="shared" si="106"/>
        <v>45522.18</v>
      </c>
      <c r="AR123" s="139">
        <f>135000.596+12103.961+5009.363-AQ123-AP123</f>
        <v>47215.487000000016</v>
      </c>
      <c r="AS123" s="151">
        <f t="shared" si="107"/>
        <v>52552.678999999967</v>
      </c>
      <c r="AT123" s="139">
        <f>26443.358+3191.606</f>
        <v>29634.964</v>
      </c>
      <c r="AU123" s="151">
        <f t="shared" si="108"/>
        <v>42530.442000000003</v>
      </c>
      <c r="AV123" s="139">
        <f>105548.859+10777.618-AU123-AT123</f>
        <v>44161.071000000004</v>
      </c>
      <c r="AW123" s="151">
        <f t="shared" si="109"/>
        <v>18357.245999999999</v>
      </c>
      <c r="AX123" s="139">
        <v>27710.620999999999</v>
      </c>
      <c r="AY123" s="151">
        <f t="shared" si="86"/>
        <v>-27710.620999999999</v>
      </c>
      <c r="AZ123" s="139">
        <f>94439-AY123-AX123</f>
        <v>94439</v>
      </c>
      <c r="BA123" s="151">
        <f t="shared" si="110"/>
        <v>-94439</v>
      </c>
      <c r="BB123" s="139">
        <v>27599.007000000001</v>
      </c>
      <c r="BC123" s="151">
        <f t="shared" si="87"/>
        <v>-27599.007000000001</v>
      </c>
      <c r="BD123" s="139">
        <v>0</v>
      </c>
      <c r="BE123" s="151">
        <f t="shared" si="111"/>
        <v>0</v>
      </c>
      <c r="BF123" s="139">
        <v>0</v>
      </c>
      <c r="BG123" s="151">
        <f t="shared" si="88"/>
        <v>0</v>
      </c>
      <c r="BH123" s="139">
        <v>0</v>
      </c>
      <c r="BI123" s="151">
        <f t="shared" si="112"/>
        <v>0</v>
      </c>
      <c r="BJ123" s="139">
        <v>0</v>
      </c>
      <c r="BK123" s="197"/>
      <c r="BL123" s="139">
        <f>227493.73+34952.548-2522.396</f>
        <v>259923.88199999998</v>
      </c>
      <c r="BM123" s="139">
        <f>232053.168+43129.432-2364.989</f>
        <v>272817.61099999998</v>
      </c>
      <c r="BN123" s="139">
        <f>208920.951+47594.253-2145.586</f>
        <v>254369.61799999999</v>
      </c>
      <c r="BO123" s="139">
        <f>154844.212+35686.071-1159.764</f>
        <v>189370.519</v>
      </c>
      <c r="BP123" s="139">
        <f>99763.49+23512.544-298.828</f>
        <v>122977.20600000002</v>
      </c>
      <c r="BQ123" s="139">
        <f>93978.155+9214.263+1706.015</f>
        <v>104898.433</v>
      </c>
      <c r="BR123" s="139">
        <f>63720.712+8444.694</f>
        <v>72165.406000000003</v>
      </c>
      <c r="BS123" s="139">
        <v>0</v>
      </c>
      <c r="BT123" s="139">
        <v>0</v>
      </c>
      <c r="BU123" s="139">
        <v>0</v>
      </c>
      <c r="BW123" s="139">
        <f>154844.212+35686.071-1159.764</f>
        <v>189370.519</v>
      </c>
    </row>
    <row r="124" spans="2:75">
      <c r="B124" s="5" t="s">
        <v>524</v>
      </c>
      <c r="C124" s="1"/>
      <c r="D124" s="139">
        <f>377614.4+19087.831</f>
        <v>396702.23100000003</v>
      </c>
      <c r="E124" s="139">
        <f>342043.43+21585.6</f>
        <v>363629.02999999997</v>
      </c>
      <c r="F124" s="139">
        <f>349598.702+24290.151</f>
        <v>373888.853</v>
      </c>
      <c r="G124" s="139">
        <f>376390.682+26049.002</f>
        <v>402439.68399999995</v>
      </c>
      <c r="H124" s="139">
        <f>356893.473+26049.002</f>
        <v>382942.47499999998</v>
      </c>
      <c r="I124" s="139">
        <f>402256.918+25475.066</f>
        <v>427731.984</v>
      </c>
      <c r="J124" s="139">
        <f>402256.918+25475.066</f>
        <v>427731.984</v>
      </c>
      <c r="K124" s="139">
        <f>436045.192+23033.978</f>
        <v>459079.17</v>
      </c>
      <c r="L124" s="139">
        <f>411048.43+20522.72</f>
        <v>431571.15</v>
      </c>
      <c r="M124" s="139">
        <f>450488.356+30712.594</f>
        <v>481200.95</v>
      </c>
      <c r="N124" s="139">
        <v>535339.55299999996</v>
      </c>
      <c r="O124" s="139">
        <f>467541.319+45531.435</f>
        <v>513072.75400000002</v>
      </c>
      <c r="P124" s="139">
        <f>554631.193+111065.412</f>
        <v>665696.60499999998</v>
      </c>
      <c r="Q124" s="139">
        <f>627769.009+148725.815</f>
        <v>776494.82400000002</v>
      </c>
      <c r="R124" s="1"/>
      <c r="S124" s="139">
        <f>61647.46+5165.145</f>
        <v>66812.604999999996</v>
      </c>
      <c r="T124" s="150">
        <f>BL124-S124</f>
        <v>87760.042999999991</v>
      </c>
      <c r="U124" s="139">
        <f>213107.854+18021.531-T124-S124</f>
        <v>76556.737000000008</v>
      </c>
      <c r="V124" s="150">
        <f t="shared" si="97"/>
        <v>142759.46799999999</v>
      </c>
      <c r="W124" s="139">
        <f>71496.116+6981.81</f>
        <v>78477.925999999992</v>
      </c>
      <c r="X124" s="151">
        <f>BM124-W124</f>
        <v>93822.365000000005</v>
      </c>
      <c r="Y124" s="139">
        <f>234670.911+20326.655-X124-W124</f>
        <v>82697.275000000009</v>
      </c>
      <c r="Z124" s="150">
        <f t="shared" si="98"/>
        <v>147442.11799999996</v>
      </c>
      <c r="AA124" s="139">
        <f>69216.537+6596.785</f>
        <v>75813.322</v>
      </c>
      <c r="AB124" s="150">
        <f t="shared" si="99"/>
        <v>99135.662999999986</v>
      </c>
      <c r="AC124" s="139">
        <f>248961.559+19764.071-AB124-AA124</f>
        <v>93776.645000000004</v>
      </c>
      <c r="AD124" s="151">
        <f t="shared" si="100"/>
        <v>159006.35399999999</v>
      </c>
      <c r="AE124" s="151">
        <f t="shared" si="101"/>
        <v>159006.35399999999</v>
      </c>
      <c r="AF124" s="139">
        <f>77183.516+6709.744</f>
        <v>83893.260000000009</v>
      </c>
      <c r="AG124" s="139">
        <f>77183.516+6709.744</f>
        <v>83893.260000000009</v>
      </c>
      <c r="AH124" s="151">
        <f t="shared" si="102"/>
        <v>101141.90299999999</v>
      </c>
      <c r="AI124" s="139">
        <f>259839.099+18477.47-AH124-AF124</f>
        <v>93281.406000000017</v>
      </c>
      <c r="AJ124" s="151">
        <f t="shared" si="103"/>
        <v>180762.60099999997</v>
      </c>
      <c r="AK124" s="139">
        <f>6180.196+78371.464</f>
        <v>84551.66</v>
      </c>
      <c r="AL124" s="151">
        <f t="shared" si="104"/>
        <v>75785.552999999985</v>
      </c>
      <c r="AM124" s="139">
        <f>245685.097+14630.216-AL124-AK124</f>
        <v>99978.100000000035</v>
      </c>
      <c r="AN124" s="139">
        <f>245685.097+14630.216-AL124-AK124</f>
        <v>99978.100000000035</v>
      </c>
      <c r="AO124" s="151">
        <f t="shared" si="105"/>
        <v>171255.837</v>
      </c>
      <c r="AP124" s="139">
        <f>78715.483+6583.865</f>
        <v>85299.347999999998</v>
      </c>
      <c r="AQ124" s="151">
        <f t="shared" si="106"/>
        <v>86452.866000000009</v>
      </c>
      <c r="AR124" s="139">
        <f>255182.644+21416.054-AQ124-AP124</f>
        <v>104846.48399999997</v>
      </c>
      <c r="AS124" s="151">
        <f t="shared" si="107"/>
        <v>204602.25199999998</v>
      </c>
      <c r="AT124" s="139">
        <f>107656.16+8596.74</f>
        <v>116252.90000000001</v>
      </c>
      <c r="AU124" s="151">
        <f t="shared" si="108"/>
        <v>139327.24599999998</v>
      </c>
      <c r="AV124" s="139">
        <f>348853.426+20716.184-AU124-AT124</f>
        <v>113989.46399999999</v>
      </c>
      <c r="AW124" s="151">
        <f t="shared" si="109"/>
        <v>165769.94299999997</v>
      </c>
      <c r="AX124" s="139">
        <f>78840.063+4431.304</f>
        <v>83271.366999999998</v>
      </c>
      <c r="AY124" s="151">
        <f t="shared" si="86"/>
        <v>99316.352000000014</v>
      </c>
      <c r="AZ124" s="139">
        <f>261664+22189-AY124-AX124</f>
        <v>101265.28099999999</v>
      </c>
      <c r="BA124" s="151">
        <f t="shared" si="110"/>
        <v>229219.75399999999</v>
      </c>
      <c r="BB124" s="139">
        <f>102748.644+24757.69</f>
        <v>127506.334</v>
      </c>
      <c r="BC124" s="151">
        <f t="shared" si="87"/>
        <v>152843.62100000001</v>
      </c>
      <c r="BD124" s="139">
        <f>344230.089+75349.922-BC124-BB124</f>
        <v>139230.05600000001</v>
      </c>
      <c r="BE124" s="151">
        <f t="shared" si="111"/>
        <v>246116.59399999995</v>
      </c>
      <c r="BF124" s="139">
        <f>36997.154+114903.552</f>
        <v>151900.70600000001</v>
      </c>
      <c r="BG124" s="151">
        <f t="shared" si="88"/>
        <v>165852.16200000001</v>
      </c>
      <c r="BH124" s="139">
        <f>382353.021+107179.893-BG124-BF124</f>
        <v>171780.04599999997</v>
      </c>
      <c r="BI124" s="151">
        <f t="shared" si="112"/>
        <v>286961.91000000003</v>
      </c>
      <c r="BJ124" s="139">
        <f>133992.624+41974.021</f>
        <v>175966.64500000002</v>
      </c>
      <c r="BK124" s="197"/>
      <c r="BL124" s="139">
        <f>143097.131+11475.517</f>
        <v>154572.64799999999</v>
      </c>
      <c r="BM124" s="139">
        <f>159050.422+13249.869</f>
        <v>172300.291</v>
      </c>
      <c r="BN124" s="139">
        <f>162359.061+12589.924</f>
        <v>174948.98499999999</v>
      </c>
      <c r="BO124" s="139">
        <f>172288.932+12746.231</f>
        <v>185035.163</v>
      </c>
      <c r="BP124" s="139">
        <f>150109.318+10227.895</f>
        <v>160337.21299999999</v>
      </c>
      <c r="BQ124" s="139">
        <f>158817.704+12934.51</f>
        <v>171752.21400000001</v>
      </c>
      <c r="BR124" s="139">
        <f>237537.513+18042.633</f>
        <v>255580.14600000001</v>
      </c>
      <c r="BS124" s="139">
        <f>173526.439+9061.28</f>
        <v>182587.71900000001</v>
      </c>
      <c r="BT124" s="139">
        <f>229619.521+50730.434</f>
        <v>280349.95500000002</v>
      </c>
      <c r="BU124" s="139">
        <f>70104.868+247648</f>
        <v>317752.86800000002</v>
      </c>
      <c r="BW124" s="139">
        <f>172288.932+12746.231</f>
        <v>185035.163</v>
      </c>
    </row>
    <row r="125" spans="2:75">
      <c r="B125" s="5" t="s">
        <v>525</v>
      </c>
      <c r="C125" s="1"/>
      <c r="D125" s="139">
        <v>200071.467</v>
      </c>
      <c r="E125" s="139">
        <v>164812.011</v>
      </c>
      <c r="F125" s="139">
        <v>167504.27900000001</v>
      </c>
      <c r="G125" s="139">
        <v>188760.03200000001</v>
      </c>
      <c r="H125" s="139">
        <v>194936.79</v>
      </c>
      <c r="I125" s="139">
        <v>182789.96299999999</v>
      </c>
      <c r="J125" s="139">
        <v>182789.96299999999</v>
      </c>
      <c r="K125" s="139">
        <v>209119.06899999999</v>
      </c>
      <c r="L125" s="139">
        <f>218878.455</f>
        <v>218878.45499999999</v>
      </c>
      <c r="M125" s="139">
        <f>234042.184</f>
        <v>234042.18400000001</v>
      </c>
      <c r="N125" s="139">
        <v>277686.78000000003</v>
      </c>
      <c r="O125" s="139">
        <v>255306.22899999999</v>
      </c>
      <c r="P125" s="139">
        <v>274690.48100000003</v>
      </c>
      <c r="Q125" s="139">
        <v>256335.75399999999</v>
      </c>
      <c r="R125" s="1"/>
      <c r="S125" s="151">
        <f>BL125-T125</f>
        <v>35747.850999999995</v>
      </c>
      <c r="T125" s="139">
        <v>41119</v>
      </c>
      <c r="U125" s="139">
        <f>121294.773-T125-S125</f>
        <v>44427.922000000006</v>
      </c>
      <c r="V125" s="151">
        <f t="shared" si="97"/>
        <v>46209.506000000008</v>
      </c>
      <c r="W125" s="151">
        <f>BM125-X125</f>
        <v>41567.407000000007</v>
      </c>
      <c r="X125" s="139">
        <v>45830</v>
      </c>
      <c r="Y125" s="139">
        <f>138762.971-X125-W125</f>
        <v>51365.563999999984</v>
      </c>
      <c r="Z125" s="150">
        <f t="shared" si="98"/>
        <v>49997.061000000016</v>
      </c>
      <c r="AA125" s="139">
        <v>45782.411</v>
      </c>
      <c r="AB125" s="150">
        <f t="shared" si="99"/>
        <v>40799.743999999999</v>
      </c>
      <c r="AC125" s="139">
        <f>130898.156-AB125-AA125</f>
        <v>44316.001000000011</v>
      </c>
      <c r="AD125" s="151">
        <f t="shared" si="100"/>
        <v>51891.806999999964</v>
      </c>
      <c r="AE125" s="151">
        <f t="shared" si="101"/>
        <v>51891.806999999964</v>
      </c>
      <c r="AF125" s="139">
        <v>48165.39</v>
      </c>
      <c r="AG125" s="139">
        <v>48165.39</v>
      </c>
      <c r="AH125" s="151">
        <f t="shared" si="102"/>
        <v>48175.418000000005</v>
      </c>
      <c r="AI125" s="139">
        <f>149805.127-AH125-AF125</f>
        <v>53464.319000000003</v>
      </c>
      <c r="AJ125" s="151">
        <f t="shared" si="103"/>
        <v>59313.941999999995</v>
      </c>
      <c r="AK125" s="139">
        <v>49190</v>
      </c>
      <c r="AL125" s="151">
        <f t="shared" si="104"/>
        <v>50905</v>
      </c>
      <c r="AM125" s="139">
        <f>159667.036-AL125-AK125</f>
        <v>59572.035999999993</v>
      </c>
      <c r="AN125" s="139">
        <f>159667.036-AL125-AK125</f>
        <v>59572.035999999993</v>
      </c>
      <c r="AO125" s="151">
        <f t="shared" si="105"/>
        <v>59211.418999999994</v>
      </c>
      <c r="AP125" s="139">
        <v>48630.434999999998</v>
      </c>
      <c r="AQ125" s="151">
        <f t="shared" si="106"/>
        <v>55605.653000000006</v>
      </c>
      <c r="AR125" s="139">
        <f>171405.16-AQ125-AP125</f>
        <v>67169.072</v>
      </c>
      <c r="AS125" s="151">
        <f t="shared" si="107"/>
        <v>62637.024000000019</v>
      </c>
      <c r="AT125" s="139">
        <f>62836.016+0</f>
        <v>62836.016000000003</v>
      </c>
      <c r="AU125" s="151">
        <f t="shared" si="108"/>
        <v>71725.084000000003</v>
      </c>
      <c r="AV125" s="139">
        <f>208250.617-AU125-AT125</f>
        <v>73689.516999999993</v>
      </c>
      <c r="AW125" s="151">
        <f t="shared" si="109"/>
        <v>69436.16300000003</v>
      </c>
      <c r="AX125" s="139">
        <f>56179.69+0</f>
        <v>56179.69</v>
      </c>
      <c r="AY125" s="151">
        <f t="shared" si="86"/>
        <v>56606.438999999998</v>
      </c>
      <c r="AZ125" s="139">
        <f>179810-AY125-AX125</f>
        <v>67023.870999999999</v>
      </c>
      <c r="BA125" s="151">
        <f t="shared" si="110"/>
        <v>75496.228999999992</v>
      </c>
      <c r="BB125" s="139">
        <f>71715.41+0</f>
        <v>71715.41</v>
      </c>
      <c r="BC125" s="151">
        <f t="shared" si="87"/>
        <v>67162.782000000007</v>
      </c>
      <c r="BD125" s="139">
        <f>205487.434-BC125-BB125</f>
        <v>66609.241999999998</v>
      </c>
      <c r="BE125" s="151">
        <f t="shared" si="111"/>
        <v>69203.04700000002</v>
      </c>
      <c r="BF125" s="139">
        <v>62477.012999999999</v>
      </c>
      <c r="BG125" s="151">
        <f t="shared" si="88"/>
        <v>61267.987000000001</v>
      </c>
      <c r="BH125" s="139">
        <f>189059.843-BG125-BF125</f>
        <v>65314.843000000001</v>
      </c>
      <c r="BI125" s="151">
        <f t="shared" si="112"/>
        <v>67275.910999999993</v>
      </c>
      <c r="BJ125" s="139">
        <v>56912.195</v>
      </c>
      <c r="BK125" s="197"/>
      <c r="BL125" s="139">
        <v>76866.850999999995</v>
      </c>
      <c r="BM125" s="139">
        <v>87397.407000000007</v>
      </c>
      <c r="BN125" s="139">
        <v>86582.154999999999</v>
      </c>
      <c r="BO125" s="139">
        <v>96340.808000000005</v>
      </c>
      <c r="BP125" s="139">
        <v>100095</v>
      </c>
      <c r="BQ125" s="139">
        <v>104236.088</v>
      </c>
      <c r="BR125" s="139">
        <v>134561.1</v>
      </c>
      <c r="BS125" s="139">
        <v>112786.129</v>
      </c>
      <c r="BT125" s="139">
        <v>138878.19200000001</v>
      </c>
      <c r="BU125" s="139">
        <v>123745</v>
      </c>
      <c r="BW125" s="139">
        <v>96340.808000000005</v>
      </c>
    </row>
    <row r="126" spans="2:75">
      <c r="B126" s="5" t="s">
        <v>526</v>
      </c>
      <c r="C126" s="1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>
        <v>0</v>
      </c>
      <c r="N126" s="139">
        <v>0</v>
      </c>
      <c r="O126" s="139">
        <v>419903.77799999999</v>
      </c>
      <c r="P126" s="139">
        <v>494605.239</v>
      </c>
      <c r="Q126" s="139">
        <v>653911.09100000001</v>
      </c>
      <c r="R126" s="1"/>
      <c r="S126" s="151"/>
      <c r="T126" s="139"/>
      <c r="U126" s="139"/>
      <c r="V126" s="151"/>
      <c r="W126" s="151"/>
      <c r="X126" s="139"/>
      <c r="Y126" s="139"/>
      <c r="Z126" s="150"/>
      <c r="AA126" s="139"/>
      <c r="AB126" s="150"/>
      <c r="AC126" s="139"/>
      <c r="AD126" s="151"/>
      <c r="AE126" s="151"/>
      <c r="AF126" s="139"/>
      <c r="AG126" s="139"/>
      <c r="AH126" s="151"/>
      <c r="AI126" s="139"/>
      <c r="AJ126" s="151"/>
      <c r="AK126" s="139"/>
      <c r="AL126" s="151"/>
      <c r="AM126" s="139"/>
      <c r="AN126" s="139"/>
      <c r="AO126" s="151"/>
      <c r="AP126" s="139"/>
      <c r="AQ126" s="151"/>
      <c r="AR126" s="139"/>
      <c r="AS126" s="151"/>
      <c r="AT126" s="139"/>
      <c r="AU126" s="151"/>
      <c r="AV126" s="139"/>
      <c r="AW126" s="151"/>
      <c r="AX126" s="139"/>
      <c r="AY126" s="151"/>
      <c r="AZ126" s="139"/>
      <c r="BA126" s="151">
        <f t="shared" si="110"/>
        <v>419903.77799999999</v>
      </c>
      <c r="BB126" s="139"/>
      <c r="BC126" s="151"/>
      <c r="BD126" s="139"/>
      <c r="BE126" s="151">
        <f t="shared" si="111"/>
        <v>494605.239</v>
      </c>
      <c r="BF126" s="139"/>
      <c r="BG126" s="151">
        <f t="shared" si="88"/>
        <v>0</v>
      </c>
      <c r="BH126" s="139">
        <f>480206.141-BG126-BF126</f>
        <v>480206.141</v>
      </c>
      <c r="BI126" s="151">
        <f t="shared" si="112"/>
        <v>173704.95</v>
      </c>
      <c r="BJ126" s="139">
        <v>165468.973</v>
      </c>
      <c r="BK126" s="197"/>
      <c r="BL126" s="139"/>
      <c r="BM126" s="139"/>
      <c r="BN126" s="139"/>
      <c r="BO126" s="139"/>
      <c r="BP126" s="139"/>
      <c r="BQ126" s="139"/>
      <c r="BR126" s="139"/>
      <c r="BS126" s="139"/>
      <c r="BT126" s="139"/>
      <c r="BU126" s="139"/>
      <c r="BW126" s="139"/>
    </row>
    <row r="127" spans="2:75">
      <c r="B127" s="5" t="s">
        <v>615</v>
      </c>
      <c r="C127" s="1"/>
      <c r="D127" s="139"/>
      <c r="E127" s="139"/>
      <c r="F127" s="139"/>
      <c r="G127" s="139"/>
      <c r="H127" s="139"/>
      <c r="I127" s="139"/>
      <c r="J127" s="139"/>
      <c r="K127" s="139"/>
      <c r="L127" s="139"/>
      <c r="M127" s="139">
        <v>0</v>
      </c>
      <c r="N127" s="139">
        <v>0</v>
      </c>
      <c r="O127" s="139">
        <v>152794.99400000001</v>
      </c>
      <c r="P127" s="139">
        <v>235231.802</v>
      </c>
      <c r="Q127" s="139">
        <v>202552.04300000001</v>
      </c>
      <c r="R127" s="1"/>
      <c r="S127" s="151"/>
      <c r="T127" s="139"/>
      <c r="U127" s="139"/>
      <c r="V127" s="151"/>
      <c r="W127" s="151"/>
      <c r="X127" s="139"/>
      <c r="Y127" s="139"/>
      <c r="Z127" s="150"/>
      <c r="AA127" s="139"/>
      <c r="AB127" s="150"/>
      <c r="AC127" s="139"/>
      <c r="AD127" s="151"/>
      <c r="AE127" s="151"/>
      <c r="AF127" s="139"/>
      <c r="AG127" s="139"/>
      <c r="AH127" s="151"/>
      <c r="AI127" s="139"/>
      <c r="AJ127" s="151"/>
      <c r="AK127" s="139"/>
      <c r="AL127" s="151"/>
      <c r="AM127" s="139"/>
      <c r="AN127" s="139"/>
      <c r="AO127" s="151"/>
      <c r="AP127" s="139"/>
      <c r="AQ127" s="151"/>
      <c r="AR127" s="139"/>
      <c r="AS127" s="151"/>
      <c r="AT127" s="139"/>
      <c r="AU127" s="151"/>
      <c r="AV127" s="139"/>
      <c r="AW127" s="151"/>
      <c r="AX127" s="139"/>
      <c r="AY127" s="151"/>
      <c r="AZ127" s="139"/>
      <c r="BA127" s="151">
        <f t="shared" si="110"/>
        <v>152794.99400000001</v>
      </c>
      <c r="BB127" s="139"/>
      <c r="BC127" s="151"/>
      <c r="BD127" s="139"/>
      <c r="BE127" s="151">
        <f t="shared" si="111"/>
        <v>235231.802</v>
      </c>
      <c r="BF127" s="139">
        <v>45285.364999999998</v>
      </c>
      <c r="BG127" s="151">
        <f t="shared" si="88"/>
        <v>65913.532000000007</v>
      </c>
      <c r="BH127" s="139">
        <f>158514.288-BG127-BF127</f>
        <v>47315.390999999996</v>
      </c>
      <c r="BI127" s="151">
        <f t="shared" si="112"/>
        <v>44037.754999999997</v>
      </c>
      <c r="BJ127" s="139">
        <v>17048.263999999999</v>
      </c>
      <c r="BK127" s="197"/>
      <c r="BL127" s="139"/>
      <c r="BM127" s="139"/>
      <c r="BN127" s="139"/>
      <c r="BO127" s="139"/>
      <c r="BP127" s="139"/>
      <c r="BQ127" s="139"/>
      <c r="BR127" s="139"/>
      <c r="BS127" s="139"/>
      <c r="BT127" s="139"/>
      <c r="BU127" s="139">
        <v>111198.897</v>
      </c>
      <c r="BW127" s="139"/>
    </row>
    <row r="128" spans="2:75">
      <c r="B128" s="5" t="s">
        <v>616</v>
      </c>
      <c r="C128" s="1"/>
      <c r="D128" s="141">
        <f t="shared" ref="D128:I128" si="113">D111+D118+D123+D124+D125</f>
        <v>7038379.7879999997</v>
      </c>
      <c r="E128" s="141">
        <f t="shared" si="113"/>
        <v>7753209.5720000006</v>
      </c>
      <c r="F128" s="141">
        <f t="shared" si="113"/>
        <v>7898301.784</v>
      </c>
      <c r="G128" s="141">
        <f t="shared" si="113"/>
        <v>8242645.2630000012</v>
      </c>
      <c r="H128" s="141">
        <f t="shared" si="113"/>
        <v>8209851.5100000007</v>
      </c>
      <c r="I128" s="141">
        <f t="shared" si="113"/>
        <v>8483577.3330000006</v>
      </c>
      <c r="J128" s="141">
        <f>J111+J118+J123+J124+J125</f>
        <v>7976898.4050000012</v>
      </c>
      <c r="K128" s="141">
        <f>K111+K118+K123+K124+K125</f>
        <v>8053582.8350000009</v>
      </c>
      <c r="L128" s="141">
        <f>L111+L118+L123+L124+L125</f>
        <v>8281049.9489999982</v>
      </c>
      <c r="M128" s="141">
        <f>M111+M118+M123+M124+M125</f>
        <v>10335383.739999998</v>
      </c>
      <c r="N128" s="141">
        <f>N111+N118+N123+N124+N125</f>
        <v>10460666.397999998</v>
      </c>
      <c r="O128" s="141">
        <f>O111+O118+O123+O124+O125+O126+O127</f>
        <v>9355114.6570000015</v>
      </c>
      <c r="P128" s="141">
        <f>P111+P118+P123+P124+P125+P126+P127</f>
        <v>10322104.478</v>
      </c>
      <c r="Q128" s="141">
        <f>Q111+Q118+Q123+Q124+Q125+Q126+Q127</f>
        <v>11342385.894000001</v>
      </c>
      <c r="R128" s="1"/>
      <c r="S128" s="141">
        <f t="shared" ref="S128:X128" si="114">S111+S118+S123+S124+S125</f>
        <v>1889595.811</v>
      </c>
      <c r="T128" s="141">
        <f t="shared" si="114"/>
        <v>1948787.6760000002</v>
      </c>
      <c r="U128" s="141">
        <f t="shared" si="114"/>
        <v>1869557.7239999999</v>
      </c>
      <c r="V128" s="141">
        <f t="shared" si="114"/>
        <v>2190360.5729999999</v>
      </c>
      <c r="W128" s="141">
        <f t="shared" si="114"/>
        <v>1952033.8810000001</v>
      </c>
      <c r="X128" s="141">
        <f t="shared" si="114"/>
        <v>2015162.1370000001</v>
      </c>
      <c r="Y128" s="141">
        <f t="shared" ref="Y128:AD128" si="115">Y111+Y118+Y123+Y124+Y125</f>
        <v>1941993.5970000001</v>
      </c>
      <c r="Z128" s="141">
        <f t="shared" si="115"/>
        <v>2333455.6480000005</v>
      </c>
      <c r="AA128" s="141">
        <f t="shared" si="115"/>
        <v>2010257.6850000003</v>
      </c>
      <c r="AB128" s="141">
        <f t="shared" si="115"/>
        <v>2106536.7970000003</v>
      </c>
      <c r="AC128" s="141">
        <f t="shared" si="115"/>
        <v>2004610.7590000001</v>
      </c>
      <c r="AD128" s="141">
        <f t="shared" si="115"/>
        <v>2362172.0919999997</v>
      </c>
      <c r="AE128" s="141">
        <f t="shared" ref="AE128:AK128" si="116">AE111+AE118+AE123+AE124+AE125</f>
        <v>1855493.1640000001</v>
      </c>
      <c r="AF128" s="141">
        <f t="shared" si="116"/>
        <v>1926900.5120000003</v>
      </c>
      <c r="AG128" s="141">
        <f t="shared" si="116"/>
        <v>1926900.5120000003</v>
      </c>
      <c r="AH128" s="141">
        <f t="shared" si="116"/>
        <v>1994081.004</v>
      </c>
      <c r="AI128" s="141">
        <f t="shared" si="116"/>
        <v>1881456.2499999998</v>
      </c>
      <c r="AJ128" s="141">
        <f t="shared" si="116"/>
        <v>2251145.0689999997</v>
      </c>
      <c r="AK128" s="141">
        <f t="shared" si="116"/>
        <v>1887698.2930000001</v>
      </c>
      <c r="AL128" s="141">
        <f t="shared" ref="AL128:AR128" si="117">AL111+AL118+AL123+AL124+AL125</f>
        <v>1458364.25</v>
      </c>
      <c r="AM128" s="141">
        <f t="shared" si="117"/>
        <v>2217405.8169999998</v>
      </c>
      <c r="AN128" s="141">
        <f>AN111+AN118+AN123+AN124+AN125</f>
        <v>2217405.8169999998</v>
      </c>
      <c r="AO128" s="141">
        <f t="shared" si="117"/>
        <v>2717581.5889999997</v>
      </c>
      <c r="AP128" s="141">
        <f t="shared" si="117"/>
        <v>2218078.4550000005</v>
      </c>
      <c r="AQ128" s="141">
        <f t="shared" si="117"/>
        <v>2390588.7439999999</v>
      </c>
      <c r="AR128" s="141">
        <f t="shared" si="117"/>
        <v>2620892.4420000007</v>
      </c>
      <c r="AS128" s="141">
        <f t="shared" ref="AS128:AX128" si="118">AS111+AS118+AS123+AS124+AS125</f>
        <v>3105824.0990000004</v>
      </c>
      <c r="AT128" s="141">
        <f t="shared" si="118"/>
        <v>2546146.5869999998</v>
      </c>
      <c r="AU128" s="141">
        <f t="shared" si="118"/>
        <v>2619187.9019999993</v>
      </c>
      <c r="AV128" s="141">
        <f t="shared" si="118"/>
        <v>2492158.7419999996</v>
      </c>
      <c r="AW128" s="141">
        <f t="shared" si="118"/>
        <v>2803173.1670000004</v>
      </c>
      <c r="AX128" s="141">
        <f t="shared" si="118"/>
        <v>2274726.2649999997</v>
      </c>
      <c r="AY128" s="141">
        <f t="shared" ref="AY128:BD128" si="119">AY111+AY118+AY123+AY124+AY125+AY126+AY127</f>
        <v>2219917.3820000002</v>
      </c>
      <c r="AZ128" s="141">
        <f t="shared" si="119"/>
        <v>2206436.9849999999</v>
      </c>
      <c r="BA128" s="141">
        <f t="shared" si="119"/>
        <v>2654034.0249999999</v>
      </c>
      <c r="BB128" s="141">
        <f t="shared" si="119"/>
        <v>2392525.6860000002</v>
      </c>
      <c r="BC128" s="141">
        <f t="shared" si="119"/>
        <v>2445288.1239999998</v>
      </c>
      <c r="BD128" s="141">
        <f t="shared" si="119"/>
        <v>2402953.8710000003</v>
      </c>
      <c r="BE128" s="141">
        <f t="shared" ref="BE128:BJ128" si="120">BE111+BE118+BE123+BE124+BE125+BE126+BE127</f>
        <v>3081336.7970000003</v>
      </c>
      <c r="BF128" s="141">
        <f t="shared" si="120"/>
        <v>2653179.247</v>
      </c>
      <c r="BG128" s="141">
        <f t="shared" si="120"/>
        <v>2693468.9720000001</v>
      </c>
      <c r="BH128" s="141">
        <f t="shared" si="120"/>
        <v>2630299.6989999996</v>
      </c>
      <c r="BI128" s="141">
        <f t="shared" si="120"/>
        <v>3365437.9760000003</v>
      </c>
      <c r="BJ128" s="141">
        <f t="shared" si="120"/>
        <v>2766025.946</v>
      </c>
      <c r="BK128" s="197"/>
      <c r="BL128" s="141">
        <f t="shared" ref="BL128:BQ128" si="121">BL111+BL118+BL123+BL124+BL125</f>
        <v>3838383.4869999997</v>
      </c>
      <c r="BM128" s="141">
        <f t="shared" si="121"/>
        <v>3967196.0180000006</v>
      </c>
      <c r="BN128" s="141">
        <f t="shared" si="121"/>
        <v>4116794.4819999998</v>
      </c>
      <c r="BO128" s="141">
        <f t="shared" si="121"/>
        <v>3920981.5160000008</v>
      </c>
      <c r="BP128" s="141">
        <f t="shared" si="121"/>
        <v>3346062.5430000005</v>
      </c>
      <c r="BQ128" s="141">
        <f t="shared" si="121"/>
        <v>4608667.199</v>
      </c>
      <c r="BR128" s="141">
        <f>BR111+BR118+BR123+BR124+BR125</f>
        <v>5165334.4889999991</v>
      </c>
      <c r="BS128" s="141">
        <f>BS111+BS118+BS123+BS124+BS125</f>
        <v>4494643.6469999999</v>
      </c>
      <c r="BT128" s="141">
        <f>BT111+BT118+BT123+BT124+BT125</f>
        <v>4837813.8099999996</v>
      </c>
      <c r="BU128" s="141">
        <f>BU111+BU118+BU123+BU124+BU125+BU127</f>
        <v>5346648.2189999996</v>
      </c>
      <c r="BW128" s="141">
        <f>BW111+BW118+BW123+BW124+BW125</f>
        <v>3920981.5160000008</v>
      </c>
    </row>
    <row r="129" spans="2:75" s="190" customFormat="1">
      <c r="B129" s="548" t="s">
        <v>617</v>
      </c>
      <c r="C129" s="548"/>
      <c r="D129" s="440">
        <f>+D128-Model!C8</f>
        <v>0</v>
      </c>
      <c r="E129" s="440">
        <f>+E128-Model!D8</f>
        <v>0</v>
      </c>
      <c r="F129" s="440">
        <f>+F128-Model!E8</f>
        <v>0</v>
      </c>
      <c r="G129" s="440">
        <f>+G128-Model!F8</f>
        <v>0</v>
      </c>
      <c r="H129" s="440">
        <f>+H128-Model!G8</f>
        <v>0</v>
      </c>
      <c r="I129" s="440">
        <f>+I128-Model!H8</f>
        <v>0</v>
      </c>
      <c r="J129" s="440">
        <f>+J128-Model!I8</f>
        <v>0</v>
      </c>
      <c r="K129" s="440">
        <f>+K128-Model!J8</f>
        <v>0</v>
      </c>
      <c r="L129" s="440">
        <f>+L128-Model!K8</f>
        <v>0</v>
      </c>
      <c r="M129" s="549">
        <f>+M128-Model!L8</f>
        <v>0</v>
      </c>
      <c r="N129" s="549">
        <f>+N128-Model!M8</f>
        <v>0</v>
      </c>
      <c r="O129" s="549">
        <f>+O128-Model!N8</f>
        <v>0</v>
      </c>
      <c r="P129" s="549">
        <f>+P128-Model!O8</f>
        <v>0</v>
      </c>
      <c r="Q129" s="549">
        <f>+Q128-Model!P8</f>
        <v>-1.999998465180397E-3</v>
      </c>
      <c r="R129" s="549"/>
      <c r="S129" s="549">
        <f>+S128-Model!R8</f>
        <v>-0.41400000010617077</v>
      </c>
      <c r="T129" s="549">
        <f>+T128-Model!S8</f>
        <v>0.41400000010617077</v>
      </c>
      <c r="U129" s="549">
        <f>+U128-Model!T8</f>
        <v>0</v>
      </c>
      <c r="V129" s="549">
        <f>+V128-Model!U8</f>
        <v>0</v>
      </c>
      <c r="W129" s="549">
        <f>+W128-Model!V8</f>
        <v>0.76800000015646219</v>
      </c>
      <c r="X129" s="549">
        <f>+X128-Model!W8</f>
        <v>-0.76800000015646219</v>
      </c>
      <c r="Y129" s="549">
        <f>+Y128-Model!X8</f>
        <v>0</v>
      </c>
      <c r="Z129" s="549">
        <f>+Z128-Model!Y8</f>
        <v>0</v>
      </c>
      <c r="AA129" s="549">
        <f>+AA128-Model!Z8</f>
        <v>0</v>
      </c>
      <c r="AB129" s="549">
        <f>+AB128-Model!AA8</f>
        <v>1.0000000242143869E-2</v>
      </c>
      <c r="AC129" s="549">
        <f>+AC128-Model!AB8</f>
        <v>-1.0000000242143869E-2</v>
      </c>
      <c r="AD129" s="549">
        <f>+AD128-Model!AC8</f>
        <v>0</v>
      </c>
      <c r="AE129" s="549">
        <f>+AE128-Model!BK8</f>
        <v>0</v>
      </c>
      <c r="AF129" s="549">
        <f>+AF128-Model!AD8</f>
        <v>0</v>
      </c>
      <c r="AG129" s="549">
        <f>+AG128-Model!BL8</f>
        <v>0</v>
      </c>
      <c r="AH129" s="549">
        <f>+AH128-Model!AE8</f>
        <v>0</v>
      </c>
      <c r="AI129" s="549">
        <f>+AI128-Model!AF8</f>
        <v>0</v>
      </c>
      <c r="AJ129" s="549">
        <f>+AJ128-Model!AG8</f>
        <v>0</v>
      </c>
      <c r="AK129" s="549">
        <f>+AK128-Model!AH8</f>
        <v>-0.31899999990127981</v>
      </c>
      <c r="AL129" s="549">
        <f>+AL128-Model!AI8</f>
        <v>0.15500000002793968</v>
      </c>
      <c r="AM129" s="549">
        <f>+AM128-Model!AJ8</f>
        <v>0.16399999894201756</v>
      </c>
      <c r="AN129" s="549">
        <f>+AN128-Model!AJ8</f>
        <v>0.16399999894201756</v>
      </c>
      <c r="AO129" s="549">
        <f>+AO128-Model!AK8</f>
        <v>0</v>
      </c>
      <c r="AP129" s="549">
        <f>+AP128-Model!AL8</f>
        <v>0</v>
      </c>
      <c r="AQ129" s="549">
        <f>+AQ128-Model!AM8</f>
        <v>0</v>
      </c>
      <c r="AR129" s="549">
        <f>+AR128-Model!AN8</f>
        <v>0</v>
      </c>
      <c r="AS129" s="549">
        <f>+AS128-Model!AO8</f>
        <v>0</v>
      </c>
      <c r="AT129" s="549">
        <f>+AT128-Model!AP8</f>
        <v>0</v>
      </c>
      <c r="AU129" s="549">
        <f>+AU128-Model!AQ8</f>
        <v>0</v>
      </c>
      <c r="AV129" s="549">
        <f>+AV128-Model!AR8</f>
        <v>0</v>
      </c>
      <c r="AW129" s="549">
        <f>+AW128-Model!AS8</f>
        <v>0</v>
      </c>
      <c r="AX129" s="549">
        <f>+AX128-Model!AT8</f>
        <v>0</v>
      </c>
      <c r="AY129" s="549">
        <f>+AY128-Model!AU8</f>
        <v>0</v>
      </c>
      <c r="AZ129" s="549">
        <f>+AZ128-Model!AV8</f>
        <v>0.36899999901652336</v>
      </c>
      <c r="BA129" s="549">
        <f>+BA128-Model!AW8</f>
        <v>-0.36899999994784594</v>
      </c>
      <c r="BB129" s="549">
        <f>+BB128-Model!AX8</f>
        <v>3.7000000011175871E-2</v>
      </c>
      <c r="BC129" s="549">
        <f>+BC128-Model!AY8</f>
        <v>-3.6999999545514584E-2</v>
      </c>
      <c r="BD129" s="549">
        <f>+BD128-Model!AZ8</f>
        <v>0</v>
      </c>
      <c r="BE129" s="549">
        <f>+BE128-Model!BA8</f>
        <v>0</v>
      </c>
      <c r="BF129" s="549">
        <f>+BF128-Model!BB8</f>
        <v>0</v>
      </c>
      <c r="BG129" s="549">
        <f>+BG128-Model!BC8</f>
        <v>0.35899999970570207</v>
      </c>
      <c r="BH129" s="232">
        <f>+BH128-Model!BD8</f>
        <v>-0.35900000017136335</v>
      </c>
      <c r="BI129" s="549">
        <f>+BI128-Model!BE8</f>
        <v>-1.9999993965029716E-3</v>
      </c>
      <c r="BJ129" s="549">
        <f>+BJ128-Model!BF8</f>
        <v>0</v>
      </c>
      <c r="BK129" s="558"/>
      <c r="BL129" s="549">
        <f>+BL128-Model!BN8</f>
        <v>0</v>
      </c>
      <c r="BM129" s="549">
        <f>+BM128-Model!BO8</f>
        <v>0</v>
      </c>
      <c r="BN129" s="549">
        <f>+BN128-Model!BP8</f>
        <v>9.9999997764825821E-3</v>
      </c>
      <c r="BO129" s="549">
        <f>+BO128-Model!BQ8</f>
        <v>0</v>
      </c>
      <c r="BP129" s="549">
        <f>+BP128-Model!BR8</f>
        <v>-0.16399999940767884</v>
      </c>
      <c r="BQ129" s="549">
        <f>+BQ128-Model!BS8</f>
        <v>0</v>
      </c>
      <c r="BR129" s="549">
        <f>+BR128-Model!BT8</f>
        <v>0</v>
      </c>
      <c r="BS129" s="549">
        <f>+BS128-Model!BU8</f>
        <v>0</v>
      </c>
      <c r="BT129" s="549">
        <f>+BT128-Model!BV8</f>
        <v>0</v>
      </c>
      <c r="BU129" s="549">
        <f>+BU128-Model!BW8</f>
        <v>0.35899999924004078</v>
      </c>
      <c r="BW129" s="340">
        <f>+BW128-Model!BZ8</f>
        <v>0</v>
      </c>
    </row>
    <row r="130" spans="2:7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</row>
    <row r="131" spans="2:75">
      <c r="B131" s="120" t="s">
        <v>618</v>
      </c>
      <c r="C131" s="120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62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62"/>
      <c r="BL131" s="82"/>
      <c r="BM131" s="82"/>
      <c r="BN131" s="82"/>
      <c r="BO131" s="82"/>
      <c r="BP131" s="82"/>
      <c r="BQ131" s="82"/>
      <c r="BR131" s="82"/>
      <c r="BS131" s="82"/>
      <c r="BT131" s="82"/>
      <c r="BU131" s="82"/>
      <c r="BW131" s="82"/>
    </row>
    <row r="132" spans="2:75">
      <c r="B132" s="5" t="s">
        <v>619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</row>
    <row r="133" spans="2:75">
      <c r="B133" s="5" t="s">
        <v>521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</row>
    <row r="134" spans="2:75">
      <c r="B134" s="1" t="s">
        <v>610</v>
      </c>
      <c r="C134" s="1"/>
      <c r="D134" s="302"/>
      <c r="E134" s="302"/>
      <c r="F134" s="302"/>
      <c r="G134" s="302"/>
      <c r="H134" s="302"/>
      <c r="I134" s="302"/>
      <c r="J134" s="302"/>
      <c r="K134" s="360">
        <f t="shared" ref="K134:P136" si="122">K112</f>
        <v>1472210.6170000001</v>
      </c>
      <c r="L134" s="360">
        <f t="shared" si="122"/>
        <v>1554181.69</v>
      </c>
      <c r="M134" s="360">
        <f t="shared" si="122"/>
        <v>2205805.4870000002</v>
      </c>
      <c r="N134" s="360">
        <f t="shared" si="122"/>
        <v>2016957.0120000001</v>
      </c>
      <c r="O134" s="360">
        <f t="shared" si="122"/>
        <v>1860536.064</v>
      </c>
      <c r="P134" s="360">
        <f t="shared" si="122"/>
        <v>1964086.558</v>
      </c>
      <c r="Q134" s="360">
        <f>Q112</f>
        <v>2240970.0129999998</v>
      </c>
      <c r="R134" s="1"/>
      <c r="S134" s="302"/>
      <c r="T134" s="302"/>
      <c r="U134" s="302"/>
      <c r="V134" s="302"/>
      <c r="W134" s="302"/>
      <c r="X134" s="302"/>
      <c r="Y134" s="302"/>
      <c r="Z134" s="302"/>
      <c r="AA134" s="302"/>
      <c r="AB134" s="302"/>
      <c r="AC134" s="302"/>
      <c r="AD134" s="302"/>
      <c r="AE134" s="302"/>
      <c r="AF134" s="302"/>
      <c r="AG134" s="360">
        <f>AG112</f>
        <v>355354.3</v>
      </c>
      <c r="AH134" s="151">
        <f>BO134-AG134</f>
        <v>363940.34300000005</v>
      </c>
      <c r="AI134" s="360">
        <f>AI112</f>
        <v>331964.41199999984</v>
      </c>
      <c r="AJ134" s="151">
        <f>K134-AI134-AH134-AG134</f>
        <v>420951.56200000021</v>
      </c>
      <c r="AK134" s="360">
        <f>AK112</f>
        <v>299981</v>
      </c>
      <c r="AL134" s="151">
        <f>BP134-AK134</f>
        <v>241080</v>
      </c>
      <c r="AM134" s="360">
        <f t="shared" ref="AM134:AN136" si="123">AM112</f>
        <v>419749.84600000002</v>
      </c>
      <c r="AN134" s="360">
        <f t="shared" si="123"/>
        <v>419749.84600000002</v>
      </c>
      <c r="AO134" s="151">
        <f>L134-AM134-AL134-AK134</f>
        <v>593370.84400000004</v>
      </c>
      <c r="AP134" s="360">
        <f>AP112</f>
        <v>425469.489</v>
      </c>
      <c r="AQ134" s="151">
        <f>BQ134-AP134</f>
        <v>478631.69199999998</v>
      </c>
      <c r="AR134" s="360">
        <f>AR112</f>
        <v>581162.74199999985</v>
      </c>
      <c r="AS134" s="151">
        <f>M134-AR134-AQ134-AP134</f>
        <v>720541.56400000025</v>
      </c>
      <c r="AT134" s="360">
        <f>AT112</f>
        <v>483708.60200000001</v>
      </c>
      <c r="AU134" s="151">
        <f>BR134-AT134</f>
        <v>516285.47700000001</v>
      </c>
      <c r="AV134" s="360">
        <f>AV112</f>
        <v>444026.87199999992</v>
      </c>
      <c r="AW134" s="151">
        <f>N134-AV134-AU134-AT134</f>
        <v>572936.06100000022</v>
      </c>
      <c r="AX134" s="360">
        <f>AX112</f>
        <v>389383.31199999998</v>
      </c>
      <c r="AY134" s="151">
        <f>BS134-AX134</f>
        <v>484551.93900000007</v>
      </c>
      <c r="AZ134" s="360">
        <f>AZ112</f>
        <v>318867.74900000001</v>
      </c>
      <c r="BA134" s="151">
        <f>O134-AZ134-AY134-AX134</f>
        <v>667733.06400000001</v>
      </c>
      <c r="BB134" s="360">
        <f>BB112</f>
        <v>383314</v>
      </c>
      <c r="BC134" s="151">
        <f>BT134-BB134</f>
        <v>506622.81599999999</v>
      </c>
      <c r="BD134" s="140">
        <f>1306729-BC134-BB134</f>
        <v>416792.18400000001</v>
      </c>
      <c r="BE134" s="151">
        <f>P134-BD134-BC134-BB134</f>
        <v>657357.55799999984</v>
      </c>
      <c r="BF134" s="360">
        <f>BF112</f>
        <v>522856.93599999999</v>
      </c>
      <c r="BG134" s="151">
        <f>BU134-BF134</f>
        <v>532212.06400000001</v>
      </c>
      <c r="BH134" s="140">
        <v>1618462</v>
      </c>
      <c r="BI134" s="513"/>
      <c r="BJ134" s="360">
        <f>BJ112</f>
        <v>504906.10200000001</v>
      </c>
      <c r="BK134" s="1"/>
      <c r="BL134" s="302"/>
      <c r="BM134" s="302"/>
      <c r="BN134" s="302"/>
      <c r="BO134" s="360">
        <f t="shared" ref="BO134:BT136" si="124">BO112</f>
        <v>719294.64300000004</v>
      </c>
      <c r="BP134" s="360">
        <f t="shared" si="124"/>
        <v>541061</v>
      </c>
      <c r="BQ134" s="360">
        <f t="shared" si="124"/>
        <v>904101.18099999998</v>
      </c>
      <c r="BR134" s="360">
        <f t="shared" si="124"/>
        <v>999994.07900000003</v>
      </c>
      <c r="BS134" s="360">
        <f t="shared" si="124"/>
        <v>873935.25100000005</v>
      </c>
      <c r="BT134" s="360">
        <f t="shared" si="124"/>
        <v>889936.81599999999</v>
      </c>
      <c r="BU134" s="360">
        <f>BU112</f>
        <v>1055069</v>
      </c>
    </row>
    <row r="135" spans="2:75">
      <c r="B135" s="1" t="s">
        <v>611</v>
      </c>
      <c r="C135" s="1"/>
      <c r="D135" s="302"/>
      <c r="E135" s="302"/>
      <c r="F135" s="302"/>
      <c r="G135" s="302"/>
      <c r="H135" s="302"/>
      <c r="I135" s="302"/>
      <c r="J135" s="302"/>
      <c r="K135" s="360">
        <f t="shared" si="122"/>
        <v>2092652.5660000001</v>
      </c>
      <c r="L135" s="360">
        <f t="shared" si="122"/>
        <v>2290251.443</v>
      </c>
      <c r="M135" s="360">
        <f t="shared" si="122"/>
        <v>3255724.1490000002</v>
      </c>
      <c r="N135" s="360">
        <f t="shared" si="122"/>
        <v>2957797.4589999998</v>
      </c>
      <c r="O135" s="360">
        <f t="shared" si="122"/>
        <v>2364993.2609999999</v>
      </c>
      <c r="P135" s="360">
        <f t="shared" si="122"/>
        <v>2422084.4840000002</v>
      </c>
      <c r="Q135" s="360">
        <f>Q113</f>
        <v>2555785.7560000001</v>
      </c>
      <c r="R135" s="1"/>
      <c r="S135" s="302"/>
      <c r="T135" s="302"/>
      <c r="U135" s="302"/>
      <c r="V135" s="302"/>
      <c r="W135" s="302"/>
      <c r="X135" s="302"/>
      <c r="Y135" s="302"/>
      <c r="Z135" s="302"/>
      <c r="AA135" s="302"/>
      <c r="AB135" s="302"/>
      <c r="AC135" s="302"/>
      <c r="AD135" s="302"/>
      <c r="AE135" s="302"/>
      <c r="AF135" s="302"/>
      <c r="AG135" s="360">
        <f>AG113</f>
        <v>571847.89800000004</v>
      </c>
      <c r="AH135" s="151">
        <f>BO135-AG135</f>
        <v>529456.74099999992</v>
      </c>
      <c r="AI135" s="360">
        <f>AI113</f>
        <v>490399.21800000011</v>
      </c>
      <c r="AJ135" s="151">
        <f>K135-AI135-AH135-AG135</f>
        <v>500948.70900000003</v>
      </c>
      <c r="AK135" s="360">
        <f>AK113</f>
        <v>528321</v>
      </c>
      <c r="AL135" s="151">
        <f>BP135-AK135</f>
        <v>418101</v>
      </c>
      <c r="AM135" s="360">
        <f t="shared" si="123"/>
        <v>614849.96800000011</v>
      </c>
      <c r="AN135" s="360">
        <f t="shared" si="123"/>
        <v>614849.96800000011</v>
      </c>
      <c r="AO135" s="151">
        <f>L135-AM135-AL135-AK135</f>
        <v>728979.47499999986</v>
      </c>
      <c r="AP135" s="360">
        <f>AP113</f>
        <v>728350.13199999998</v>
      </c>
      <c r="AQ135" s="151">
        <f>BQ135-AP135</f>
        <v>819373.10400000005</v>
      </c>
      <c r="AR135" s="360">
        <f>AR113</f>
        <v>816514.19900000002</v>
      </c>
      <c r="AS135" s="151">
        <f>M135-AR135-AQ135-AP135</f>
        <v>891486.71400000015</v>
      </c>
      <c r="AT135" s="360">
        <f>AT113</f>
        <v>847987.43</v>
      </c>
      <c r="AU135" s="151">
        <f>BR135-AT135</f>
        <v>769868.07299999997</v>
      </c>
      <c r="AV135" s="360">
        <f>AV113</f>
        <v>650135.4389999999</v>
      </c>
      <c r="AW135" s="151">
        <f>N135-AV135-AU135-AT135</f>
        <v>689806.51700000011</v>
      </c>
      <c r="AX135" s="360">
        <f>AX113</f>
        <v>662497.09199999995</v>
      </c>
      <c r="AY135" s="151">
        <f>BS135-AX135</f>
        <v>583261.36600000015</v>
      </c>
      <c r="AZ135" s="360">
        <f>AZ113</f>
        <v>525075.5419999999</v>
      </c>
      <c r="BA135" s="151">
        <f>O135-AZ135-AY135-AX135</f>
        <v>594159.26099999994</v>
      </c>
      <c r="BB135" s="360">
        <f>BB113</f>
        <v>624369</v>
      </c>
      <c r="BC135" s="151">
        <f>BT135-BB135</f>
        <v>587348.83700000006</v>
      </c>
      <c r="BD135" s="140">
        <f>1767371-BC135-BB135</f>
        <v>555653.16299999994</v>
      </c>
      <c r="BE135" s="151">
        <f>P135-BD135-BC135-BB135</f>
        <v>654713.48400000017</v>
      </c>
      <c r="BF135" s="360">
        <f>BF113</f>
        <v>676044.60100000002</v>
      </c>
      <c r="BG135" s="151">
        <f>BU135-BF135</f>
        <v>629131.39899999998</v>
      </c>
      <c r="BH135" s="140"/>
      <c r="BI135" s="513"/>
      <c r="BJ135" s="360">
        <f>BJ113</f>
        <v>682481.56799999997</v>
      </c>
      <c r="BK135" s="1"/>
      <c r="BL135" s="302"/>
      <c r="BM135" s="302"/>
      <c r="BN135" s="302"/>
      <c r="BO135" s="360">
        <f t="shared" si="124"/>
        <v>1101304.639</v>
      </c>
      <c r="BP135" s="360">
        <f t="shared" si="124"/>
        <v>946422</v>
      </c>
      <c r="BQ135" s="360">
        <f t="shared" si="124"/>
        <v>1547723.236</v>
      </c>
      <c r="BR135" s="360">
        <f t="shared" si="124"/>
        <v>1617855.503</v>
      </c>
      <c r="BS135" s="360">
        <f t="shared" si="124"/>
        <v>1245758.4580000001</v>
      </c>
      <c r="BT135" s="360">
        <f t="shared" si="124"/>
        <v>1211717.8370000001</v>
      </c>
      <c r="BU135" s="360">
        <f>BU113</f>
        <v>1305176</v>
      </c>
    </row>
    <row r="136" spans="2:75">
      <c r="B136" s="1" t="s">
        <v>612</v>
      </c>
      <c r="C136" s="1"/>
      <c r="D136" s="302"/>
      <c r="E136" s="302"/>
      <c r="F136" s="302"/>
      <c r="G136" s="302"/>
      <c r="H136" s="302"/>
      <c r="I136" s="302"/>
      <c r="J136" s="302"/>
      <c r="K136" s="360">
        <f t="shared" si="122"/>
        <v>750664.89899999998</v>
      </c>
      <c r="L136" s="360">
        <f t="shared" si="122"/>
        <v>867017.58600000001</v>
      </c>
      <c r="M136" s="360">
        <f t="shared" si="122"/>
        <v>989973.95700000005</v>
      </c>
      <c r="N136" s="360">
        <f t="shared" si="122"/>
        <v>1006466.991</v>
      </c>
      <c r="O136" s="360">
        <f t="shared" si="122"/>
        <v>983647.70900000003</v>
      </c>
      <c r="P136" s="360">
        <f t="shared" si="122"/>
        <v>1020387.4570000001</v>
      </c>
      <c r="Q136" s="360">
        <f>Q114</f>
        <v>1082711.7309999999</v>
      </c>
      <c r="R136" s="1"/>
      <c r="S136" s="302"/>
      <c r="T136" s="302"/>
      <c r="U136" s="302"/>
      <c r="V136" s="302"/>
      <c r="W136" s="302"/>
      <c r="X136" s="302"/>
      <c r="Y136" s="302"/>
      <c r="Z136" s="302"/>
      <c r="AA136" s="302"/>
      <c r="AB136" s="302"/>
      <c r="AC136" s="302"/>
      <c r="AD136" s="302"/>
      <c r="AE136" s="302"/>
      <c r="AF136" s="302"/>
      <c r="AG136" s="360">
        <f>AG114</f>
        <v>185449.68400000001</v>
      </c>
      <c r="AH136" s="151">
        <f>BO136-AG136</f>
        <v>189583.13799999998</v>
      </c>
      <c r="AI136" s="360">
        <f>AI114</f>
        <v>195444.61500000005</v>
      </c>
      <c r="AJ136" s="151">
        <f>K136-AI136-AH136-AG136</f>
        <v>180187.462</v>
      </c>
      <c r="AK136" s="360">
        <f>AK114</f>
        <v>185416</v>
      </c>
      <c r="AL136" s="151">
        <f>BP136-AK136</f>
        <v>196993</v>
      </c>
      <c r="AM136" s="360">
        <f t="shared" si="123"/>
        <v>230902.62</v>
      </c>
      <c r="AN136" s="360">
        <f t="shared" si="123"/>
        <v>230902.62</v>
      </c>
      <c r="AO136" s="151">
        <f>L136-AM136-AL136-AK136</f>
        <v>253705.96600000001</v>
      </c>
      <c r="AP136" s="360">
        <f>AP114</f>
        <v>222198.14300000001</v>
      </c>
      <c r="AQ136" s="151">
        <f>BQ136-AP136</f>
        <v>246256.682</v>
      </c>
      <c r="AR136" s="360">
        <f>AR114</f>
        <v>250402.87099999996</v>
      </c>
      <c r="AS136" s="151">
        <f>M136-AR136-AQ136-AP136</f>
        <v>271116.26100000006</v>
      </c>
      <c r="AT136" s="360">
        <f>AT114</f>
        <v>240053.69899999999</v>
      </c>
      <c r="AU136" s="151">
        <f>BR136-AT136</f>
        <v>241103.40599999999</v>
      </c>
      <c r="AV136" s="360">
        <f>AV114</f>
        <v>256845.74000000002</v>
      </c>
      <c r="AW136" s="151">
        <f>N136-AV136-AU136-AT136</f>
        <v>268464.14600000007</v>
      </c>
      <c r="AX136" s="360">
        <f>AX114</f>
        <v>242400.20199999999</v>
      </c>
      <c r="AY136" s="151">
        <f>BS136-AX136</f>
        <v>238414.375</v>
      </c>
      <c r="AZ136" s="360">
        <f>AZ114</f>
        <v>243441.42300000001</v>
      </c>
      <c r="BA136" s="151">
        <f>O136-AZ136-AY136-AX136</f>
        <v>259391.70900000009</v>
      </c>
      <c r="BB136" s="360">
        <f>BB114</f>
        <v>238696</v>
      </c>
      <c r="BC136" s="151">
        <f>BT136-BB136</f>
        <v>241417.87699999998</v>
      </c>
      <c r="BD136" s="140">
        <f>740724-BC136-BB136</f>
        <v>260610.12300000002</v>
      </c>
      <c r="BE136" s="151">
        <f>P136-BD136-BC136-BB136</f>
        <v>279663.45700000005</v>
      </c>
      <c r="BF136" s="360">
        <f>BF114</f>
        <v>256885.68799999999</v>
      </c>
      <c r="BG136" s="151">
        <f>BU136-BF136</f>
        <v>254658.31200000001</v>
      </c>
      <c r="BH136" s="140"/>
      <c r="BI136" s="513"/>
      <c r="BJ136" s="360">
        <f>BJ114</f>
        <v>275913.18400000001</v>
      </c>
      <c r="BK136" s="1"/>
      <c r="BL136" s="302"/>
      <c r="BM136" s="302"/>
      <c r="BN136" s="302"/>
      <c r="BO136" s="360">
        <f t="shared" si="124"/>
        <v>375032.82199999999</v>
      </c>
      <c r="BP136" s="360">
        <f t="shared" si="124"/>
        <v>382409</v>
      </c>
      <c r="BQ136" s="360">
        <f t="shared" si="124"/>
        <v>468454.82500000001</v>
      </c>
      <c r="BR136" s="360">
        <f t="shared" si="124"/>
        <v>481157.10499999998</v>
      </c>
      <c r="BS136" s="360">
        <f t="shared" si="124"/>
        <v>480814.57699999999</v>
      </c>
      <c r="BT136" s="360">
        <f t="shared" si="124"/>
        <v>480113.87699999998</v>
      </c>
      <c r="BU136" s="360">
        <f>BU114</f>
        <v>511544</v>
      </c>
    </row>
    <row r="137" spans="2:75" s="190" customFormat="1">
      <c r="B137" s="5" t="s">
        <v>620</v>
      </c>
      <c r="C137" s="550"/>
      <c r="D137" s="302"/>
      <c r="E137" s="302"/>
      <c r="F137" s="302"/>
      <c r="G137" s="302"/>
      <c r="H137" s="302"/>
      <c r="I137" s="302"/>
      <c r="J137" s="302"/>
      <c r="K137" s="140">
        <v>891275</v>
      </c>
      <c r="L137" s="140">
        <v>770279</v>
      </c>
      <c r="M137" s="140">
        <v>751708</v>
      </c>
      <c r="N137" s="140">
        <v>1163068</v>
      </c>
      <c r="O137" s="140">
        <f>1159055</f>
        <v>1159055</v>
      </c>
      <c r="P137" s="140">
        <v>1066679</v>
      </c>
      <c r="Q137" s="140">
        <f>7068577-SUM(Q134:Q136)</f>
        <v>1189109.5000000009</v>
      </c>
      <c r="R137" s="551"/>
      <c r="S137" s="302"/>
      <c r="T137" s="302"/>
      <c r="U137" s="302"/>
      <c r="V137" s="302"/>
      <c r="W137" s="302"/>
      <c r="X137" s="302"/>
      <c r="Y137" s="302"/>
      <c r="Z137" s="302"/>
      <c r="AA137" s="302"/>
      <c r="AB137" s="302"/>
      <c r="AC137" s="302"/>
      <c r="AD137" s="302"/>
      <c r="AE137" s="302"/>
      <c r="AF137" s="302"/>
      <c r="AG137" s="140">
        <v>216370</v>
      </c>
      <c r="AH137" s="151">
        <f>BO137-AG137</f>
        <v>227249</v>
      </c>
      <c r="AI137" s="140">
        <v>224695</v>
      </c>
      <c r="AJ137" s="151">
        <f>K137-AI137-AH137-AG137</f>
        <v>222961</v>
      </c>
      <c r="AK137" s="140">
        <v>220124</v>
      </c>
      <c r="AL137" s="151">
        <f>BP137-AK137</f>
        <v>197364</v>
      </c>
      <c r="AM137" s="140">
        <v>176480</v>
      </c>
      <c r="AN137" s="140">
        <v>176480</v>
      </c>
      <c r="AO137" s="151">
        <f>L137-AM137-AL137-AK137</f>
        <v>176311</v>
      </c>
      <c r="AP137" s="140">
        <v>171133</v>
      </c>
      <c r="AQ137" s="151">
        <f>BQ137-AP137</f>
        <v>171922</v>
      </c>
      <c r="AR137" s="140">
        <v>184332</v>
      </c>
      <c r="AS137" s="151">
        <f>M137-AR137-AQ137-AP137</f>
        <v>224321</v>
      </c>
      <c r="AT137" s="140">
        <v>251892</v>
      </c>
      <c r="AU137" s="151">
        <f>BR137-AT137</f>
        <v>295649</v>
      </c>
      <c r="AV137" s="140">
        <v>301648</v>
      </c>
      <c r="AW137" s="151">
        <f>N137-AV137-AU137-AT137</f>
        <v>313879</v>
      </c>
      <c r="AX137" s="140">
        <v>302786</v>
      </c>
      <c r="AY137" s="151">
        <f>BS137-AX137</f>
        <v>295040</v>
      </c>
      <c r="AZ137" s="140">
        <v>283214</v>
      </c>
      <c r="BA137" s="151">
        <f>O137-AZ137-AY137-AX137</f>
        <v>278015</v>
      </c>
      <c r="BB137" s="140">
        <v>265800</v>
      </c>
      <c r="BC137" s="151">
        <f>BT137-BB137</f>
        <v>263478</v>
      </c>
      <c r="BD137" s="140">
        <f>788982-BC137-BB137</f>
        <v>259704</v>
      </c>
      <c r="BE137" s="151">
        <f>P137-BD137-BC137-BB137</f>
        <v>277697</v>
      </c>
      <c r="BF137" s="140">
        <v>287746</v>
      </c>
      <c r="BG137" s="512"/>
      <c r="BH137" s="140"/>
      <c r="BI137" s="513"/>
      <c r="BJ137" s="140">
        <f>1836486-SUM(BJ134:BJ136)</f>
        <v>373185.14600000018</v>
      </c>
      <c r="BK137" s="124"/>
      <c r="BL137" s="302"/>
      <c r="BM137" s="302"/>
      <c r="BN137" s="302"/>
      <c r="BO137" s="140">
        <v>443619</v>
      </c>
      <c r="BP137" s="140">
        <v>417488</v>
      </c>
      <c r="BQ137" s="140">
        <v>343055</v>
      </c>
      <c r="BR137" s="140">
        <v>547541</v>
      </c>
      <c r="BS137" s="140">
        <v>597826</v>
      </c>
      <c r="BT137" s="140">
        <v>529278</v>
      </c>
      <c r="BU137" s="512"/>
      <c r="BW137" s="340"/>
    </row>
    <row r="138" spans="2:75">
      <c r="B138" s="5" t="s">
        <v>621</v>
      </c>
      <c r="C138" s="1"/>
      <c r="D138" s="302"/>
      <c r="E138" s="302"/>
      <c r="F138" s="302"/>
      <c r="G138" s="302"/>
      <c r="H138" s="302"/>
      <c r="I138" s="302"/>
      <c r="J138" s="302"/>
      <c r="K138" s="1"/>
      <c r="L138" s="1"/>
      <c r="M138" s="1"/>
      <c r="N138" s="1"/>
      <c r="O138" s="1"/>
      <c r="P138" s="1"/>
      <c r="Q138" s="1"/>
      <c r="R138" s="1"/>
      <c r="S138" s="302"/>
      <c r="T138" s="302"/>
      <c r="U138" s="302"/>
      <c r="V138" s="302"/>
      <c r="W138" s="302"/>
      <c r="X138" s="302"/>
      <c r="Y138" s="302"/>
      <c r="Z138" s="302"/>
      <c r="AA138" s="302"/>
      <c r="AB138" s="302"/>
      <c r="AC138" s="302"/>
      <c r="AD138" s="302"/>
      <c r="AE138" s="302"/>
      <c r="AF138" s="302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40"/>
      <c r="BE138" s="151"/>
      <c r="BF138" s="1"/>
      <c r="BG138" s="1"/>
      <c r="BH138" s="1"/>
      <c r="BI138" s="513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552"/>
    </row>
    <row r="139" spans="2:75">
      <c r="B139" s="1" t="s">
        <v>522</v>
      </c>
      <c r="C139" s="1"/>
      <c r="D139" s="302"/>
      <c r="E139" s="302"/>
      <c r="F139" s="302"/>
      <c r="G139" s="302"/>
      <c r="H139" s="302"/>
      <c r="I139" s="302"/>
      <c r="J139" s="302"/>
      <c r="K139" s="140">
        <v>2509792</v>
      </c>
      <c r="L139" s="140">
        <v>2538451</v>
      </c>
      <c r="M139" s="140">
        <v>2772807</v>
      </c>
      <c r="N139" s="140">
        <v>3371700</v>
      </c>
      <c r="O139" s="140">
        <v>3153331</v>
      </c>
      <c r="P139" s="140">
        <v>3625124</v>
      </c>
      <c r="Q139" s="140">
        <v>3964363</v>
      </c>
      <c r="R139" s="1"/>
      <c r="S139" s="302"/>
      <c r="T139" s="302"/>
      <c r="U139" s="302"/>
      <c r="V139" s="302"/>
      <c r="W139" s="302"/>
      <c r="X139" s="302"/>
      <c r="Y139" s="302"/>
      <c r="Z139" s="302"/>
      <c r="AA139" s="302"/>
      <c r="AB139" s="302"/>
      <c r="AC139" s="302"/>
      <c r="AD139" s="302"/>
      <c r="AE139" s="302"/>
      <c r="AF139" s="302"/>
      <c r="AG139" s="140">
        <v>560608</v>
      </c>
      <c r="AH139" s="151">
        <f t="shared" ref="AH139:AH144" si="125">BO139-AG139</f>
        <v>593545</v>
      </c>
      <c r="AI139" s="140">
        <v>614615</v>
      </c>
      <c r="AJ139" s="151">
        <f t="shared" ref="AJ139:AJ144" si="126">K139-AI139-AH139-AG139</f>
        <v>741024</v>
      </c>
      <c r="AK139" s="140">
        <v>624485</v>
      </c>
      <c r="AL139" s="151">
        <f t="shared" ref="AL139:AL144" si="127">BP139-AK139</f>
        <v>410480</v>
      </c>
      <c r="AM139" s="140">
        <v>707480</v>
      </c>
      <c r="AN139" s="140">
        <v>707480</v>
      </c>
      <c r="AO139" s="151">
        <f t="shared" ref="AO139:AO144" si="128">L139-AM139-AL139-AK139</f>
        <v>796006</v>
      </c>
      <c r="AP139" s="140">
        <v>602875</v>
      </c>
      <c r="AQ139" s="151">
        <f t="shared" ref="AQ139:AQ144" si="129">BQ139-AP139</f>
        <v>612282</v>
      </c>
      <c r="AR139" s="140">
        <v>708897</v>
      </c>
      <c r="AS139" s="151">
        <f t="shared" ref="AS139:AS144" si="130">M139-AR139-AQ139-AP139</f>
        <v>848753</v>
      </c>
      <c r="AT139" s="140">
        <v>727122</v>
      </c>
      <c r="AU139" s="151">
        <f t="shared" ref="AU139:AU144" si="131">BR139-AT139</f>
        <v>797254</v>
      </c>
      <c r="AV139" s="140">
        <v>881530</v>
      </c>
      <c r="AW139" s="151">
        <f t="shared" ref="AW139:AW144" si="132">N139-AV139-AU139-AT139</f>
        <v>965794</v>
      </c>
      <c r="AX139" s="140">
        <v>731372</v>
      </c>
      <c r="AY139" s="151">
        <f t="shared" ref="AY139:AY144" si="133">BS139-AX139</f>
        <v>735282</v>
      </c>
      <c r="AZ139" s="140">
        <v>775152</v>
      </c>
      <c r="BA139" s="151">
        <f t="shared" ref="BA139:BA144" si="134">O139-AZ139-AY139-AX139</f>
        <v>911525</v>
      </c>
      <c r="BB139" s="140">
        <v>821959</v>
      </c>
      <c r="BC139" s="151">
        <f t="shared" ref="BC139:BC144" si="135">BT139-BB139</f>
        <v>855896</v>
      </c>
      <c r="BD139" s="140">
        <f>2568735-BC139-BB139</f>
        <v>890880</v>
      </c>
      <c r="BE139" s="151">
        <f t="shared" ref="BE139:BE144" si="136">P139-BD139-BC139-BB139</f>
        <v>1056389</v>
      </c>
      <c r="BF139" s="140">
        <v>879827</v>
      </c>
      <c r="BG139" s="512"/>
      <c r="BH139" s="140">
        <v>957158</v>
      </c>
      <c r="BI139" s="513"/>
      <c r="BJ139" s="140">
        <v>981345</v>
      </c>
      <c r="BK139" s="124"/>
      <c r="BL139" s="302"/>
      <c r="BM139" s="302"/>
      <c r="BN139" s="302"/>
      <c r="BO139" s="140">
        <v>1154153</v>
      </c>
      <c r="BP139" s="140">
        <v>1034965</v>
      </c>
      <c r="BQ139" s="140">
        <v>1215157</v>
      </c>
      <c r="BR139" s="140">
        <v>1524376</v>
      </c>
      <c r="BS139" s="140">
        <v>1466654</v>
      </c>
      <c r="BT139" s="140">
        <v>1677855</v>
      </c>
      <c r="BU139" s="512"/>
    </row>
    <row r="140" spans="2:75">
      <c r="B140" s="1" t="s">
        <v>524</v>
      </c>
      <c r="C140" s="1"/>
      <c r="D140" s="302"/>
      <c r="E140" s="302"/>
      <c r="F140" s="302"/>
      <c r="G140" s="302"/>
      <c r="H140" s="302"/>
      <c r="I140" s="302"/>
      <c r="J140" s="302"/>
      <c r="K140" s="140">
        <v>670512</v>
      </c>
      <c r="L140" s="140">
        <v>634078</v>
      </c>
      <c r="M140" s="140">
        <v>700175</v>
      </c>
      <c r="N140" s="140">
        <v>891227</v>
      </c>
      <c r="O140" s="140">
        <v>895792</v>
      </c>
      <c r="P140" s="140">
        <v>1050731</v>
      </c>
      <c r="Q140" s="140">
        <v>1000314</v>
      </c>
      <c r="R140" s="1"/>
      <c r="S140" s="302"/>
      <c r="T140" s="302"/>
      <c r="U140" s="302"/>
      <c r="V140" s="302"/>
      <c r="W140" s="302"/>
      <c r="X140" s="302"/>
      <c r="Y140" s="302"/>
      <c r="Z140" s="302"/>
      <c r="AA140" s="302"/>
      <c r="AB140" s="302"/>
      <c r="AC140" s="302"/>
      <c r="AD140" s="302"/>
      <c r="AE140" s="302"/>
      <c r="AF140" s="302"/>
      <c r="AG140" s="140">
        <v>133362</v>
      </c>
      <c r="AH140" s="151">
        <f t="shared" si="125"/>
        <v>152692</v>
      </c>
      <c r="AI140" s="140">
        <v>146493</v>
      </c>
      <c r="AJ140" s="151">
        <f t="shared" si="126"/>
        <v>237965</v>
      </c>
      <c r="AK140" s="140">
        <v>144023</v>
      </c>
      <c r="AL140" s="151">
        <f t="shared" si="127"/>
        <v>126050</v>
      </c>
      <c r="AM140" s="140">
        <v>146576</v>
      </c>
      <c r="AN140" s="140">
        <v>146576</v>
      </c>
      <c r="AO140" s="151">
        <f t="shared" si="128"/>
        <v>217429</v>
      </c>
      <c r="AP140" s="140">
        <v>133530</v>
      </c>
      <c r="AQ140" s="151">
        <f t="shared" si="129"/>
        <v>134100</v>
      </c>
      <c r="AR140" s="140">
        <v>159145</v>
      </c>
      <c r="AS140" s="151">
        <f t="shared" si="130"/>
        <v>273400</v>
      </c>
      <c r="AT140" s="140">
        <v>192645</v>
      </c>
      <c r="AU140" s="151">
        <f t="shared" si="131"/>
        <v>227400</v>
      </c>
      <c r="AV140" s="140">
        <v>209529</v>
      </c>
      <c r="AW140" s="151">
        <f t="shared" si="132"/>
        <v>261653</v>
      </c>
      <c r="AX140" s="140">
        <v>170790</v>
      </c>
      <c r="AY140" s="151">
        <f t="shared" si="133"/>
        <v>188901</v>
      </c>
      <c r="AZ140" s="140">
        <v>211107</v>
      </c>
      <c r="BA140" s="151">
        <f t="shared" si="134"/>
        <v>324994</v>
      </c>
      <c r="BB140" s="140">
        <v>238297</v>
      </c>
      <c r="BC140" s="151">
        <f t="shared" si="135"/>
        <v>250867</v>
      </c>
      <c r="BD140" s="140">
        <f>716758-BC140-BB140</f>
        <v>227594</v>
      </c>
      <c r="BE140" s="151">
        <f t="shared" si="136"/>
        <v>333973</v>
      </c>
      <c r="BF140" s="140">
        <v>236619</v>
      </c>
      <c r="BG140" s="512"/>
      <c r="BH140" s="140">
        <v>230764</v>
      </c>
      <c r="BI140" s="513"/>
      <c r="BJ140" s="140">
        <v>234058</v>
      </c>
      <c r="BK140" s="124"/>
      <c r="BL140" s="302"/>
      <c r="BM140" s="302"/>
      <c r="BN140" s="302"/>
      <c r="BO140" s="140">
        <v>286054</v>
      </c>
      <c r="BP140" s="140">
        <v>270073</v>
      </c>
      <c r="BQ140" s="140">
        <v>267630</v>
      </c>
      <c r="BR140" s="140">
        <v>420045</v>
      </c>
      <c r="BS140" s="140">
        <v>359691</v>
      </c>
      <c r="BT140" s="140">
        <v>489164</v>
      </c>
      <c r="BU140" s="512"/>
    </row>
    <row r="141" spans="2:75">
      <c r="B141" s="1" t="s">
        <v>523</v>
      </c>
      <c r="C141" s="1"/>
      <c r="D141" s="302"/>
      <c r="E141" s="302"/>
      <c r="F141" s="302"/>
      <c r="G141" s="302"/>
      <c r="H141" s="302"/>
      <c r="I141" s="302"/>
      <c r="J141" s="302"/>
      <c r="K141" s="140">
        <v>386684</v>
      </c>
      <c r="L141" s="140">
        <v>243011</v>
      </c>
      <c r="M141" s="140">
        <v>204667</v>
      </c>
      <c r="N141" s="140">
        <v>134684</v>
      </c>
      <c r="O141" s="140"/>
      <c r="P141" s="140"/>
      <c r="Q141" s="140"/>
      <c r="R141" s="1"/>
      <c r="S141" s="302"/>
      <c r="T141" s="302"/>
      <c r="U141" s="302"/>
      <c r="V141" s="302"/>
      <c r="W141" s="302"/>
      <c r="X141" s="302"/>
      <c r="Y141" s="302"/>
      <c r="Z141" s="302"/>
      <c r="AA141" s="302"/>
      <c r="AB141" s="302"/>
      <c r="AC141" s="302"/>
      <c r="AD141" s="302"/>
      <c r="AE141" s="302"/>
      <c r="AF141" s="302"/>
      <c r="AG141" s="140">
        <v>83977</v>
      </c>
      <c r="AH141" s="151">
        <f t="shared" si="125"/>
        <v>105394</v>
      </c>
      <c r="AI141" s="140">
        <v>60253</v>
      </c>
      <c r="AJ141" s="151">
        <f t="shared" si="126"/>
        <v>137060</v>
      </c>
      <c r="AK141" s="140">
        <v>79690</v>
      </c>
      <c r="AL141" s="151">
        <f t="shared" si="127"/>
        <v>43287</v>
      </c>
      <c r="AM141" s="140">
        <v>61963</v>
      </c>
      <c r="AN141" s="140">
        <v>61963</v>
      </c>
      <c r="AO141" s="151">
        <f t="shared" si="128"/>
        <v>58071</v>
      </c>
      <c r="AP141" s="140">
        <v>59376</v>
      </c>
      <c r="AQ141" s="151">
        <f t="shared" si="129"/>
        <v>45522</v>
      </c>
      <c r="AR141" s="140">
        <v>47216</v>
      </c>
      <c r="AS141" s="151">
        <f t="shared" si="130"/>
        <v>52553</v>
      </c>
      <c r="AT141" s="140">
        <v>29635</v>
      </c>
      <c r="AU141" s="151">
        <f t="shared" si="131"/>
        <v>42530</v>
      </c>
      <c r="AV141" s="140">
        <v>44161</v>
      </c>
      <c r="AW141" s="151">
        <f t="shared" si="132"/>
        <v>18358</v>
      </c>
      <c r="AX141" s="140">
        <v>27711</v>
      </c>
      <c r="AY141" s="151">
        <f t="shared" si="133"/>
        <v>-27711</v>
      </c>
      <c r="AZ141" s="140">
        <v>37705</v>
      </c>
      <c r="BA141" s="151">
        <f t="shared" si="134"/>
        <v>-37705</v>
      </c>
      <c r="BB141" s="140">
        <v>27599</v>
      </c>
      <c r="BC141" s="151">
        <f t="shared" si="135"/>
        <v>-27599</v>
      </c>
      <c r="BD141" s="140">
        <v>0</v>
      </c>
      <c r="BE141" s="151">
        <f t="shared" si="136"/>
        <v>0</v>
      </c>
      <c r="BF141" s="140">
        <v>0</v>
      </c>
      <c r="BG141" s="512"/>
      <c r="BH141" s="140">
        <v>0</v>
      </c>
      <c r="BI141" s="513"/>
      <c r="BJ141" s="140">
        <v>0</v>
      </c>
      <c r="BK141" s="124"/>
      <c r="BL141" s="302"/>
      <c r="BM141" s="302"/>
      <c r="BN141" s="302"/>
      <c r="BO141" s="140">
        <v>189371</v>
      </c>
      <c r="BP141" s="140">
        <v>122977</v>
      </c>
      <c r="BQ141" s="140">
        <v>104898</v>
      </c>
      <c r="BR141" s="140">
        <v>72165</v>
      </c>
      <c r="BS141" s="140">
        <v>0</v>
      </c>
      <c r="BT141" s="140">
        <v>0</v>
      </c>
      <c r="BU141" s="512"/>
    </row>
    <row r="142" spans="2:75">
      <c r="B142" s="1" t="s">
        <v>525</v>
      </c>
      <c r="C142" s="1"/>
      <c r="D142" s="302"/>
      <c r="E142" s="302"/>
      <c r="F142" s="302"/>
      <c r="G142" s="302"/>
      <c r="H142" s="302"/>
      <c r="I142" s="302"/>
      <c r="J142" s="302"/>
      <c r="K142" s="140">
        <v>209119</v>
      </c>
      <c r="L142" s="140">
        <v>218878</v>
      </c>
      <c r="M142" s="140">
        <v>234042</v>
      </c>
      <c r="N142" s="140">
        <v>277687</v>
      </c>
      <c r="O142" s="140">
        <v>255306</v>
      </c>
      <c r="P142" s="140">
        <v>274690</v>
      </c>
      <c r="Q142" s="140">
        <v>0</v>
      </c>
      <c r="R142" s="1"/>
      <c r="S142" s="302"/>
      <c r="T142" s="302"/>
      <c r="U142" s="302"/>
      <c r="V142" s="302"/>
      <c r="W142" s="302"/>
      <c r="X142" s="302"/>
      <c r="Y142" s="302"/>
      <c r="Z142" s="302"/>
      <c r="AA142" s="302"/>
      <c r="AB142" s="302"/>
      <c r="AC142" s="302"/>
      <c r="AD142" s="302"/>
      <c r="AE142" s="302"/>
      <c r="AF142" s="302"/>
      <c r="AG142" s="140">
        <v>48165</v>
      </c>
      <c r="AH142" s="151">
        <f t="shared" si="125"/>
        <v>48176</v>
      </c>
      <c r="AI142" s="140">
        <v>53464</v>
      </c>
      <c r="AJ142" s="151">
        <f t="shared" si="126"/>
        <v>59314</v>
      </c>
      <c r="AK142" s="140">
        <v>49190</v>
      </c>
      <c r="AL142" s="151">
        <f t="shared" si="127"/>
        <v>50905</v>
      </c>
      <c r="AM142" s="140">
        <v>59572</v>
      </c>
      <c r="AN142" s="140">
        <v>59572</v>
      </c>
      <c r="AO142" s="151">
        <f t="shared" si="128"/>
        <v>59211</v>
      </c>
      <c r="AP142" s="140">
        <v>48630</v>
      </c>
      <c r="AQ142" s="151">
        <f t="shared" si="129"/>
        <v>55606</v>
      </c>
      <c r="AR142" s="140">
        <v>67169</v>
      </c>
      <c r="AS142" s="151">
        <f t="shared" si="130"/>
        <v>62637</v>
      </c>
      <c r="AT142" s="140">
        <v>62836</v>
      </c>
      <c r="AU142" s="151">
        <f t="shared" si="131"/>
        <v>71725</v>
      </c>
      <c r="AV142" s="140">
        <v>73690</v>
      </c>
      <c r="AW142" s="151">
        <f t="shared" si="132"/>
        <v>69436</v>
      </c>
      <c r="AX142" s="140">
        <v>56180</v>
      </c>
      <c r="AY142" s="151">
        <f t="shared" si="133"/>
        <v>56606</v>
      </c>
      <c r="AZ142" s="140">
        <v>67024</v>
      </c>
      <c r="BA142" s="151">
        <f t="shared" si="134"/>
        <v>75496</v>
      </c>
      <c r="BB142" s="140">
        <v>71715</v>
      </c>
      <c r="BC142" s="151">
        <f t="shared" si="135"/>
        <v>67163</v>
      </c>
      <c r="BD142" s="140">
        <f>205487-BC142-BB142</f>
        <v>66609</v>
      </c>
      <c r="BE142" s="151">
        <f t="shared" si="136"/>
        <v>69203</v>
      </c>
      <c r="BF142" s="140">
        <v>62477</v>
      </c>
      <c r="BG142" s="512"/>
      <c r="BH142" s="140">
        <v>0</v>
      </c>
      <c r="BI142" s="513"/>
      <c r="BJ142" s="140">
        <v>0</v>
      </c>
      <c r="BK142" s="124"/>
      <c r="BL142" s="302"/>
      <c r="BM142" s="302"/>
      <c r="BN142" s="302"/>
      <c r="BO142" s="140">
        <v>96341</v>
      </c>
      <c r="BP142" s="140">
        <v>100095</v>
      </c>
      <c r="BQ142" s="140">
        <v>104236</v>
      </c>
      <c r="BR142" s="140">
        <v>134561</v>
      </c>
      <c r="BS142" s="140">
        <v>112786</v>
      </c>
      <c r="BT142" s="140">
        <v>138878</v>
      </c>
      <c r="BU142" s="512"/>
    </row>
    <row r="143" spans="2:75">
      <c r="B143" s="1" t="s">
        <v>622</v>
      </c>
      <c r="C143" s="1"/>
      <c r="D143" s="302"/>
      <c r="E143" s="302"/>
      <c r="F143" s="302"/>
      <c r="G143" s="302"/>
      <c r="H143" s="302"/>
      <c r="I143" s="302"/>
      <c r="J143" s="302"/>
      <c r="K143" s="140">
        <v>309598</v>
      </c>
      <c r="L143" s="140">
        <v>187329</v>
      </c>
      <c r="M143" s="140">
        <v>276695</v>
      </c>
      <c r="N143" s="140">
        <v>383864</v>
      </c>
      <c r="O143" s="140">
        <v>419904</v>
      </c>
      <c r="P143" s="140">
        <v>494605</v>
      </c>
      <c r="Q143" s="140">
        <v>653911</v>
      </c>
      <c r="R143" s="1"/>
      <c r="S143" s="302"/>
      <c r="T143" s="302"/>
      <c r="U143" s="302"/>
      <c r="V143" s="302"/>
      <c r="W143" s="302"/>
      <c r="X143" s="302"/>
      <c r="Y143" s="302"/>
      <c r="Z143" s="302"/>
      <c r="AA143" s="302"/>
      <c r="AB143" s="302"/>
      <c r="AC143" s="302"/>
      <c r="AD143" s="302"/>
      <c r="AE143" s="302"/>
      <c r="AF143" s="302"/>
      <c r="AG143" s="140">
        <v>77215</v>
      </c>
      <c r="AH143" s="151">
        <f t="shared" si="125"/>
        <v>80191</v>
      </c>
      <c r="AI143" s="140">
        <v>79919</v>
      </c>
      <c r="AJ143" s="151">
        <f t="shared" si="126"/>
        <v>72273</v>
      </c>
      <c r="AK143" s="140">
        <v>74415</v>
      </c>
      <c r="AL143" s="151">
        <f t="shared" si="127"/>
        <v>22556</v>
      </c>
      <c r="AM143" s="140">
        <v>29638</v>
      </c>
      <c r="AN143" s="140">
        <v>29638</v>
      </c>
      <c r="AO143" s="151">
        <f t="shared" si="128"/>
        <v>60720</v>
      </c>
      <c r="AP143" s="140">
        <v>59621</v>
      </c>
      <c r="AQ143" s="151">
        <f t="shared" si="129"/>
        <v>47479</v>
      </c>
      <c r="AR143" s="140">
        <v>78037</v>
      </c>
      <c r="AS143" s="151">
        <f t="shared" si="130"/>
        <v>91558</v>
      </c>
      <c r="AT143" s="140">
        <v>90120</v>
      </c>
      <c r="AU143" s="151">
        <f t="shared" si="131"/>
        <v>88972</v>
      </c>
      <c r="AV143" s="140">
        <v>94378</v>
      </c>
      <c r="AW143" s="151">
        <f t="shared" si="132"/>
        <v>110394</v>
      </c>
      <c r="AX143" s="140">
        <v>99916</v>
      </c>
      <c r="AY143" s="151">
        <f t="shared" si="133"/>
        <v>102989</v>
      </c>
      <c r="AZ143" s="140">
        <v>110409</v>
      </c>
      <c r="BA143" s="151">
        <f t="shared" si="134"/>
        <v>106590</v>
      </c>
      <c r="BB143" s="140">
        <v>114106</v>
      </c>
      <c r="BC143" s="151">
        <f t="shared" si="135"/>
        <v>120423</v>
      </c>
      <c r="BD143" s="140">
        <f>354077-BC143-BB143</f>
        <v>119548</v>
      </c>
      <c r="BE143" s="151">
        <f t="shared" si="136"/>
        <v>140528</v>
      </c>
      <c r="BF143" s="140">
        <v>156045</v>
      </c>
      <c r="BG143" s="151">
        <f>BU143-BF143</f>
        <v>160063</v>
      </c>
      <c r="BH143" s="140">
        <v>164098</v>
      </c>
      <c r="BI143" s="513"/>
      <c r="BJ143" s="140">
        <v>165469</v>
      </c>
      <c r="BK143" s="124"/>
      <c r="BL143" s="302"/>
      <c r="BM143" s="302"/>
      <c r="BN143" s="302"/>
      <c r="BO143" s="140">
        <v>157406</v>
      </c>
      <c r="BP143" s="140">
        <v>96971</v>
      </c>
      <c r="BQ143" s="140">
        <v>107100</v>
      </c>
      <c r="BR143" s="140">
        <v>179092</v>
      </c>
      <c r="BS143" s="140">
        <v>202905</v>
      </c>
      <c r="BT143" s="140">
        <v>234529</v>
      </c>
      <c r="BU143" s="140">
        <v>316108</v>
      </c>
    </row>
    <row r="144" spans="2:75">
      <c r="B144" s="1" t="s">
        <v>623</v>
      </c>
      <c r="C144" s="1"/>
      <c r="D144" s="302"/>
      <c r="E144" s="302"/>
      <c r="F144" s="302"/>
      <c r="G144" s="302"/>
      <c r="H144" s="302"/>
      <c r="I144" s="302"/>
      <c r="J144" s="302"/>
      <c r="K144" s="140">
        <v>118266</v>
      </c>
      <c r="L144" s="140">
        <v>165322</v>
      </c>
      <c r="M144" s="140">
        <v>80285</v>
      </c>
      <c r="N144" s="140">
        <v>78515</v>
      </c>
      <c r="O144" s="140">
        <v>152794</v>
      </c>
      <c r="P144" s="140">
        <v>235233</v>
      </c>
      <c r="Q144" s="140">
        <v>628550</v>
      </c>
      <c r="R144" s="1"/>
      <c r="S144" s="302"/>
      <c r="T144" s="302"/>
      <c r="U144" s="302"/>
      <c r="V144" s="302"/>
      <c r="W144" s="302"/>
      <c r="X144" s="302"/>
      <c r="Y144" s="302"/>
      <c r="Z144" s="302"/>
      <c r="AA144" s="302"/>
      <c r="AB144" s="302"/>
      <c r="AC144" s="302"/>
      <c r="AD144" s="302"/>
      <c r="AE144" s="302"/>
      <c r="AF144" s="302"/>
      <c r="AG144" s="140">
        <v>19878</v>
      </c>
      <c r="AH144" s="151">
        <f t="shared" si="125"/>
        <v>43891</v>
      </c>
      <c r="AI144" s="140">
        <v>26674</v>
      </c>
      <c r="AJ144" s="151">
        <f t="shared" si="126"/>
        <v>27823</v>
      </c>
      <c r="AK144" s="140">
        <v>33064</v>
      </c>
      <c r="AL144" s="151">
        <f t="shared" si="127"/>
        <v>50971</v>
      </c>
      <c r="AM144" s="140">
        <v>38767</v>
      </c>
      <c r="AN144" s="140">
        <v>38767</v>
      </c>
      <c r="AO144" s="151">
        <f t="shared" si="128"/>
        <v>42520</v>
      </c>
      <c r="AP144" s="140">
        <v>28027</v>
      </c>
      <c r="AQ144" s="151">
        <f t="shared" si="129"/>
        <v>37646</v>
      </c>
      <c r="AR144" s="140">
        <v>7450</v>
      </c>
      <c r="AS144" s="151">
        <f t="shared" si="130"/>
        <v>7162</v>
      </c>
      <c r="AT144" s="140">
        <v>7543</v>
      </c>
      <c r="AU144" s="151">
        <f t="shared" si="131"/>
        <v>22740</v>
      </c>
      <c r="AV144" s="140">
        <v>18069</v>
      </c>
      <c r="AW144" s="151">
        <f t="shared" si="132"/>
        <v>30163</v>
      </c>
      <c r="AX144" s="140">
        <v>64503</v>
      </c>
      <c r="AY144" s="151">
        <f t="shared" si="133"/>
        <v>31087</v>
      </c>
      <c r="AZ144" s="140">
        <v>58925</v>
      </c>
      <c r="BA144" s="151">
        <f t="shared" si="134"/>
        <v>-1721</v>
      </c>
      <c r="BB144" s="140">
        <v>77245</v>
      </c>
      <c r="BC144" s="151">
        <f t="shared" si="135"/>
        <v>37303</v>
      </c>
      <c r="BD144" s="140">
        <f>162207-BC144-BB144</f>
        <v>47659</v>
      </c>
      <c r="BE144" s="151">
        <f t="shared" si="136"/>
        <v>73026</v>
      </c>
      <c r="BF144" s="140">
        <v>45285</v>
      </c>
      <c r="BG144" s="151">
        <f>BU144-BF144</f>
        <v>42401</v>
      </c>
      <c r="BH144" s="140">
        <v>155003</v>
      </c>
      <c r="BI144" s="513"/>
      <c r="BJ144" s="140">
        <v>122749</v>
      </c>
      <c r="BK144" s="124"/>
      <c r="BL144" s="302"/>
      <c r="BM144" s="302"/>
      <c r="BN144" s="302"/>
      <c r="BO144" s="140">
        <v>63769</v>
      </c>
      <c r="BP144" s="140">
        <v>84035</v>
      </c>
      <c r="BQ144" s="140">
        <v>65673</v>
      </c>
      <c r="BR144" s="140">
        <v>30283</v>
      </c>
      <c r="BS144" s="140">
        <v>95590</v>
      </c>
      <c r="BT144" s="140">
        <v>114548</v>
      </c>
      <c r="BU144" s="140">
        <v>87686</v>
      </c>
    </row>
    <row r="145" spans="2:75">
      <c r="B145" s="5" t="s">
        <v>616</v>
      </c>
      <c r="C145" s="1"/>
      <c r="D145" s="302"/>
      <c r="E145" s="302"/>
      <c r="F145" s="302"/>
      <c r="G145" s="302"/>
      <c r="H145" s="302"/>
      <c r="I145" s="302"/>
      <c r="J145" s="302"/>
      <c r="K145" s="141">
        <f t="shared" ref="K145:Q145" si="137">SUM(K134:K144)</f>
        <v>9410774.0820000004</v>
      </c>
      <c r="L145" s="141">
        <f t="shared" si="137"/>
        <v>9468798.7190000005</v>
      </c>
      <c r="M145" s="141">
        <f t="shared" si="137"/>
        <v>11471882.593</v>
      </c>
      <c r="N145" s="141">
        <f t="shared" si="137"/>
        <v>12281966.462000001</v>
      </c>
      <c r="O145" s="141">
        <f t="shared" si="137"/>
        <v>11245359.034</v>
      </c>
      <c r="P145" s="141">
        <f t="shared" si="137"/>
        <v>12153620.499000002</v>
      </c>
      <c r="Q145" s="141">
        <f t="shared" si="137"/>
        <v>13315715</v>
      </c>
      <c r="R145" s="1"/>
      <c r="S145" s="302"/>
      <c r="T145" s="302"/>
      <c r="U145" s="302"/>
      <c r="V145" s="302"/>
      <c r="W145" s="302"/>
      <c r="X145" s="302"/>
      <c r="Y145" s="302"/>
      <c r="Z145" s="302"/>
      <c r="AA145" s="302"/>
      <c r="AB145" s="302"/>
      <c r="AC145" s="302"/>
      <c r="AD145" s="302"/>
      <c r="AE145" s="302"/>
      <c r="AF145" s="302"/>
      <c r="AG145" s="141">
        <f t="shared" ref="AG145:BH145" si="138">SUM(AG134:AG144)</f>
        <v>2252226.8820000002</v>
      </c>
      <c r="AH145" s="141">
        <f t="shared" si="138"/>
        <v>2334118.2220000001</v>
      </c>
      <c r="AI145" s="141">
        <f t="shared" si="138"/>
        <v>2223921.2450000001</v>
      </c>
      <c r="AJ145" s="141">
        <f t="shared" si="138"/>
        <v>2600507.733</v>
      </c>
      <c r="AK145" s="141">
        <f t="shared" si="138"/>
        <v>2238709</v>
      </c>
      <c r="AL145" s="141">
        <f t="shared" si="138"/>
        <v>1757787</v>
      </c>
      <c r="AM145" s="141">
        <f t="shared" si="138"/>
        <v>2485978.4340000004</v>
      </c>
      <c r="AN145" s="141">
        <f t="shared" si="138"/>
        <v>2485978.4340000004</v>
      </c>
      <c r="AO145" s="141">
        <f t="shared" si="138"/>
        <v>2986324.2850000001</v>
      </c>
      <c r="AP145" s="141">
        <f t="shared" si="138"/>
        <v>2479209.764</v>
      </c>
      <c r="AQ145" s="141">
        <f t="shared" si="138"/>
        <v>2648818.4780000001</v>
      </c>
      <c r="AR145" s="141">
        <f t="shared" si="138"/>
        <v>2900325.8119999999</v>
      </c>
      <c r="AS145" s="141">
        <f t="shared" si="138"/>
        <v>3443528.5390000003</v>
      </c>
      <c r="AT145" s="141">
        <f t="shared" si="138"/>
        <v>2933542.7310000001</v>
      </c>
      <c r="AU145" s="141">
        <f t="shared" si="138"/>
        <v>3073526.9560000002</v>
      </c>
      <c r="AV145" s="141">
        <f t="shared" si="138"/>
        <v>2974013.051</v>
      </c>
      <c r="AW145" s="141">
        <f t="shared" si="138"/>
        <v>3300883.7240000004</v>
      </c>
      <c r="AX145" s="141">
        <f t="shared" si="138"/>
        <v>2747538.6059999997</v>
      </c>
      <c r="AY145" s="141">
        <f t="shared" si="138"/>
        <v>2688421.68</v>
      </c>
      <c r="AZ145" s="141">
        <f t="shared" si="138"/>
        <v>2630920.7139999997</v>
      </c>
      <c r="BA145" s="141">
        <f t="shared" si="138"/>
        <v>3178478.034</v>
      </c>
      <c r="BB145" s="141">
        <f t="shared" si="138"/>
        <v>2863100</v>
      </c>
      <c r="BC145" s="141">
        <f t="shared" si="138"/>
        <v>2902920.53</v>
      </c>
      <c r="BD145" s="141">
        <f t="shared" si="138"/>
        <v>2845049.4699999997</v>
      </c>
      <c r="BE145" s="141">
        <f t="shared" si="138"/>
        <v>3542550.4989999998</v>
      </c>
      <c r="BF145" s="141">
        <f t="shared" si="138"/>
        <v>3123786.2250000001</v>
      </c>
      <c r="BG145" s="141">
        <f t="shared" si="138"/>
        <v>1618465.7749999999</v>
      </c>
      <c r="BH145" s="141">
        <f t="shared" si="138"/>
        <v>3125485</v>
      </c>
      <c r="BI145" s="514"/>
      <c r="BJ145" s="141">
        <f>SUM(BJ134:BJ144)</f>
        <v>3340107</v>
      </c>
      <c r="BK145" s="141"/>
      <c r="BL145" s="302"/>
      <c r="BM145" s="302"/>
      <c r="BN145" s="302"/>
      <c r="BO145" s="141">
        <f t="shared" ref="BO145:BU145" si="139">SUM(BO134:BO144)</f>
        <v>4586345.1040000003</v>
      </c>
      <c r="BP145" s="141">
        <f t="shared" si="139"/>
        <v>3996496</v>
      </c>
      <c r="BQ145" s="141">
        <f t="shared" si="139"/>
        <v>5128028.2420000006</v>
      </c>
      <c r="BR145" s="141">
        <f t="shared" si="139"/>
        <v>6007069.6869999999</v>
      </c>
      <c r="BS145" s="141">
        <f t="shared" si="139"/>
        <v>5435960.2860000003</v>
      </c>
      <c r="BT145" s="141">
        <f t="shared" si="139"/>
        <v>5766020.5299999993</v>
      </c>
      <c r="BU145" s="141">
        <f t="shared" si="139"/>
        <v>3275583</v>
      </c>
    </row>
    <row r="146" spans="2:75" s="449" customFormat="1" ht="11.25">
      <c r="B146" s="548" t="s">
        <v>386</v>
      </c>
      <c r="C146" s="548"/>
      <c r="D146" s="556"/>
      <c r="E146" s="556"/>
      <c r="F146" s="556"/>
      <c r="G146" s="556"/>
      <c r="H146" s="556"/>
      <c r="I146" s="556"/>
      <c r="J146" s="556"/>
      <c r="K146" s="440">
        <f>+K145-Model!J54</f>
        <v>-0.54299999959766865</v>
      </c>
      <c r="L146" s="555">
        <f>+L145-Model!K54</f>
        <v>-1.7160000000149012</v>
      </c>
      <c r="M146" s="555">
        <f>+M145-Model!L54</f>
        <v>-0.17100000008940697</v>
      </c>
      <c r="N146" s="555">
        <f>+N145-Model!M54</f>
        <v>-0.29699999839067459</v>
      </c>
      <c r="O146" s="555">
        <f>+O145-Model!N54</f>
        <v>-0.49699999950826168</v>
      </c>
      <c r="P146" s="555">
        <f>+P145-Model!O54</f>
        <v>0.5150000024586916</v>
      </c>
      <c r="Q146" s="555">
        <f>+Q145-Model!P54</f>
        <v>8.4000000730156898E-2</v>
      </c>
      <c r="R146" s="548"/>
      <c r="S146" s="556"/>
      <c r="T146" s="556"/>
      <c r="U146" s="556"/>
      <c r="V146" s="556"/>
      <c r="W146" s="556"/>
      <c r="X146" s="556"/>
      <c r="Y146" s="556"/>
      <c r="Z146" s="556"/>
      <c r="AA146" s="556"/>
      <c r="AB146" s="556"/>
      <c r="AC146" s="556"/>
      <c r="AD146" s="556"/>
      <c r="AE146" s="556"/>
      <c r="AF146" s="556"/>
      <c r="AG146" s="440">
        <f>+AG145-Model!AD54</f>
        <v>0.8349999999627471</v>
      </c>
      <c r="AH146" s="440">
        <f>+AH145-Model!AE54</f>
        <v>-2.1129999998956919</v>
      </c>
      <c r="AI146" s="440">
        <f>+AI145-Model!AF54</f>
        <v>0.27700000023469329</v>
      </c>
      <c r="AJ146" s="440">
        <f>+AJ145-Model!AG54</f>
        <v>0.45800000010058284</v>
      </c>
      <c r="AK146" s="440">
        <f>+AK145-Model!AH54</f>
        <v>0.57099999999627471</v>
      </c>
      <c r="AL146" s="440">
        <f>+AL145-Model!AI54</f>
        <v>-1.5119999998714775</v>
      </c>
      <c r="AM146" s="440">
        <f>+AM145-Model!AJ54</f>
        <v>-0.78700000047683716</v>
      </c>
      <c r="AN146" s="440">
        <f>+AN145-Model!AJ54</f>
        <v>-0.78700000047683716</v>
      </c>
      <c r="AO146" s="440">
        <f>+AO145-Model!AK54</f>
        <v>1.2000000569969416E-2</v>
      </c>
      <c r="AP146" s="440">
        <f>+AP145-Model!AL54</f>
        <v>0.79399999976158142</v>
      </c>
      <c r="AQ146" s="440">
        <f>+AQ145-Model!AM54</f>
        <v>299.20100000035018</v>
      </c>
      <c r="AR146" s="440">
        <f>+AR145-Model!AN54</f>
        <v>0.30899999989196658</v>
      </c>
      <c r="AS146" s="440">
        <f>+AS145-Model!AO54</f>
        <v>-300.47500000009313</v>
      </c>
      <c r="AT146" s="440">
        <f>+AT145-Model!AP54</f>
        <v>-0.24899999983608723</v>
      </c>
      <c r="AU146" s="440">
        <f>+AU145-Model!AQ54</f>
        <v>-0.10699999984353781</v>
      </c>
      <c r="AV146" s="440">
        <f>+AV145-Model!AR54</f>
        <v>-0.40599999995902181</v>
      </c>
      <c r="AW146" s="440">
        <f>+AW145-Model!AS54</f>
        <v>0.46500000124797225</v>
      </c>
      <c r="AX146" s="440">
        <f>+AX145-Model!AT54</f>
        <v>0.63099999958649278</v>
      </c>
      <c r="AY146" s="440">
        <f>+AY145-Model!AU54</f>
        <v>-0.36599999945610762</v>
      </c>
      <c r="AZ146" s="440">
        <f>+AZ145-Model!AV54</f>
        <v>-56915.812000001315</v>
      </c>
      <c r="BA146" s="440">
        <f>+BA145-Model!AW54</f>
        <v>56915.050000000279</v>
      </c>
      <c r="BB146" s="440">
        <f>+BB145-Model!AX54</f>
        <v>5.7000000029802322E-2</v>
      </c>
      <c r="BC146" s="440">
        <f>+BC145-Model!AY54</f>
        <v>-0.45999999949708581</v>
      </c>
      <c r="BD146" s="440">
        <f>+BD145-Model!AZ54</f>
        <v>0.5899999993853271</v>
      </c>
      <c r="BE146" s="549">
        <f>+BE145-Model!BA54</f>
        <v>0.32799999974668026</v>
      </c>
      <c r="BF146" s="549">
        <f>+BF145-Model!BB54</f>
        <v>-1.0119999996386468</v>
      </c>
      <c r="BG146" s="440"/>
      <c r="BH146" s="549">
        <f>+BH145-Model!BD54</f>
        <v>-0.57400000002235174</v>
      </c>
      <c r="BI146" s="440"/>
      <c r="BJ146" s="549">
        <f>+BJ145-Model!BF54</f>
        <v>0.37600000016391277</v>
      </c>
      <c r="BK146" s="549"/>
      <c r="BL146" s="557"/>
      <c r="BM146" s="557"/>
      <c r="BN146" s="557"/>
      <c r="BO146" s="549">
        <f>+BO145-Model!BQ54</f>
        <v>-1.2779999999329448</v>
      </c>
      <c r="BP146" s="549">
        <f>+BP145-Model!BR54</f>
        <v>-0.94099999964237213</v>
      </c>
      <c r="BQ146" s="549">
        <f>+BQ145-Model!BS54</f>
        <v>299.99500000104308</v>
      </c>
      <c r="BR146" s="549">
        <f>+BR145-Model!BT54</f>
        <v>-0.35599999967962503</v>
      </c>
      <c r="BS146" s="549">
        <f>+BS145-Model!BU54</f>
        <v>0.26500000059604645</v>
      </c>
      <c r="BT146" s="549">
        <f>+BT145-Model!BV54</f>
        <v>-0.40299999993294477</v>
      </c>
      <c r="BU146" s="440"/>
    </row>
    <row r="147" spans="2:75">
      <c r="B147" s="1"/>
      <c r="C147" s="1"/>
      <c r="D147" s="302"/>
      <c r="E147" s="302"/>
      <c r="F147" s="302"/>
      <c r="G147" s="302"/>
      <c r="H147" s="302"/>
      <c r="I147" s="302"/>
      <c r="J147" s="302"/>
      <c r="K147" s="551"/>
      <c r="L147" s="553"/>
      <c r="M147" s="553"/>
      <c r="N147" s="553"/>
      <c r="O147" s="553"/>
      <c r="P147" s="553"/>
      <c r="Q147" s="553"/>
      <c r="R147" s="1"/>
      <c r="S147" s="302"/>
      <c r="T147" s="302"/>
      <c r="U147" s="302"/>
      <c r="V147" s="302"/>
      <c r="W147" s="302"/>
      <c r="X147" s="302"/>
      <c r="Y147" s="302"/>
      <c r="Z147" s="302"/>
      <c r="AA147" s="302"/>
      <c r="AB147" s="302"/>
      <c r="AC147" s="302"/>
      <c r="AD147" s="302"/>
      <c r="AE147" s="302"/>
      <c r="AF147" s="302"/>
      <c r="AG147" s="551"/>
      <c r="AH147" s="551"/>
      <c r="AI147" s="551"/>
      <c r="AJ147" s="551"/>
      <c r="AK147" s="551"/>
      <c r="AL147" s="551"/>
      <c r="AM147" s="551"/>
      <c r="AN147" s="551"/>
      <c r="AO147" s="551"/>
      <c r="AP147" s="551"/>
      <c r="AQ147" s="551"/>
      <c r="AR147" s="551"/>
      <c r="AS147" s="551"/>
      <c r="AT147" s="551"/>
      <c r="AU147" s="551"/>
      <c r="AV147" s="551"/>
      <c r="AW147" s="551"/>
      <c r="AX147" s="551"/>
      <c r="AY147" s="551"/>
      <c r="AZ147" s="551"/>
      <c r="BA147" s="551"/>
      <c r="BB147" s="551"/>
      <c r="BC147" s="551"/>
      <c r="BD147" s="551"/>
      <c r="BE147" s="551"/>
      <c r="BF147" s="551"/>
      <c r="BG147" s="551"/>
      <c r="BH147" s="554"/>
      <c r="BI147" s="551"/>
      <c r="BJ147" s="551"/>
      <c r="BK147" s="551"/>
      <c r="BL147" s="302"/>
      <c r="BM147" s="302"/>
      <c r="BN147" s="302"/>
      <c r="BO147" s="551"/>
      <c r="BP147" s="551"/>
      <c r="BQ147" s="551"/>
      <c r="BR147" s="551"/>
      <c r="BS147" s="551"/>
      <c r="BT147" s="551"/>
      <c r="BU147" s="551"/>
    </row>
    <row r="148" spans="2:75">
      <c r="B148" s="5" t="s">
        <v>624</v>
      </c>
      <c r="C148" s="1"/>
      <c r="D148" s="302"/>
      <c r="E148" s="302"/>
      <c r="F148" s="302"/>
      <c r="G148" s="302"/>
      <c r="H148" s="302"/>
      <c r="I148" s="302"/>
      <c r="J148" s="302"/>
      <c r="K148" s="1"/>
      <c r="L148" s="1"/>
      <c r="M148" s="1"/>
      <c r="N148" s="1"/>
      <c r="O148" s="1"/>
      <c r="P148" s="1"/>
      <c r="Q148" s="1"/>
      <c r="R148" s="1"/>
      <c r="S148" s="302"/>
      <c r="T148" s="302"/>
      <c r="U148" s="302"/>
      <c r="V148" s="302"/>
      <c r="W148" s="302"/>
      <c r="X148" s="302"/>
      <c r="Y148" s="302"/>
      <c r="Z148" s="302"/>
      <c r="AA148" s="302"/>
      <c r="AB148" s="302"/>
      <c r="AC148" s="302"/>
      <c r="AD148" s="302"/>
      <c r="AE148" s="302"/>
      <c r="AF148" s="302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40"/>
      <c r="BE148" s="1"/>
      <c r="BF148" s="1"/>
      <c r="BG148" s="1"/>
      <c r="BH148" s="140"/>
      <c r="BI148" s="1"/>
      <c r="BJ148" s="1"/>
      <c r="BK148" s="1"/>
      <c r="BL148" s="302"/>
      <c r="BM148" s="302"/>
      <c r="BN148" s="302"/>
      <c r="BO148" s="1"/>
      <c r="BP148" s="1"/>
      <c r="BQ148" s="1"/>
      <c r="BR148" s="1"/>
      <c r="BS148" s="1"/>
      <c r="BT148" s="1"/>
      <c r="BU148" s="1"/>
    </row>
    <row r="149" spans="2:75">
      <c r="B149" s="5" t="s">
        <v>521</v>
      </c>
      <c r="C149" s="1"/>
      <c r="D149" s="302"/>
      <c r="E149" s="302"/>
      <c r="F149" s="302"/>
      <c r="G149" s="302"/>
      <c r="H149" s="302"/>
      <c r="I149" s="302"/>
      <c r="J149" s="302"/>
      <c r="K149" s="1"/>
      <c r="L149" s="1"/>
      <c r="M149" s="1"/>
      <c r="N149" s="1"/>
      <c r="O149" s="1"/>
      <c r="P149" s="1"/>
      <c r="Q149" s="1"/>
      <c r="R149" s="1"/>
      <c r="S149" s="302"/>
      <c r="T149" s="302"/>
      <c r="U149" s="302"/>
      <c r="V149" s="302"/>
      <c r="W149" s="302"/>
      <c r="X149" s="302"/>
      <c r="Y149" s="302"/>
      <c r="Z149" s="302"/>
      <c r="AA149" s="302"/>
      <c r="AB149" s="302"/>
      <c r="AC149" s="302"/>
      <c r="AD149" s="302"/>
      <c r="AE149" s="302"/>
      <c r="AF149" s="302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51"/>
      <c r="AR149" s="1"/>
      <c r="AS149" s="1"/>
      <c r="AT149" s="1"/>
      <c r="AU149" s="151"/>
      <c r="AV149" s="1"/>
      <c r="AW149" s="1"/>
      <c r="AX149" s="1"/>
      <c r="AY149" s="151"/>
      <c r="AZ149" s="1"/>
      <c r="BA149" s="1"/>
      <c r="BB149" s="1"/>
      <c r="BC149" s="151"/>
      <c r="BD149" s="140"/>
      <c r="BE149" s="1"/>
      <c r="BF149" s="1"/>
      <c r="BG149" s="151"/>
      <c r="BH149" s="140"/>
      <c r="BI149" s="1"/>
      <c r="BJ149" s="1"/>
      <c r="BK149" s="1"/>
      <c r="BL149" s="302"/>
      <c r="BM149" s="302"/>
      <c r="BN149" s="302"/>
      <c r="BO149" s="1"/>
      <c r="BP149" s="1"/>
      <c r="BQ149" s="1"/>
      <c r="BR149" s="1"/>
      <c r="BS149" s="1"/>
      <c r="BT149" s="1"/>
      <c r="BU149" s="1"/>
    </row>
    <row r="150" spans="2:75">
      <c r="B150" s="1" t="s">
        <v>610</v>
      </c>
      <c r="C150" s="1"/>
      <c r="D150" s="302"/>
      <c r="E150" s="302"/>
      <c r="F150" s="302"/>
      <c r="G150" s="302"/>
      <c r="H150" s="302"/>
      <c r="I150" s="302"/>
      <c r="J150" s="302"/>
      <c r="K150" s="140">
        <v>39268</v>
      </c>
      <c r="L150" s="140">
        <v>10920</v>
      </c>
      <c r="M150" s="140">
        <v>216484</v>
      </c>
      <c r="N150" s="140">
        <v>63564</v>
      </c>
      <c r="O150" s="140">
        <f>-105085</f>
        <v>-105085</v>
      </c>
      <c r="P150" s="140">
        <v>53288</v>
      </c>
      <c r="Q150" s="560">
        <v>697760</v>
      </c>
      <c r="R150" s="1"/>
      <c r="S150" s="302"/>
      <c r="T150" s="302"/>
      <c r="U150" s="302"/>
      <c r="V150" s="302"/>
      <c r="W150" s="302"/>
      <c r="X150" s="302"/>
      <c r="Y150" s="302"/>
      <c r="Z150" s="302"/>
      <c r="AA150" s="302"/>
      <c r="AB150" s="302"/>
      <c r="AC150" s="302"/>
      <c r="AD150" s="302"/>
      <c r="AE150" s="302"/>
      <c r="AF150" s="302"/>
      <c r="AG150" s="140">
        <v>-3207</v>
      </c>
      <c r="AH150" s="151">
        <f>BO150-AG150</f>
        <v>18169</v>
      </c>
      <c r="AI150" s="140">
        <v>-1180</v>
      </c>
      <c r="AJ150" s="151">
        <f>K150-AI150-AH150-AG150</f>
        <v>25486</v>
      </c>
      <c r="AK150" s="140">
        <v>-10417</v>
      </c>
      <c r="AL150" s="151">
        <f>BP150-AK150</f>
        <v>-27988</v>
      </c>
      <c r="AM150" s="140">
        <v>-19536</v>
      </c>
      <c r="AN150" s="140">
        <v>-19536</v>
      </c>
      <c r="AO150" s="151">
        <f>L150-AM150-AL150-AK150</f>
        <v>68861</v>
      </c>
      <c r="AP150" s="140">
        <v>11168</v>
      </c>
      <c r="AQ150" s="151">
        <f>BQ150-AP150</f>
        <v>46506</v>
      </c>
      <c r="AR150" s="140">
        <v>64175</v>
      </c>
      <c r="AS150" s="151">
        <f>M150-AR150-AQ150-AP150</f>
        <v>94635</v>
      </c>
      <c r="AT150" s="140">
        <v>22426</v>
      </c>
      <c r="AU150" s="151">
        <f>BR150-AT150</f>
        <v>19203</v>
      </c>
      <c r="AV150" s="140">
        <v>-14817</v>
      </c>
      <c r="AW150" s="151">
        <f>N150-AV150-AU150-AT150</f>
        <v>36752</v>
      </c>
      <c r="AX150" s="140">
        <v>-27229</v>
      </c>
      <c r="AY150" s="151">
        <f>BS150-AX150</f>
        <v>-3183</v>
      </c>
      <c r="AZ150" s="140">
        <v>-15550</v>
      </c>
      <c r="BA150" s="151">
        <f>O150-AZ150-AY150-AX150</f>
        <v>-59123</v>
      </c>
      <c r="BB150" s="140">
        <v>-2706</v>
      </c>
      <c r="BC150" s="151">
        <f>BT150-BB150</f>
        <v>17278</v>
      </c>
      <c r="BD150" s="140">
        <f>-10630-BC150-BB150</f>
        <v>-25202</v>
      </c>
      <c r="BE150" s="151">
        <f t="shared" ref="BE150:BE160" si="140">P150-BD150-BC150-BB150</f>
        <v>63918</v>
      </c>
      <c r="BF150" s="140">
        <v>23280</v>
      </c>
      <c r="BG150" s="512"/>
      <c r="BH150" s="559">
        <v>133162</v>
      </c>
      <c r="BI150" s="513"/>
      <c r="BJ150" s="560">
        <v>232383</v>
      </c>
      <c r="BK150" s="124"/>
      <c r="BL150" s="302"/>
      <c r="BM150" s="302"/>
      <c r="BN150" s="302"/>
      <c r="BO150" s="140">
        <v>14962</v>
      </c>
      <c r="BP150" s="140">
        <v>-38405</v>
      </c>
      <c r="BQ150" s="140">
        <v>57674</v>
      </c>
      <c r="BR150" s="140">
        <v>41629</v>
      </c>
      <c r="BS150" s="140">
        <v>-30412</v>
      </c>
      <c r="BT150" s="140">
        <v>14572</v>
      </c>
      <c r="BU150" s="512"/>
    </row>
    <row r="151" spans="2:75">
      <c r="B151" s="1" t="s">
        <v>611</v>
      </c>
      <c r="C151" s="1"/>
      <c r="D151" s="302"/>
      <c r="E151" s="302"/>
      <c r="F151" s="302"/>
      <c r="G151" s="302"/>
      <c r="H151" s="302"/>
      <c r="I151" s="302"/>
      <c r="J151" s="302"/>
      <c r="K151" s="140">
        <v>153556</v>
      </c>
      <c r="L151" s="140">
        <v>225360</v>
      </c>
      <c r="M151" s="140">
        <v>438382</v>
      </c>
      <c r="N151" s="140">
        <v>228161</v>
      </c>
      <c r="O151" s="140">
        <v>108147</v>
      </c>
      <c r="P151" s="140">
        <v>148910</v>
      </c>
      <c r="Q151" s="560"/>
      <c r="R151" s="1"/>
      <c r="S151" s="302"/>
      <c r="T151" s="302"/>
      <c r="U151" s="302"/>
      <c r="V151" s="302"/>
      <c r="W151" s="302"/>
      <c r="X151" s="302"/>
      <c r="Y151" s="302"/>
      <c r="Z151" s="302"/>
      <c r="AA151" s="302"/>
      <c r="AB151" s="302"/>
      <c r="AC151" s="302"/>
      <c r="AD151" s="302"/>
      <c r="AE151" s="302"/>
      <c r="AF151" s="302"/>
      <c r="AG151" s="140">
        <v>56211</v>
      </c>
      <c r="AH151" s="151">
        <f>BO151-AG151</f>
        <v>42486</v>
      </c>
      <c r="AI151" s="140">
        <v>31354</v>
      </c>
      <c r="AJ151" s="151">
        <f>K151-AI151-AH151-AG151</f>
        <v>23505</v>
      </c>
      <c r="AK151" s="140">
        <v>40030</v>
      </c>
      <c r="AL151" s="151">
        <f>BP151-AK151</f>
        <v>-7612</v>
      </c>
      <c r="AM151" s="140">
        <v>72258</v>
      </c>
      <c r="AN151" s="140">
        <v>72703</v>
      </c>
      <c r="AO151" s="151">
        <f>L151-AM151-AL151-AK151</f>
        <v>120684</v>
      </c>
      <c r="AP151" s="140">
        <v>109498</v>
      </c>
      <c r="AQ151" s="151">
        <f>BQ151-AP151</f>
        <v>119243</v>
      </c>
      <c r="AR151" s="140">
        <v>107587</v>
      </c>
      <c r="AS151" s="151">
        <f>M151-AR151-AQ151-AP151</f>
        <v>102054</v>
      </c>
      <c r="AT151" s="140">
        <v>70576</v>
      </c>
      <c r="AU151" s="151">
        <f>BR151-AT151</f>
        <v>52644</v>
      </c>
      <c r="AV151" s="140">
        <v>49156</v>
      </c>
      <c r="AW151" s="151">
        <f>N151-AV151-AU151-AT151</f>
        <v>55785</v>
      </c>
      <c r="AX151" s="140">
        <v>38415</v>
      </c>
      <c r="AY151" s="151">
        <f>BS151-AX151</f>
        <v>-13850</v>
      </c>
      <c r="AZ151" s="140">
        <v>10898</v>
      </c>
      <c r="BA151" s="151">
        <f>O151-AZ151-AY151-AX151</f>
        <v>72684</v>
      </c>
      <c r="BB151" s="140">
        <v>44403</v>
      </c>
      <c r="BC151" s="151">
        <f>BT151-BB151</f>
        <v>-15423</v>
      </c>
      <c r="BD151" s="140">
        <f>-98050-BC151-BB151</f>
        <v>-127030</v>
      </c>
      <c r="BE151" s="151">
        <f t="shared" si="140"/>
        <v>246960</v>
      </c>
      <c r="BF151" s="140">
        <v>54387</v>
      </c>
      <c r="BG151" s="512"/>
      <c r="BH151" s="559"/>
      <c r="BI151" s="513"/>
      <c r="BJ151" s="560"/>
      <c r="BK151" s="124"/>
      <c r="BL151" s="302"/>
      <c r="BM151" s="302"/>
      <c r="BN151" s="302"/>
      <c r="BO151" s="140">
        <v>98697</v>
      </c>
      <c r="BP151" s="140">
        <v>32418</v>
      </c>
      <c r="BQ151" s="140">
        <v>228741</v>
      </c>
      <c r="BR151" s="140">
        <v>123220</v>
      </c>
      <c r="BS151" s="140">
        <v>24565</v>
      </c>
      <c r="BT151" s="140">
        <v>28980</v>
      </c>
      <c r="BU151" s="512"/>
    </row>
    <row r="152" spans="2:75">
      <c r="B152" s="1" t="s">
        <v>612</v>
      </c>
      <c r="C152" s="1"/>
      <c r="D152" s="302"/>
      <c r="E152" s="302"/>
      <c r="F152" s="302"/>
      <c r="G152" s="302"/>
      <c r="H152" s="302"/>
      <c r="I152" s="302"/>
      <c r="J152" s="302"/>
      <c r="K152" s="140">
        <v>33107</v>
      </c>
      <c r="L152" s="140">
        <v>53358</v>
      </c>
      <c r="M152" s="140">
        <v>75791</v>
      </c>
      <c r="N152" s="140">
        <v>32238</v>
      </c>
      <c r="O152" s="140">
        <v>48792</v>
      </c>
      <c r="P152" s="140">
        <v>68664</v>
      </c>
      <c r="Q152" s="560"/>
      <c r="R152" s="1"/>
      <c r="S152" s="302"/>
      <c r="T152" s="302"/>
      <c r="U152" s="302"/>
      <c r="V152" s="302"/>
      <c r="W152" s="302"/>
      <c r="X152" s="302"/>
      <c r="Y152" s="302"/>
      <c r="Z152" s="302"/>
      <c r="AA152" s="302"/>
      <c r="AB152" s="302"/>
      <c r="AC152" s="302"/>
      <c r="AD152" s="302"/>
      <c r="AE152" s="302"/>
      <c r="AF152" s="302"/>
      <c r="AG152" s="140">
        <v>8917</v>
      </c>
      <c r="AH152" s="151">
        <f>BO152-AG152</f>
        <v>10174</v>
      </c>
      <c r="AI152" s="140">
        <v>6852</v>
      </c>
      <c r="AJ152" s="151">
        <f>K152-AI152-AH152-AG152</f>
        <v>7164</v>
      </c>
      <c r="AK152" s="140">
        <v>4239</v>
      </c>
      <c r="AL152" s="151">
        <f>BP152-AK152</f>
        <v>4942</v>
      </c>
      <c r="AM152" s="140">
        <v>17238</v>
      </c>
      <c r="AN152" s="140">
        <v>17238</v>
      </c>
      <c r="AO152" s="151">
        <f>L152-AM152-AL152-AK152</f>
        <v>26939</v>
      </c>
      <c r="AP152" s="140">
        <v>16517</v>
      </c>
      <c r="AQ152" s="151">
        <f>BQ152-AP152</f>
        <v>19698</v>
      </c>
      <c r="AR152" s="140">
        <v>20058</v>
      </c>
      <c r="AS152" s="151">
        <f>M152-AR152-AQ152-AP152</f>
        <v>19518</v>
      </c>
      <c r="AT152" s="140">
        <v>11355</v>
      </c>
      <c r="AU152" s="151">
        <f>BR152-AT152</f>
        <v>6108</v>
      </c>
      <c r="AV152" s="140">
        <v>6557</v>
      </c>
      <c r="AW152" s="151">
        <f>N152-AV152-AU152-AT152</f>
        <v>8218</v>
      </c>
      <c r="AX152" s="140">
        <v>11528</v>
      </c>
      <c r="AY152" s="151">
        <f>BS152-AX152</f>
        <v>-981</v>
      </c>
      <c r="AZ152" s="140">
        <v>10493</v>
      </c>
      <c r="BA152" s="151">
        <f>O152-AZ152-AY152-AX152</f>
        <v>27752</v>
      </c>
      <c r="BB152" s="140">
        <v>16918</v>
      </c>
      <c r="BC152" s="151">
        <f>BT152-BB152</f>
        <v>-925</v>
      </c>
      <c r="BD152" s="140">
        <f>49436-BC152-BB152</f>
        <v>33443</v>
      </c>
      <c r="BE152" s="151">
        <f t="shared" si="140"/>
        <v>19228</v>
      </c>
      <c r="BF152" s="140">
        <v>15525</v>
      </c>
      <c r="BG152" s="512"/>
      <c r="BH152" s="559"/>
      <c r="BI152" s="513"/>
      <c r="BJ152" s="560"/>
      <c r="BK152" s="124"/>
      <c r="BL152" s="302"/>
      <c r="BM152" s="302"/>
      <c r="BN152" s="302"/>
      <c r="BO152" s="140">
        <v>19091</v>
      </c>
      <c r="BP152" s="140">
        <v>9181</v>
      </c>
      <c r="BQ152" s="140">
        <v>36215</v>
      </c>
      <c r="BR152" s="140">
        <v>17463</v>
      </c>
      <c r="BS152" s="140">
        <v>10547</v>
      </c>
      <c r="BT152" s="140">
        <v>15993</v>
      </c>
      <c r="BU152" s="512"/>
    </row>
    <row r="153" spans="2:75" s="190" customFormat="1">
      <c r="B153" s="5" t="s">
        <v>620</v>
      </c>
      <c r="C153" s="550"/>
      <c r="D153" s="302"/>
      <c r="E153" s="302"/>
      <c r="F153" s="302"/>
      <c r="G153" s="302"/>
      <c r="H153" s="302"/>
      <c r="I153" s="302"/>
      <c r="J153" s="302"/>
      <c r="K153" s="140">
        <v>264107</v>
      </c>
      <c r="L153" s="140">
        <v>211356</v>
      </c>
      <c r="M153" s="140">
        <v>325161</v>
      </c>
      <c r="N153" s="140">
        <v>151168</v>
      </c>
      <c r="O153" s="140">
        <v>126536</v>
      </c>
      <c r="P153" s="140">
        <v>269661</v>
      </c>
      <c r="Q153" s="560"/>
      <c r="R153" s="551"/>
      <c r="S153" s="302"/>
      <c r="T153" s="302"/>
      <c r="U153" s="302"/>
      <c r="V153" s="302"/>
      <c r="W153" s="302"/>
      <c r="X153" s="302"/>
      <c r="Y153" s="302"/>
      <c r="Z153" s="302"/>
      <c r="AA153" s="302"/>
      <c r="AB153" s="302"/>
      <c r="AC153" s="302"/>
      <c r="AD153" s="302"/>
      <c r="AE153" s="302"/>
      <c r="AF153" s="302"/>
      <c r="AG153" s="140">
        <v>77613</v>
      </c>
      <c r="AH153" s="151">
        <f>BO153-AG153</f>
        <v>71726</v>
      </c>
      <c r="AI153" s="140">
        <v>68997</v>
      </c>
      <c r="AJ153" s="151">
        <f>K153-AI153-AH153-AG153</f>
        <v>45771</v>
      </c>
      <c r="AK153" s="140">
        <v>50424</v>
      </c>
      <c r="AL153" s="151">
        <f>BP153-AK153</f>
        <v>23655</v>
      </c>
      <c r="AM153" s="140">
        <v>50014</v>
      </c>
      <c r="AN153" s="140">
        <v>50014</v>
      </c>
      <c r="AO153" s="151">
        <f>L153-AM153-AL153-AK153</f>
        <v>87263</v>
      </c>
      <c r="AP153" s="140">
        <v>104277</v>
      </c>
      <c r="AQ153" s="151">
        <f>BQ153-AP153</f>
        <v>83204</v>
      </c>
      <c r="AR153" s="140">
        <v>66726</v>
      </c>
      <c r="AS153" s="151">
        <f>M153-AR153-AQ153-AP153</f>
        <v>70954</v>
      </c>
      <c r="AT153" s="140">
        <v>73120</v>
      </c>
      <c r="AU153" s="151">
        <f>BR153-AT153</f>
        <v>57006</v>
      </c>
      <c r="AV153" s="140">
        <v>18387</v>
      </c>
      <c r="AW153" s="151">
        <f>N153-AV153-AU153-AT153</f>
        <v>2655</v>
      </c>
      <c r="AX153" s="140">
        <v>25180</v>
      </c>
      <c r="AY153" s="151">
        <f>BS153-AX153</f>
        <v>4982</v>
      </c>
      <c r="AZ153" s="140">
        <v>55421</v>
      </c>
      <c r="BA153" s="151">
        <f>O153-AZ153-AY153-AX153</f>
        <v>40953</v>
      </c>
      <c r="BB153" s="140">
        <v>59205</v>
      </c>
      <c r="BC153" s="151">
        <f>BT153-BB153</f>
        <v>9517</v>
      </c>
      <c r="BD153" s="140">
        <f>211853-BC153-BB153</f>
        <v>143131</v>
      </c>
      <c r="BE153" s="151">
        <f t="shared" si="140"/>
        <v>57808</v>
      </c>
      <c r="BF153" s="140">
        <v>104046</v>
      </c>
      <c r="BG153" s="512"/>
      <c r="BH153" s="140"/>
      <c r="BI153" s="513"/>
      <c r="BJ153" s="560"/>
      <c r="BK153" s="124"/>
      <c r="BL153" s="302"/>
      <c r="BM153" s="302"/>
      <c r="BN153" s="302"/>
      <c r="BO153" s="140">
        <v>149339</v>
      </c>
      <c r="BP153" s="140">
        <v>74079</v>
      </c>
      <c r="BQ153" s="140">
        <v>187481</v>
      </c>
      <c r="BR153" s="140">
        <v>130126</v>
      </c>
      <c r="BS153" s="140">
        <v>30162</v>
      </c>
      <c r="BT153" s="140">
        <v>68722</v>
      </c>
      <c r="BU153" s="512"/>
      <c r="BW153" s="340"/>
    </row>
    <row r="154" spans="2:75">
      <c r="B154" s="5" t="s">
        <v>625</v>
      </c>
      <c r="C154" s="1"/>
      <c r="D154" s="302"/>
      <c r="E154" s="302"/>
      <c r="F154" s="302"/>
      <c r="G154" s="302"/>
      <c r="H154" s="302"/>
      <c r="I154" s="302"/>
      <c r="J154" s="302"/>
      <c r="K154" s="1"/>
      <c r="L154" s="1"/>
      <c r="M154" s="1"/>
      <c r="N154" s="1"/>
      <c r="O154" s="1"/>
      <c r="P154" s="1"/>
      <c r="Q154" s="1"/>
      <c r="R154" s="1"/>
      <c r="S154" s="302"/>
      <c r="T154" s="302"/>
      <c r="U154" s="302"/>
      <c r="V154" s="302"/>
      <c r="W154" s="302"/>
      <c r="X154" s="302"/>
      <c r="Y154" s="302"/>
      <c r="Z154" s="302"/>
      <c r="AA154" s="302"/>
      <c r="AB154" s="302"/>
      <c r="AC154" s="302"/>
      <c r="AD154" s="302"/>
      <c r="AE154" s="302"/>
      <c r="AF154" s="302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40"/>
      <c r="BE154" s="151">
        <f t="shared" si="140"/>
        <v>0</v>
      </c>
      <c r="BF154" s="1"/>
      <c r="BG154" s="552"/>
      <c r="BH154" s="140"/>
      <c r="BI154" s="513"/>
      <c r="BJ154" s="1"/>
      <c r="BK154" s="1"/>
      <c r="BL154" s="302"/>
      <c r="BM154" s="302"/>
      <c r="BN154" s="302"/>
      <c r="BO154" s="140"/>
      <c r="BP154" s="1"/>
      <c r="BQ154" s="1"/>
      <c r="BR154" s="1"/>
      <c r="BS154" s="1"/>
      <c r="BT154" s="1"/>
      <c r="BU154" s="552"/>
    </row>
    <row r="155" spans="2:75">
      <c r="B155" s="1" t="s">
        <v>522</v>
      </c>
      <c r="C155" s="1"/>
      <c r="D155" s="302"/>
      <c r="E155" s="302"/>
      <c r="F155" s="302"/>
      <c r="G155" s="302"/>
      <c r="H155" s="302"/>
      <c r="I155" s="302"/>
      <c r="J155" s="302"/>
      <c r="K155" s="140">
        <v>284634</v>
      </c>
      <c r="L155" s="140">
        <v>156776</v>
      </c>
      <c r="M155" s="140">
        <v>244173</v>
      </c>
      <c r="N155" s="140">
        <v>298572</v>
      </c>
      <c r="O155" s="140">
        <v>239366</v>
      </c>
      <c r="P155" s="140">
        <v>368092</v>
      </c>
      <c r="Q155" s="140">
        <v>410780</v>
      </c>
      <c r="R155" s="1"/>
      <c r="S155" s="302"/>
      <c r="T155" s="302"/>
      <c r="U155" s="302"/>
      <c r="V155" s="302"/>
      <c r="W155" s="302"/>
      <c r="X155" s="302"/>
      <c r="Y155" s="302"/>
      <c r="Z155" s="302"/>
      <c r="AA155" s="302"/>
      <c r="AB155" s="302"/>
      <c r="AC155" s="302"/>
      <c r="AD155" s="302"/>
      <c r="AE155" s="302"/>
      <c r="AF155" s="302"/>
      <c r="AG155" s="140">
        <v>57178</v>
      </c>
      <c r="AH155" s="151">
        <f t="shared" ref="AH155:AH160" si="141">BO155-AG155</f>
        <v>70586</v>
      </c>
      <c r="AI155" s="140">
        <v>61573</v>
      </c>
      <c r="AJ155" s="151">
        <f t="shared" ref="AJ155:AJ160" si="142">K155-AI155-AH155-AG155</f>
        <v>95297</v>
      </c>
      <c r="AK155" s="140">
        <v>50983</v>
      </c>
      <c r="AL155" s="151">
        <f t="shared" ref="AL155:AL160" si="143">BP155-AK155</f>
        <v>-20271</v>
      </c>
      <c r="AM155" s="140">
        <v>42029</v>
      </c>
      <c r="AN155" s="140">
        <v>42029</v>
      </c>
      <c r="AO155" s="151">
        <f t="shared" ref="AO155:AO160" si="144">L155-AM155-AL155-AK155</f>
        <v>84035</v>
      </c>
      <c r="AP155" s="140">
        <v>43139</v>
      </c>
      <c r="AQ155" s="151">
        <f t="shared" ref="AQ155:AQ160" si="145">BQ155-AP155</f>
        <v>48409</v>
      </c>
      <c r="AR155" s="140">
        <v>65298</v>
      </c>
      <c r="AS155" s="151">
        <f t="shared" ref="AS155:AS160" si="146">M155-AR155-AQ155-AP155</f>
        <v>87327</v>
      </c>
      <c r="AT155" s="140">
        <v>48805</v>
      </c>
      <c r="AU155" s="151">
        <f t="shared" ref="AU155:AU160" si="147">BR155-AT155</f>
        <v>61925</v>
      </c>
      <c r="AV155" s="140">
        <v>95542</v>
      </c>
      <c r="AW155" s="151">
        <f t="shared" ref="AW155:AW160" si="148">N155-AV155-AU155-AT155</f>
        <v>92300</v>
      </c>
      <c r="AX155" s="140">
        <v>54446</v>
      </c>
      <c r="AY155" s="151">
        <f t="shared" ref="AY155:AY160" si="149">BS155-AX155</f>
        <v>-9791</v>
      </c>
      <c r="AZ155" s="140">
        <v>70812</v>
      </c>
      <c r="BA155" s="151">
        <f t="shared" ref="BA155:BA160" si="150">O155-AZ155-AY155-AX155</f>
        <v>123899</v>
      </c>
      <c r="BB155" s="140">
        <v>75908</v>
      </c>
      <c r="BC155" s="151">
        <f t="shared" ref="BC155:BC160" si="151">BT155-BB155</f>
        <v>9376</v>
      </c>
      <c r="BD155" s="140">
        <f>243100-BC155-BB155</f>
        <v>157816</v>
      </c>
      <c r="BE155" s="151">
        <f t="shared" si="140"/>
        <v>124992</v>
      </c>
      <c r="BF155" s="140">
        <v>94626</v>
      </c>
      <c r="BG155" s="512"/>
      <c r="BH155" s="140">
        <v>85644</v>
      </c>
      <c r="BI155" s="513"/>
      <c r="BJ155" s="140">
        <v>124361</v>
      </c>
      <c r="BK155" s="124"/>
      <c r="BL155" s="302"/>
      <c r="BM155" s="302"/>
      <c r="BN155" s="302"/>
      <c r="BO155" s="140">
        <v>127764</v>
      </c>
      <c r="BP155" s="140">
        <v>30712</v>
      </c>
      <c r="BQ155" s="140">
        <v>91548</v>
      </c>
      <c r="BR155" s="140">
        <v>110730</v>
      </c>
      <c r="BS155" s="140">
        <v>44655</v>
      </c>
      <c r="BT155" s="140">
        <v>85284</v>
      </c>
      <c r="BU155" s="512"/>
    </row>
    <row r="156" spans="2:75">
      <c r="B156" s="1" t="s">
        <v>524</v>
      </c>
      <c r="C156" s="1"/>
      <c r="D156" s="302"/>
      <c r="E156" s="302"/>
      <c r="F156" s="302"/>
      <c r="G156" s="302"/>
      <c r="H156" s="302"/>
      <c r="I156" s="302"/>
      <c r="J156" s="302"/>
      <c r="K156" s="140">
        <v>98035</v>
      </c>
      <c r="L156" s="140">
        <v>43232</v>
      </c>
      <c r="M156" s="140">
        <v>58632</v>
      </c>
      <c r="N156" s="140">
        <v>58738</v>
      </c>
      <c r="O156" s="140">
        <v>-72513</v>
      </c>
      <c r="P156" s="140">
        <v>39725</v>
      </c>
      <c r="Q156" s="140">
        <v>115261</v>
      </c>
      <c r="R156" s="1"/>
      <c r="S156" s="302"/>
      <c r="T156" s="302"/>
      <c r="U156" s="302"/>
      <c r="V156" s="302"/>
      <c r="W156" s="302"/>
      <c r="X156" s="302"/>
      <c r="Y156" s="302"/>
      <c r="Z156" s="302"/>
      <c r="AA156" s="302"/>
      <c r="AB156" s="302"/>
      <c r="AC156" s="302"/>
      <c r="AD156" s="302"/>
      <c r="AE156" s="302"/>
      <c r="AF156" s="302"/>
      <c r="AG156" s="140">
        <v>7399</v>
      </c>
      <c r="AH156" s="151">
        <f t="shared" si="141"/>
        <v>32502</v>
      </c>
      <c r="AI156" s="140">
        <v>18248</v>
      </c>
      <c r="AJ156" s="151">
        <f t="shared" si="142"/>
        <v>39886</v>
      </c>
      <c r="AK156" s="140">
        <v>11874</v>
      </c>
      <c r="AL156" s="151">
        <f t="shared" si="143"/>
        <v>2785</v>
      </c>
      <c r="AM156" s="140">
        <v>6465</v>
      </c>
      <c r="AN156" s="140">
        <v>6465</v>
      </c>
      <c r="AO156" s="151">
        <f t="shared" si="144"/>
        <v>22108</v>
      </c>
      <c r="AP156" s="140">
        <v>-1296</v>
      </c>
      <c r="AQ156" s="151">
        <f t="shared" si="145"/>
        <v>3638</v>
      </c>
      <c r="AR156" s="140">
        <v>12119</v>
      </c>
      <c r="AS156" s="151">
        <f t="shared" si="146"/>
        <v>44171</v>
      </c>
      <c r="AT156" s="140">
        <v>13491</v>
      </c>
      <c r="AU156" s="151">
        <f t="shared" si="147"/>
        <v>18560</v>
      </c>
      <c r="AV156" s="140">
        <v>14201</v>
      </c>
      <c r="AW156" s="151">
        <f t="shared" si="148"/>
        <v>12486</v>
      </c>
      <c r="AX156" s="140">
        <v>-14136</v>
      </c>
      <c r="AY156" s="151">
        <f t="shared" si="149"/>
        <v>-11070</v>
      </c>
      <c r="AZ156" s="140">
        <v>-16685</v>
      </c>
      <c r="BA156" s="151">
        <f t="shared" si="150"/>
        <v>-30622</v>
      </c>
      <c r="BB156" s="140">
        <v>5332</v>
      </c>
      <c r="BC156" s="151">
        <f t="shared" si="151"/>
        <v>-9769</v>
      </c>
      <c r="BD156" s="140">
        <f>-3681-BC156-BB156</f>
        <v>756</v>
      </c>
      <c r="BE156" s="151">
        <f t="shared" si="140"/>
        <v>43406</v>
      </c>
      <c r="BF156" s="140">
        <v>16847</v>
      </c>
      <c r="BG156" s="512"/>
      <c r="BH156" s="140">
        <v>19921</v>
      </c>
      <c r="BI156" s="513"/>
      <c r="BJ156" s="140">
        <v>19354</v>
      </c>
      <c r="BK156" s="124"/>
      <c r="BL156" s="302"/>
      <c r="BM156" s="302"/>
      <c r="BN156" s="302"/>
      <c r="BO156" s="140">
        <v>39901</v>
      </c>
      <c r="BP156" s="140">
        <v>14659</v>
      </c>
      <c r="BQ156" s="140">
        <v>2342</v>
      </c>
      <c r="BR156" s="140">
        <v>32051</v>
      </c>
      <c r="BS156" s="140">
        <v>-25206</v>
      </c>
      <c r="BT156" s="140">
        <v>-4437</v>
      </c>
      <c r="BU156" s="512"/>
    </row>
    <row r="157" spans="2:75">
      <c r="B157" s="1" t="s">
        <v>523</v>
      </c>
      <c r="C157" s="1"/>
      <c r="D157" s="302"/>
      <c r="E157" s="302"/>
      <c r="F157" s="302"/>
      <c r="G157" s="302"/>
      <c r="H157" s="302"/>
      <c r="I157" s="302"/>
      <c r="J157" s="302"/>
      <c r="K157" s="140">
        <v>17862</v>
      </c>
      <c r="L157" s="140">
        <v>13087</v>
      </c>
      <c r="M157" s="140">
        <v>-5312</v>
      </c>
      <c r="N157" s="140">
        <v>-3666</v>
      </c>
      <c r="O157" s="140"/>
      <c r="P157" s="140"/>
      <c r="Q157" s="140"/>
      <c r="R157" s="1"/>
      <c r="S157" s="302"/>
      <c r="T157" s="302"/>
      <c r="U157" s="302"/>
      <c r="V157" s="302"/>
      <c r="W157" s="302"/>
      <c r="X157" s="302"/>
      <c r="Y157" s="302"/>
      <c r="Z157" s="302"/>
      <c r="AA157" s="302"/>
      <c r="AB157" s="302"/>
      <c r="AC157" s="302"/>
      <c r="AD157" s="302"/>
      <c r="AE157" s="302"/>
      <c r="AF157" s="302"/>
      <c r="AG157" s="140">
        <v>-1970</v>
      </c>
      <c r="AH157" s="151">
        <f t="shared" si="141"/>
        <v>2571</v>
      </c>
      <c r="AI157" s="140">
        <v>4408</v>
      </c>
      <c r="AJ157" s="151">
        <f t="shared" si="142"/>
        <v>12853</v>
      </c>
      <c r="AK157" s="140">
        <v>4093</v>
      </c>
      <c r="AL157" s="151">
        <f t="shared" si="143"/>
        <v>-3627</v>
      </c>
      <c r="AM157" s="140">
        <v>-4027</v>
      </c>
      <c r="AN157" s="140">
        <v>-4027</v>
      </c>
      <c r="AO157" s="151">
        <f t="shared" si="144"/>
        <v>16648</v>
      </c>
      <c r="AP157" s="140">
        <v>4579</v>
      </c>
      <c r="AQ157" s="151">
        <f t="shared" si="145"/>
        <v>-4082</v>
      </c>
      <c r="AR157" s="140">
        <v>-3588</v>
      </c>
      <c r="AS157" s="151">
        <f t="shared" si="146"/>
        <v>-2221</v>
      </c>
      <c r="AT157" s="140">
        <v>-880</v>
      </c>
      <c r="AU157" s="151">
        <f t="shared" si="147"/>
        <v>-2310</v>
      </c>
      <c r="AV157" s="140">
        <v>-356</v>
      </c>
      <c r="AW157" s="151">
        <f t="shared" si="148"/>
        <v>-120</v>
      </c>
      <c r="AX157" s="140">
        <v>-774</v>
      </c>
      <c r="AY157" s="151">
        <f t="shared" si="149"/>
        <v>774</v>
      </c>
      <c r="AZ157" s="140">
        <v>-4523</v>
      </c>
      <c r="BA157" s="151">
        <f t="shared" si="150"/>
        <v>4523</v>
      </c>
      <c r="BB157" s="140">
        <v>-3001</v>
      </c>
      <c r="BC157" s="151">
        <f t="shared" si="151"/>
        <v>3001</v>
      </c>
      <c r="BD157" s="140"/>
      <c r="BE157" s="151">
        <f t="shared" si="140"/>
        <v>0</v>
      </c>
      <c r="BF157" s="140">
        <v>0</v>
      </c>
      <c r="BG157" s="512"/>
      <c r="BH157" s="140">
        <v>0</v>
      </c>
      <c r="BI157" s="513"/>
      <c r="BJ157" s="140">
        <v>0</v>
      </c>
      <c r="BK157" s="124"/>
      <c r="BL157" s="302"/>
      <c r="BM157" s="302"/>
      <c r="BN157" s="302"/>
      <c r="BO157" s="140">
        <v>601</v>
      </c>
      <c r="BP157" s="140">
        <v>466</v>
      </c>
      <c r="BQ157" s="140">
        <v>497</v>
      </c>
      <c r="BR157" s="140">
        <v>-3190</v>
      </c>
      <c r="BS157" s="140">
        <v>0</v>
      </c>
      <c r="BT157" s="140">
        <v>0</v>
      </c>
      <c r="BU157" s="512"/>
    </row>
    <row r="158" spans="2:75">
      <c r="B158" s="1" t="s">
        <v>525</v>
      </c>
      <c r="C158" s="1"/>
      <c r="D158" s="302"/>
      <c r="E158" s="302"/>
      <c r="F158" s="302"/>
      <c r="G158" s="302"/>
      <c r="H158" s="302"/>
      <c r="I158" s="302"/>
      <c r="J158" s="302"/>
      <c r="K158" s="140">
        <v>404</v>
      </c>
      <c r="L158" s="140">
        <v>18623</v>
      </c>
      <c r="M158" s="140">
        <v>21859</v>
      </c>
      <c r="N158" s="140">
        <v>20804</v>
      </c>
      <c r="O158" s="140">
        <v>13367</v>
      </c>
      <c r="P158" s="140">
        <v>19590</v>
      </c>
      <c r="Q158" s="140">
        <v>0</v>
      </c>
      <c r="R158" s="1"/>
      <c r="S158" s="302"/>
      <c r="T158" s="302"/>
      <c r="U158" s="302"/>
      <c r="V158" s="302"/>
      <c r="W158" s="302"/>
      <c r="X158" s="302"/>
      <c r="Y158" s="302"/>
      <c r="Z158" s="302"/>
      <c r="AA158" s="302"/>
      <c r="AB158" s="302"/>
      <c r="AC158" s="302"/>
      <c r="AD158" s="302"/>
      <c r="AE158" s="302"/>
      <c r="AF158" s="302"/>
      <c r="AG158" s="140">
        <v>1701</v>
      </c>
      <c r="AH158" s="151">
        <f t="shared" si="141"/>
        <v>1267</v>
      </c>
      <c r="AI158" s="140">
        <v>2135</v>
      </c>
      <c r="AJ158" s="151">
        <f t="shared" si="142"/>
        <v>-4699</v>
      </c>
      <c r="AK158" s="140">
        <v>2179</v>
      </c>
      <c r="AL158" s="151">
        <f t="shared" si="143"/>
        <v>3831</v>
      </c>
      <c r="AM158" s="140">
        <v>6682</v>
      </c>
      <c r="AN158" s="140">
        <v>6682</v>
      </c>
      <c r="AO158" s="151">
        <f t="shared" si="144"/>
        <v>5931</v>
      </c>
      <c r="AP158" s="140">
        <v>4621</v>
      </c>
      <c r="AQ158" s="151">
        <f t="shared" si="145"/>
        <v>5317</v>
      </c>
      <c r="AR158" s="140">
        <v>6546</v>
      </c>
      <c r="AS158" s="151">
        <f t="shared" si="146"/>
        <v>5375</v>
      </c>
      <c r="AT158" s="140">
        <v>4845</v>
      </c>
      <c r="AU158" s="151">
        <f t="shared" si="147"/>
        <v>5541</v>
      </c>
      <c r="AV158" s="140">
        <v>5347</v>
      </c>
      <c r="AW158" s="151">
        <f t="shared" si="148"/>
        <v>5071</v>
      </c>
      <c r="AX158" s="140">
        <v>1089</v>
      </c>
      <c r="AY158" s="151">
        <f t="shared" si="149"/>
        <v>942</v>
      </c>
      <c r="AZ158" s="140">
        <v>4180</v>
      </c>
      <c r="BA158" s="151">
        <f t="shared" si="150"/>
        <v>7156</v>
      </c>
      <c r="BB158" s="140">
        <v>4402</v>
      </c>
      <c r="BC158" s="151">
        <f t="shared" si="151"/>
        <v>-170</v>
      </c>
      <c r="BD158" s="140">
        <f>13862-BC158-BB158</f>
        <v>9630</v>
      </c>
      <c r="BE158" s="151">
        <f t="shared" si="140"/>
        <v>5728</v>
      </c>
      <c r="BF158" s="140">
        <v>3998</v>
      </c>
      <c r="BG158" s="512"/>
      <c r="BH158" s="140">
        <v>0</v>
      </c>
      <c r="BI158" s="513"/>
      <c r="BJ158" s="140">
        <v>0</v>
      </c>
      <c r="BK158" s="124"/>
      <c r="BL158" s="302"/>
      <c r="BM158" s="302"/>
      <c r="BN158" s="302"/>
      <c r="BO158" s="140">
        <v>2968</v>
      </c>
      <c r="BP158" s="140">
        <v>6010</v>
      </c>
      <c r="BQ158" s="140">
        <v>9938</v>
      </c>
      <c r="BR158" s="140">
        <v>10386</v>
      </c>
      <c r="BS158" s="140">
        <v>2031</v>
      </c>
      <c r="BT158" s="140">
        <v>4232</v>
      </c>
      <c r="BU158" s="512"/>
    </row>
    <row r="159" spans="2:75">
      <c r="B159" s="1" t="s">
        <v>622</v>
      </c>
      <c r="C159" s="1"/>
      <c r="D159" s="302"/>
      <c r="E159" s="302"/>
      <c r="F159" s="302"/>
      <c r="G159" s="302"/>
      <c r="H159" s="302"/>
      <c r="I159" s="302"/>
      <c r="J159" s="302"/>
      <c r="K159" s="140">
        <v>238307</v>
      </c>
      <c r="L159" s="140">
        <v>116114</v>
      </c>
      <c r="M159" s="140">
        <v>208622</v>
      </c>
      <c r="N159" s="140">
        <v>282699</v>
      </c>
      <c r="O159" s="140">
        <v>322180</v>
      </c>
      <c r="P159" s="140">
        <v>380637</v>
      </c>
      <c r="Q159" s="140">
        <v>526228</v>
      </c>
      <c r="R159" s="1"/>
      <c r="S159" s="302"/>
      <c r="T159" s="302"/>
      <c r="U159" s="302"/>
      <c r="V159" s="302"/>
      <c r="W159" s="302"/>
      <c r="X159" s="302"/>
      <c r="Y159" s="302"/>
      <c r="Z159" s="302"/>
      <c r="AA159" s="302"/>
      <c r="AB159" s="302"/>
      <c r="AC159" s="302"/>
      <c r="AD159" s="302"/>
      <c r="AE159" s="302"/>
      <c r="AF159" s="302"/>
      <c r="AG159" s="140">
        <v>62890</v>
      </c>
      <c r="AH159" s="151">
        <f t="shared" si="141"/>
        <v>65283</v>
      </c>
      <c r="AI159" s="140">
        <v>65018</v>
      </c>
      <c r="AJ159" s="151">
        <f t="shared" si="142"/>
        <v>45116</v>
      </c>
      <c r="AK159" s="140">
        <v>58399</v>
      </c>
      <c r="AL159" s="151">
        <f t="shared" si="143"/>
        <v>1689</v>
      </c>
      <c r="AM159" s="140">
        <v>14990</v>
      </c>
      <c r="AN159" s="140">
        <v>14990</v>
      </c>
      <c r="AO159" s="151">
        <f t="shared" si="144"/>
        <v>41036</v>
      </c>
      <c r="AP159" s="140">
        <v>46638</v>
      </c>
      <c r="AQ159" s="151">
        <f t="shared" si="145"/>
        <v>31424</v>
      </c>
      <c r="AR159" s="140">
        <v>58343</v>
      </c>
      <c r="AS159" s="151">
        <f t="shared" si="146"/>
        <v>72217</v>
      </c>
      <c r="AT159" s="140">
        <v>68315</v>
      </c>
      <c r="AU159" s="151">
        <f t="shared" si="147"/>
        <v>69576</v>
      </c>
      <c r="AV159" s="140">
        <v>74538</v>
      </c>
      <c r="AW159" s="151">
        <f t="shared" si="148"/>
        <v>70270</v>
      </c>
      <c r="AX159" s="140">
        <v>74969</v>
      </c>
      <c r="AY159" s="151">
        <f t="shared" si="149"/>
        <v>3831</v>
      </c>
      <c r="AZ159" s="140">
        <v>87667</v>
      </c>
      <c r="BA159" s="151">
        <f t="shared" si="150"/>
        <v>155713</v>
      </c>
      <c r="BB159" s="140">
        <v>86852</v>
      </c>
      <c r="BC159" s="151">
        <f t="shared" si="151"/>
        <v>4826</v>
      </c>
      <c r="BD159" s="140">
        <f>272018-BC159-BB159</f>
        <v>180340</v>
      </c>
      <c r="BE159" s="151">
        <f t="shared" si="140"/>
        <v>108619</v>
      </c>
      <c r="BF159" s="140">
        <v>123847</v>
      </c>
      <c r="BG159" s="512"/>
      <c r="BH159" s="140">
        <v>133363</v>
      </c>
      <c r="BI159" s="513"/>
      <c r="BJ159" s="140">
        <v>130262</v>
      </c>
      <c r="BK159" s="124"/>
      <c r="BL159" s="302"/>
      <c r="BM159" s="302"/>
      <c r="BN159" s="302"/>
      <c r="BO159" s="140">
        <v>128173</v>
      </c>
      <c r="BP159" s="140">
        <v>60088</v>
      </c>
      <c r="BQ159" s="140">
        <v>78062</v>
      </c>
      <c r="BR159" s="140">
        <v>137891</v>
      </c>
      <c r="BS159" s="140">
        <v>78800</v>
      </c>
      <c r="BT159" s="140">
        <v>91678</v>
      </c>
      <c r="BU159" s="512"/>
    </row>
    <row r="160" spans="2:75">
      <c r="B160" s="1" t="s">
        <v>623</v>
      </c>
      <c r="C160" s="1"/>
      <c r="D160" s="302"/>
      <c r="E160" s="302"/>
      <c r="F160" s="302"/>
      <c r="G160" s="302"/>
      <c r="H160" s="302"/>
      <c r="I160" s="302"/>
      <c r="J160" s="302"/>
      <c r="K160" s="140">
        <v>12056</v>
      </c>
      <c r="L160" s="140">
        <v>-20371</v>
      </c>
      <c r="M160" s="140">
        <v>444</v>
      </c>
      <c r="N160" s="140">
        <v>-191861</v>
      </c>
      <c r="O160" s="140">
        <v>59994</v>
      </c>
      <c r="P160" s="140">
        <v>102993</v>
      </c>
      <c r="Q160" s="140">
        <v>194924</v>
      </c>
      <c r="R160" s="1"/>
      <c r="S160" s="302"/>
      <c r="T160" s="302"/>
      <c r="U160" s="302"/>
      <c r="V160" s="302"/>
      <c r="W160" s="302"/>
      <c r="X160" s="302"/>
      <c r="Y160" s="302"/>
      <c r="Z160" s="302"/>
      <c r="AA160" s="302"/>
      <c r="AB160" s="302"/>
      <c r="AC160" s="302"/>
      <c r="AD160" s="302"/>
      <c r="AE160" s="302"/>
      <c r="AF160" s="302"/>
      <c r="AG160" s="140">
        <v>12507</v>
      </c>
      <c r="AH160" s="151">
        <f t="shared" si="141"/>
        <v>1133</v>
      </c>
      <c r="AI160" s="140">
        <v>883</v>
      </c>
      <c r="AJ160" s="151">
        <f t="shared" si="142"/>
        <v>-2467</v>
      </c>
      <c r="AK160" s="140">
        <v>-306</v>
      </c>
      <c r="AL160" s="151">
        <f t="shared" si="143"/>
        <v>-2997</v>
      </c>
      <c r="AM160" s="140">
        <v>-6830</v>
      </c>
      <c r="AN160" s="140">
        <v>-7275</v>
      </c>
      <c r="AO160" s="151">
        <f t="shared" si="144"/>
        <v>-10238</v>
      </c>
      <c r="AP160" s="140">
        <v>13102</v>
      </c>
      <c r="AQ160" s="151">
        <f t="shared" si="145"/>
        <v>5636</v>
      </c>
      <c r="AR160" s="140">
        <v>-7319</v>
      </c>
      <c r="AS160" s="151">
        <f t="shared" si="146"/>
        <v>-10975</v>
      </c>
      <c r="AT160" s="140">
        <v>-19900</v>
      </c>
      <c r="AU160" s="151">
        <f t="shared" si="147"/>
        <v>-43668</v>
      </c>
      <c r="AV160" s="140">
        <f>-69741+11258</f>
        <v>-58483</v>
      </c>
      <c r="AW160" s="151">
        <f t="shared" si="148"/>
        <v>-69810</v>
      </c>
      <c r="AX160" s="140">
        <v>-36510</v>
      </c>
      <c r="AY160" s="151">
        <f t="shared" si="149"/>
        <v>42083</v>
      </c>
      <c r="AZ160" s="140">
        <f>-21683</f>
        <v>-21683</v>
      </c>
      <c r="BA160" s="151">
        <f t="shared" si="150"/>
        <v>76104</v>
      </c>
      <c r="BB160" s="140">
        <v>9638</v>
      </c>
      <c r="BC160" s="151">
        <f t="shared" si="151"/>
        <v>10194</v>
      </c>
      <c r="BD160" s="140">
        <f>77828-BC160-BB160</f>
        <v>57996</v>
      </c>
      <c r="BE160" s="151">
        <f t="shared" si="140"/>
        <v>25165</v>
      </c>
      <c r="BF160" s="140">
        <v>34556</v>
      </c>
      <c r="BG160" s="512"/>
      <c r="BH160" s="140">
        <v>41794</v>
      </c>
      <c r="BI160" s="513"/>
      <c r="BJ160" s="140">
        <v>34896</v>
      </c>
      <c r="BK160" s="124"/>
      <c r="BL160" s="302"/>
      <c r="BM160" s="302"/>
      <c r="BN160" s="302"/>
      <c r="BO160" s="140">
        <v>13640</v>
      </c>
      <c r="BP160" s="140">
        <v>-3303</v>
      </c>
      <c r="BQ160" s="140">
        <v>18738</v>
      </c>
      <c r="BR160" s="140">
        <v>-63568</v>
      </c>
      <c r="BS160" s="140">
        <v>5573</v>
      </c>
      <c r="BT160" s="140">
        <v>19832</v>
      </c>
      <c r="BU160" s="512"/>
    </row>
    <row r="161" spans="2:73">
      <c r="B161" s="5" t="s">
        <v>616</v>
      </c>
      <c r="C161" s="1"/>
      <c r="D161" s="302"/>
      <c r="E161" s="302"/>
      <c r="F161" s="302"/>
      <c r="G161" s="302"/>
      <c r="H161" s="302"/>
      <c r="I161" s="302"/>
      <c r="J161" s="302"/>
      <c r="K161" s="141">
        <f t="shared" ref="K161:P161" si="152">SUM(K150:K160)</f>
        <v>1141336</v>
      </c>
      <c r="L161" s="141">
        <f t="shared" si="152"/>
        <v>828455</v>
      </c>
      <c r="M161" s="141">
        <f t="shared" si="152"/>
        <v>1584236</v>
      </c>
      <c r="N161" s="141">
        <f t="shared" si="152"/>
        <v>940417</v>
      </c>
      <c r="O161" s="141">
        <f t="shared" si="152"/>
        <v>740784</v>
      </c>
      <c r="P161" s="141">
        <f t="shared" si="152"/>
        <v>1451560</v>
      </c>
      <c r="Q161" s="141">
        <f>SUM(Q150:Q160)</f>
        <v>1944953</v>
      </c>
      <c r="R161" s="1"/>
      <c r="S161" s="302"/>
      <c r="T161" s="302"/>
      <c r="U161" s="302"/>
      <c r="V161" s="302"/>
      <c r="W161" s="302"/>
      <c r="X161" s="302"/>
      <c r="Y161" s="302"/>
      <c r="Z161" s="302"/>
      <c r="AA161" s="302"/>
      <c r="AB161" s="302"/>
      <c r="AC161" s="302"/>
      <c r="AD161" s="302"/>
      <c r="AE161" s="302"/>
      <c r="AF161" s="302"/>
      <c r="AG161" s="141">
        <f t="shared" ref="AG161:AR161" si="153">SUM(AG150:AG160)</f>
        <v>279239</v>
      </c>
      <c r="AH161" s="141">
        <f t="shared" si="153"/>
        <v>315897</v>
      </c>
      <c r="AI161" s="141">
        <f t="shared" si="153"/>
        <v>258288</v>
      </c>
      <c r="AJ161" s="141">
        <f t="shared" si="153"/>
        <v>287912</v>
      </c>
      <c r="AK161" s="141">
        <f t="shared" si="153"/>
        <v>211498</v>
      </c>
      <c r="AL161" s="141">
        <f t="shared" si="153"/>
        <v>-25593</v>
      </c>
      <c r="AM161" s="141">
        <f t="shared" si="153"/>
        <v>179283</v>
      </c>
      <c r="AN161" s="141">
        <f>SUM(AN150:AN160)</f>
        <v>179283</v>
      </c>
      <c r="AO161" s="141">
        <f t="shared" si="153"/>
        <v>463267</v>
      </c>
      <c r="AP161" s="141">
        <f t="shared" si="153"/>
        <v>352243</v>
      </c>
      <c r="AQ161" s="141">
        <f t="shared" si="153"/>
        <v>358993</v>
      </c>
      <c r="AR161" s="141">
        <f t="shared" si="153"/>
        <v>389945</v>
      </c>
      <c r="AS161" s="141">
        <f t="shared" ref="AS161:AX161" si="154">SUM(AS150:AS160)</f>
        <v>483055</v>
      </c>
      <c r="AT161" s="141">
        <f t="shared" si="154"/>
        <v>292153</v>
      </c>
      <c r="AU161" s="141">
        <f t="shared" si="154"/>
        <v>244585</v>
      </c>
      <c r="AV161" s="141">
        <f t="shared" si="154"/>
        <v>190072</v>
      </c>
      <c r="AW161" s="141">
        <f t="shared" si="154"/>
        <v>213607</v>
      </c>
      <c r="AX161" s="141">
        <f t="shared" si="154"/>
        <v>126978</v>
      </c>
      <c r="AY161" s="141">
        <f t="shared" ref="AY161:BE161" si="155">SUM(AY150:AY160)</f>
        <v>13737</v>
      </c>
      <c r="AZ161" s="141">
        <f t="shared" si="155"/>
        <v>181030</v>
      </c>
      <c r="BA161" s="141">
        <f t="shared" si="155"/>
        <v>419039</v>
      </c>
      <c r="BB161" s="141">
        <f t="shared" si="155"/>
        <v>296951</v>
      </c>
      <c r="BC161" s="141">
        <f t="shared" si="155"/>
        <v>27905</v>
      </c>
      <c r="BD161" s="141">
        <f t="shared" si="155"/>
        <v>430880</v>
      </c>
      <c r="BE161" s="141">
        <f t="shared" si="155"/>
        <v>695824</v>
      </c>
      <c r="BF161" s="141">
        <f>SUM(BF150:BF160)</f>
        <v>471112</v>
      </c>
      <c r="BG161" s="512"/>
      <c r="BH161" s="141">
        <f>SUM(BH150:BH160)</f>
        <v>413884</v>
      </c>
      <c r="BI161" s="514"/>
      <c r="BJ161" s="141">
        <f>SUM(BJ150:BJ160)</f>
        <v>541256</v>
      </c>
      <c r="BK161" s="141"/>
      <c r="BL161" s="302"/>
      <c r="BM161" s="302"/>
      <c r="BN161" s="302"/>
      <c r="BO161" s="141">
        <f t="shared" ref="BO161:BT161" si="156">SUM(BO150:BO160)</f>
        <v>595136</v>
      </c>
      <c r="BP161" s="141">
        <f t="shared" si="156"/>
        <v>185905</v>
      </c>
      <c r="BQ161" s="141">
        <f t="shared" si="156"/>
        <v>711236</v>
      </c>
      <c r="BR161" s="141">
        <f t="shared" si="156"/>
        <v>536738</v>
      </c>
      <c r="BS161" s="141">
        <f t="shared" si="156"/>
        <v>140715</v>
      </c>
      <c r="BT161" s="141">
        <f t="shared" si="156"/>
        <v>324856</v>
      </c>
      <c r="BU161" s="141">
        <f>SUM(BU150:BU160)</f>
        <v>0</v>
      </c>
    </row>
    <row r="162" spans="2:73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</row>
  </sheetData>
  <mergeCells count="3">
    <mergeCell ref="BH150:BH152"/>
    <mergeCell ref="Q150:Q153"/>
    <mergeCell ref="BJ150:BJ153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00EECCAA3DB94895FACE15614ECBE0" ma:contentTypeVersion="3" ma:contentTypeDescription="Create a new document." ma:contentTypeScope="" ma:versionID="df48d4251bee182ecc7fb5dcb95088a2">
  <xsd:schema xmlns:xsd="http://www.w3.org/2001/XMLSchema" xmlns:xs="http://www.w3.org/2001/XMLSchema" xmlns:p="http://schemas.microsoft.com/office/2006/metadata/properties" xmlns:ns2="aa33d72f-12a9-4590-815a-2b1f92f4a722" targetNamespace="http://schemas.microsoft.com/office/2006/metadata/properties" ma:root="true" ma:fieldsID="e53bcbeb5cc26077ba81130311515115" ns2:_="">
    <xsd:import namespace="aa33d72f-12a9-4590-815a-2b1f92f4a7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3d72f-12a9-4590-815a-2b1f92f4a7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335D1B-DFB0-4087-AF52-AF89343ED54D}"/>
</file>

<file path=customXml/itemProps2.xml><?xml version="1.0" encoding="utf-8"?>
<ds:datastoreItem xmlns:ds="http://schemas.openxmlformats.org/officeDocument/2006/customXml" ds:itemID="{0B92DD6A-B045-46B6-ABC0-7393D925D7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MassMutual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MAB</dc:creator>
  <cp:keywords/>
  <dc:description/>
  <cp:lastModifiedBy>X</cp:lastModifiedBy>
  <cp:revision/>
  <dcterms:created xsi:type="dcterms:W3CDTF">2008-03-12T15:44:19Z</dcterms:created>
  <dcterms:modified xsi:type="dcterms:W3CDTF">2026-10-14T13:30:24Z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{AFBA8ED4-D06C-4C00-855A-CC8182CBE20D}</vt:lpwstr>
  </property>
  <property fmtid="{D5CDD505-2E9C-101B-9397-08002B2CF9AE}" pid="3" name="WorkbookGuid">
    <vt:lpwstr>483b3dda-416f-4480-8f79-29048c316135</vt:lpwstr>
  </property>
</Properties>
</file>