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610"/>
  <workbookPr codeName="ThisWorkbook"/>
  <mc:AlternateContent xmlns:mc="http://schemas.openxmlformats.org/markup-compatibility/2006">
    <mc:Choice Requires="x15">
      <x15ac:absPath xmlns:x15ac="http://schemas.microsoft.com/office/spreadsheetml/2010/11/ac" url="https://crisil-my.sharepoint.com/personal/lokeshk_ad_crisil_com/Documents/1_Team_Fixed Income (Credit)/Bara Model Work/Bara - Model Update/WIP/May 2026 - Embotelladora Andina SA/1Q26/"/>
    </mc:Choice>
  </mc:AlternateContent>
  <xr:revisionPtr revIDLastSave="0" documentId="8_{EC2F8357-34FF-4DF6-865D-BCC1DCEA0E8F}" xr6:coauthVersionLast="47" xr6:coauthVersionMax="47" xr10:uidLastSave="{00000000-0000-0000-0000-000000000000}"/>
  <bookViews>
    <workbookView xWindow="-120" yWindow="-120" windowWidth="29040" windowHeight="15720" xr2:uid="{00000000-000D-0000-FFFF-FFFF00000000}"/>
  </bookViews>
  <sheets>
    <sheet name="Capitalisation" sheetId="17" r:id="rId1"/>
    <sheet name="Model" sheetId="15" r:id="rId2"/>
    <sheet name="KPI's" sheetId="18" r:id="rId3"/>
  </sheets>
  <functionGroups builtInGroupCount="19"/>
  <externalReferences>
    <externalReference r:id="rId4"/>
    <externalReference r:id="rId5"/>
    <externalReference r:id="rId6"/>
    <externalReference r:id="rId7"/>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s>
  <definedNames>
    <definedName name="\A">#REF!</definedName>
    <definedName name="\B">#REF!</definedName>
    <definedName name="\C">#REF!</definedName>
    <definedName name="\L">#REF!</definedName>
    <definedName name="\M">#REF!</definedName>
    <definedName name="\P">#REF!</definedName>
    <definedName name="\Y">#REF!</definedName>
    <definedName name="__FDS_HYPERLINK_TOGGLE_STATE__" hidden="1">"ON"</definedName>
    <definedName name="_01_30_04" localSheetId="0">MonthlyOpStats</definedName>
    <definedName name="_01_30_04" localSheetId="1">MonthlyOpStats</definedName>
    <definedName name="_01_30_04">MonthlyOpStats</definedName>
    <definedName name="_1_30_01" localSheetId="0">MonthlyOpStats</definedName>
    <definedName name="_1_30_01" localSheetId="1">MonthlyOpStats</definedName>
    <definedName name="_1_30_01">MonthlyOpStats</definedName>
    <definedName name="_1_30_02" localSheetId="0">MonthlyOpStats</definedName>
    <definedName name="_1_30_02" localSheetId="1">MonthlyOpStats</definedName>
    <definedName name="_1_30_02">MonthlyOpStats</definedName>
    <definedName name="_1_31_01" localSheetId="0">MonthlyOpStats</definedName>
    <definedName name="_1_31_01" localSheetId="1">MonthlyOpStats</definedName>
    <definedName name="_1_31_01">MonthlyOpStats</definedName>
    <definedName name="_1_31_02" localSheetId="0">MonthlyOpStats</definedName>
    <definedName name="_1_31_02" localSheetId="1">MonthlyOpStats</definedName>
    <definedName name="_1_31_02">MonthlyOpStats</definedName>
    <definedName name="_12_31_05" localSheetId="0">MonthlyOpStats</definedName>
    <definedName name="_12_31_05" localSheetId="1">MonthlyOpStats</definedName>
    <definedName name="_12_31_05">MonthlyOpStats</definedName>
    <definedName name="_A">#REF!</definedName>
    <definedName name="_A___0">#REF!</definedName>
    <definedName name="_B">#REF!</definedName>
    <definedName name="_B___0">#REF!</definedName>
    <definedName name="_C">#REF!</definedName>
    <definedName name="_C___0">#REF!</definedName>
    <definedName name="_Common_Size_Income_Statement" localSheetId="1" function="1" xlm="1">[1]Model!#REF!</definedName>
    <definedName name="_Common_Size_Income_Statement" function="1" xlm="1">[1]Model!#REF!</definedName>
    <definedName name="_ent1">[2]Inputs!$J$17</definedName>
    <definedName name="_ent10">[2]Inputs!$J$476</definedName>
    <definedName name="_ent11">[2]Inputs!$J$527</definedName>
    <definedName name="_ent12">[2]Inputs!$J$578</definedName>
    <definedName name="_ent13">[2]Inputs!$J$629</definedName>
    <definedName name="_ent14">[2]Inputs!$J$680</definedName>
    <definedName name="_ent15">[2]Inputs!$J$731</definedName>
    <definedName name="_ent2">[2]Inputs!$J$68</definedName>
    <definedName name="_ent3">[2]Inputs!$J$119</definedName>
    <definedName name="_ent4">[2]Inputs!$J$170</definedName>
    <definedName name="_ent5">[2]Inputs!$J$221</definedName>
    <definedName name="_ent6">[2]Inputs!$J$272</definedName>
    <definedName name="_ent7">[2]Inputs!$J$323</definedName>
    <definedName name="_ent8">[2]Inputs!$J$374</definedName>
    <definedName name="_ent9">[2]Inputs!$J$425</definedName>
    <definedName name="_eps1">[2]Inputs!$P$42</definedName>
    <definedName name="_eps10">[2]Inputs!$P$501</definedName>
    <definedName name="_eps11">[2]Inputs!$P$552</definedName>
    <definedName name="_eps12">[2]Inputs!$P$603</definedName>
    <definedName name="_eps13">[2]Inputs!$P$654</definedName>
    <definedName name="_eps14">[2]Inputs!$P$705</definedName>
    <definedName name="_eps15">[2]Inputs!$P$756</definedName>
    <definedName name="_eps2">[2]Inputs!$P$93</definedName>
    <definedName name="_eps3">[2]Inputs!$P$144</definedName>
    <definedName name="_eps4">[2]Inputs!$P$195</definedName>
    <definedName name="_eps5">[2]Inputs!$P$246</definedName>
    <definedName name="_eps6">[2]Inputs!$P$297</definedName>
    <definedName name="_eps7">[2]Inputs!$P$348</definedName>
    <definedName name="_eps8">[2]Inputs!$P$399</definedName>
    <definedName name="_eps9">[2]Inputs!$P$450</definedName>
    <definedName name="_Fill" localSheetId="1" hidden="1">[3]FxdChg!#REF!</definedName>
    <definedName name="_Fill" hidden="1">[3]FxdChg!#REF!</definedName>
    <definedName name="_xlnm._FilterDatabase" localSheetId="1" hidden="1">Model!#REF!</definedName>
    <definedName name="_fye1">[2]Inputs!$E$12</definedName>
    <definedName name="_fye10">[2]Inputs!$E$471</definedName>
    <definedName name="_fye11">[2]Inputs!$E$522</definedName>
    <definedName name="_fye12">[2]Inputs!$E$573</definedName>
    <definedName name="_fye13">[2]Inputs!$E$624</definedName>
    <definedName name="_fye14">[2]Inputs!$E$675</definedName>
    <definedName name="_fye15">[2]Inputs!$E$726</definedName>
    <definedName name="_fye2">[2]Inputs!$E$63</definedName>
    <definedName name="_fye3">[2]Inputs!$E$114</definedName>
    <definedName name="_fye4">[2]Inputs!$E$165</definedName>
    <definedName name="_fye5">[2]Inputs!$E$216</definedName>
    <definedName name="_fye6">[2]Inputs!$E$267</definedName>
    <definedName name="_fye7">[2]Inputs!$E$318</definedName>
    <definedName name="_fye8">[2]Inputs!$E$369</definedName>
    <definedName name="_fye9">[2]Inputs!$E$420</definedName>
    <definedName name="_GEI_Returns" localSheetId="1">[1]Model!#REF!</definedName>
    <definedName name="_GEI_Returns">[1]Model!#REF!</definedName>
    <definedName name="_L">#REF!</definedName>
    <definedName name="_L___0">#REF!</definedName>
    <definedName name="_mv1">[2]Inputs!$J$16</definedName>
    <definedName name="_mv10">[2]Inputs!$J$475</definedName>
    <definedName name="_mv11">[2]Inputs!$J$526</definedName>
    <definedName name="_mv12">[2]Inputs!$J$577</definedName>
    <definedName name="_mv13">[2]Inputs!$J$628</definedName>
    <definedName name="_mv14">[2]Inputs!$J$679</definedName>
    <definedName name="_mv15">[2]Inputs!$J$730</definedName>
    <definedName name="_mv2">[2]Inputs!$J$67</definedName>
    <definedName name="_mv3">[2]Inputs!$J$118</definedName>
    <definedName name="_mv4">[2]Inputs!$J$169</definedName>
    <definedName name="_mv5">[2]Inputs!$J$220</definedName>
    <definedName name="_mv6">[2]Inputs!$J$271</definedName>
    <definedName name="_mv7">[2]Inputs!$J$322</definedName>
    <definedName name="_mv8">[2]Inputs!$J$373</definedName>
    <definedName name="_mv9">[2]Inputs!$J$424</definedName>
    <definedName name="_Order1" hidden="1">0</definedName>
    <definedName name="_Order2" hidden="1">0</definedName>
    <definedName name="_P">#REF!</definedName>
    <definedName name="_P___0">#REF!</definedName>
    <definedName name="_Returns" localSheetId="1" function="1" xlm="1">[1]Model!#REF!</definedName>
    <definedName name="_Returns" function="1" xlm="1">[1]Model!#REF!</definedName>
    <definedName name="_Table2_Out" hidden="1">#REF!</definedName>
    <definedName name="_xleta.N" hidden="1" xlm="1">#NAME?</definedName>
    <definedName name="_Y">#REF!</definedName>
    <definedName name="_Y___0">#REF!</definedName>
    <definedName name="Aa_Recovery">#REF!</definedName>
    <definedName name="AAA_DOCTOPS" hidden="1">"AAA_SET"</definedName>
    <definedName name="AAA_duser" hidden="1">"OFF"</definedName>
    <definedName name="AAB_Addin5" hidden="1">"AAB_Description for addin 5,Description for addin 5,Description for addin 5,Description for addin 5,Description for addin 5,Description for addin 5"</definedName>
    <definedName name="AAB_GSPPG" hidden="1">"AAB_Goldman Sachs PPG Chart Utilities 1.0g"</definedName>
    <definedName name="Accrued_Comp_Sales" localSheetId="1">'[4]Tanning Assumptions'!#REF!</definedName>
    <definedName name="Accrued_Comp_Sales">'[4]Tanning Assumptions'!#REF!</definedName>
    <definedName name="acq">#REF!</definedName>
    <definedName name="acquiror">#REF!</definedName>
    <definedName name="AdSalesCash">#REF!</definedName>
    <definedName name="AdSalesTrade">#REF!</definedName>
    <definedName name="AdSalesWebsite">#REF!</definedName>
    <definedName name="AICORR" localSheetId="1">#REF!</definedName>
    <definedName name="AICORR">#REF!</definedName>
    <definedName name="AllBH">#REF!</definedName>
    <definedName name="allProjects">#REF!</definedName>
    <definedName name="amort" localSheetId="1">[5]Inputs!#REF!</definedName>
    <definedName name="amort">[5]Inputs!#REF!</definedName>
    <definedName name="AP_Sales" localSheetId="1">'[4]Tanning Assumptions'!#REF!</definedName>
    <definedName name="AP_Sales">'[4]Tanning Assumptions'!#REF!</definedName>
    <definedName name="AR_Other_Sales" localSheetId="1">'[4]Tanning Assumptions'!#REF!</definedName>
    <definedName name="AR_Other_Sales">'[4]Tanning Assumptions'!#REF!</definedName>
    <definedName name="AR_Trade_Sales" localSheetId="1">'[4]Tanning Assumptions'!#REF!</definedName>
    <definedName name="AR_Trade_Sales">'[4]Tanning Assumptions'!#REF!</definedName>
    <definedName name="As_Of_Date">[6]Selections!$C$2</definedName>
    <definedName name="asdfa">#REF!</definedName>
    <definedName name="AsOfDate">'[7]AUM YTD 2000'!$W$1</definedName>
    <definedName name="AssetPur" localSheetId="1" function="1" xlm="1">[1]Model!#REF!</definedName>
    <definedName name="AssetPur" function="1" xlm="1">[1]Model!#REF!</definedName>
    <definedName name="ASSUMPTIONS">#REF!</definedName>
    <definedName name="B_S" localSheetId="1">#REF!</definedName>
    <definedName name="B_S">#REF!</definedName>
    <definedName name="Baa_Recovery">#REF!</definedName>
    <definedName name="bal">#REF!</definedName>
    <definedName name="banner2">[8]CONTROL!$D$10</definedName>
    <definedName name="banner2___0">[8]CONTROL!$D$10</definedName>
    <definedName name="Base_Case">#REF!</definedName>
    <definedName name="Billable">#REF!</definedName>
    <definedName name="BillableHeadcount">#REF!</definedName>
    <definedName name="body">#REF!</definedName>
    <definedName name="BREAK_EVEN">#REF!</definedName>
    <definedName name="BREAK_EVEN___0">#REF!</definedName>
    <definedName name="Broadwing__Inc__Cincinnati_Bell">#REF!</definedName>
    <definedName name="brob">#REF!</definedName>
    <definedName name="bs" localSheetId="1">[5]Inputs!#REF!</definedName>
    <definedName name="bs">[5]Inputs!#REF!</definedName>
    <definedName name="case">#REF!</definedName>
    <definedName name="case1">[9]CONTROL!$A$12</definedName>
    <definedName name="case2">[9]CONTROL!$A$13</definedName>
    <definedName name="case3">[9]CONTROL!$A$14</definedName>
    <definedName name="CASH_FLOW" localSheetId="1">#REF!</definedName>
    <definedName name="CASH_FLOW">#REF!</definedName>
    <definedName name="Cash_Sales" localSheetId="1">'[4]Tanning Assumptions'!#REF!</definedName>
    <definedName name="Cash_Sales">'[4]Tanning Assumptions'!#REF!</definedName>
    <definedName name="CASHBUDGET" localSheetId="1">#REF!</definedName>
    <definedName name="CASHBUDGET">#REF!</definedName>
    <definedName name="CASHBUDGET___0" localSheetId="1">#REF!</definedName>
    <definedName name="CASHBUDGET___0">#REF!</definedName>
    <definedName name="CASHFLOWS_MONTH">#REF!</definedName>
    <definedName name="CASHFLOWS_MONTH___0">#REF!</definedName>
    <definedName name="CASHFLOWS_YEARS">#REF!</definedName>
    <definedName name="CASHFLOWS_YEARS___0">#REF!</definedName>
    <definedName name="cashint" localSheetId="1">#REF!</definedName>
    <definedName name="cashint">#REF!</definedName>
    <definedName name="cashint___0" localSheetId="1">#REF!</definedName>
    <definedName name="cashint___0">#REF!</definedName>
    <definedName name="CBHC">#REF!</definedName>
    <definedName name="cfl">#REF!</definedName>
    <definedName name="ChartDataRange">#REF!</definedName>
    <definedName name="CINC" localSheetId="1">#REF!</definedName>
    <definedName name="CINC">#REF!</definedName>
    <definedName name="CIQWBGuid" hidden="1">"4c9f0684-e22e-4767-a0a9-d0704348b743"</definedName>
    <definedName name="circ" localSheetId="1">[5]Inputs!#REF!</definedName>
    <definedName name="circ">[5]Inputs!#REF!</definedName>
    <definedName name="CircRev">#REF!</definedName>
    <definedName name="Class_3_Agg_Cash" localSheetId="1">[10]Revolver!#REF!</definedName>
    <definedName name="Class_3_Agg_Cash">[10]Revolver!#REF!</definedName>
    <definedName name="Class_3_Amt_BET" localSheetId="1">[10]Revolver!#REF!</definedName>
    <definedName name="Class_3_Amt_BET">[10]Revolver!#REF!</definedName>
    <definedName name="Class_A_Interest">#REF!</definedName>
    <definedName name="Class_A_Principal">#REF!</definedName>
    <definedName name="Class_B_Interest">#REF!</definedName>
    <definedName name="Class_B_Principal">#REF!</definedName>
    <definedName name="Class_C_Payment">#REF!</definedName>
    <definedName name="ClassABC">'[6]Debt Structure'!$AN$7</definedName>
    <definedName name="ClassABCD">'[6]Debt Structure'!$AN$8</definedName>
    <definedName name="ClassABCDE">'[6]Debt Structure'!$AN$9</definedName>
    <definedName name="Clients" localSheetId="1">#REF!</definedName>
    <definedName name="Clients">#REF!</definedName>
    <definedName name="closing_date">#REF!</definedName>
    <definedName name="closingttmrevenue">#REF!</definedName>
    <definedName name="CMBSIG" localSheetId="1">#REF!</definedName>
    <definedName name="CMBSIG">#REF!</definedName>
    <definedName name="Column_Lookup">'[11]MASTER DRIVER'!$C$5:$D$29</definedName>
    <definedName name="COMBINED_J_W__3_111403_JUP_IND_PROFORMA_List">#REF!</definedName>
    <definedName name="company">[12]CONTROL!$D$7</definedName>
    <definedName name="company___0">[8]CONTROL!$D$7</definedName>
    <definedName name="cons">#REF!</definedName>
    <definedName name="consultants">#REF!</definedName>
    <definedName name="contrib2" localSheetId="0" hidden="1">{"page1",#N/A,FALSE,"Temp";"page2",#N/A,FALSE,"Temp";"page3",#N/A,FALSE,"Temp";"page4",#N/A,FALSE,"Temp";"page5",#N/A,FALSE,"Temp";"page6",#N/A,FALSE,"Temp"}</definedName>
    <definedName name="contrib2" hidden="1">{"page1",#N/A,FALSE,"Temp";"page2",#N/A,FALSE,"Temp";"page3",#N/A,FALSE,"Temp";"page4",#N/A,FALSE,"Temp";"page5",#N/A,FALSE,"Temp";"page6",#N/A,FALSE,"Temp"}</definedName>
    <definedName name="contrib3" localSheetId="0" hidden="1">{"page1",#N/A,FALSE,"Temp";"page2",#N/A,FALSE,"Temp";"page3",#N/A,FALSE,"Temp";"page4",#N/A,FALSE,"Temp";"page5",#N/A,FALSE,"Temp";"page6",#N/A,FALSE,"Temp"}</definedName>
    <definedName name="contrib3" hidden="1">{"page1",#N/A,FALSE,"Temp";"page2",#N/A,FALSE,"Temp";"page3",#N/A,FALSE,"Temp";"page4",#N/A,FALSE,"Temp";"page5",#N/A,FALSE,"Temp";"page6",#N/A,FALSE,"Temp"}</definedName>
    <definedName name="convertamt">#REF!</definedName>
    <definedName name="convertamt___0">#REF!</definedName>
    <definedName name="convertper">#REF!</definedName>
    <definedName name="convertper___0">#REF!</definedName>
    <definedName name="CorpName">'[13]MASTER DRIVERS'!$A$1</definedName>
    <definedName name="COSTREPORT">#REF!</definedName>
    <definedName name="COSTREPORT___0">#REF!</definedName>
    <definedName name="counter" localSheetId="1">'[14]Portfolio Input'!#REF!</definedName>
    <definedName name="counter">'[14]Portfolio Input'!#REF!</definedName>
    <definedName name="counter2" localSheetId="1">'[14]Portfolio Input'!#REF!</definedName>
    <definedName name="counter2">'[14]Portfolio Input'!#REF!</definedName>
    <definedName name="Coupon">[15]Inputs!$J$30</definedName>
    <definedName name="CSEnd">#REF!</definedName>
    <definedName name="CSHO" localSheetId="1">#REF!</definedName>
    <definedName name="CSHO">#REF!</definedName>
    <definedName name="CSHPRI" localSheetId="1">#REF!</definedName>
    <definedName name="CSHPRI">#REF!</definedName>
    <definedName name="current1">[2]Inputs!$E$21</definedName>
    <definedName name="current10">[2]Inputs!$E$480</definedName>
    <definedName name="current11">[2]Inputs!$E$531</definedName>
    <definedName name="current12">[2]Inputs!$E$582</definedName>
    <definedName name="current13">[2]Inputs!$E$633</definedName>
    <definedName name="current14">[2]Inputs!$E$684</definedName>
    <definedName name="current15">[2]Inputs!$E$735</definedName>
    <definedName name="current2">[2]Inputs!$E$72</definedName>
    <definedName name="current3">[2]Inputs!$E$123</definedName>
    <definedName name="current4">[2]Inputs!$E$174</definedName>
    <definedName name="current5">[2]Inputs!$E$225</definedName>
    <definedName name="current6">[2]Inputs!$E$276</definedName>
    <definedName name="current7">[2]Inputs!$E$327</definedName>
    <definedName name="current8">[2]Inputs!$E$378</definedName>
    <definedName name="current9">[2]Inputs!$E$429</definedName>
    <definedName name="CustomPubSales">#REF!</definedName>
    <definedName name="Date" localSheetId="1">[16]Comps!#REF!</definedName>
    <definedName name="Date">[16]Comps!#REF!</definedName>
    <definedName name="Date_OC1">OFFSET([6]OCTrends!$B$2,0,0,COUNTA([6]OCTrends!$B$1:$B$65536)-1)</definedName>
    <definedName name="Date_OC2">OFFSET([6]OCTrends!$G$2,0,0,COUNTA([6]OCTrends!$G$1:$G$65536)-1)</definedName>
    <definedName name="Date_OC3">OFFSET([6]OCTrends!$L$2,0,0,COUNTA([6]OCTrends!$L$1:$L$65536)-1)</definedName>
    <definedName name="debtsched" localSheetId="1">[5]Inputs!#REF!</definedName>
    <definedName name="debtsched">[5]Inputs!#REF!</definedName>
    <definedName name="decconsultants">#REF!</definedName>
    <definedName name="decemberemployees">#REF!</definedName>
    <definedName name="decemployees">#REF!</definedName>
    <definedName name="default">#REF!</definedName>
    <definedName name="Default_Scenario">#REF!</definedName>
    <definedName name="Default_Table" localSheetId="1">#REF!</definedName>
    <definedName name="Default_Table">#REF!</definedName>
    <definedName name="Default_Timing">#REF!</definedName>
    <definedName name="depsched" localSheetId="1">[5]Inputs!#REF!</definedName>
    <definedName name="depsched">[5]Inputs!#REF!</definedName>
    <definedName name="DivActual">OFFSET([6]DivTrends!$C$2,0,0,COUNTA([6]DivTrends!$C$1:$C$65536)-1)</definedName>
    <definedName name="DivCovenant">OFFSET([6]DivTrends!$D$2,0,0,COUNTA([6]DivTrends!$D$1:$D$65536)-1)</definedName>
    <definedName name="DivDate">OFFSET([6]DivTrends!$B$2,0,0,COUNTA([6]DivTrends!$B$1:$B$65536)-1)</definedName>
    <definedName name="Diversity">'[7]Actual vs Covenant'!$P$41:$Q$48</definedName>
    <definedName name="DiversityScore">#REF!</definedName>
    <definedName name="earnout">#REF!</definedName>
    <definedName name="earnout___0">#REF!</definedName>
    <definedName name="EBIT">Model!#REF!</definedName>
    <definedName name="EBITDA">#REF!</definedName>
    <definedName name="ebitda1">[2]Inputs!$P$46</definedName>
    <definedName name="ebitda10">[2]Inputs!$P$505</definedName>
    <definedName name="ebitda11">[2]Inputs!$P$556</definedName>
    <definedName name="ebitda12">[2]Inputs!$P$607</definedName>
    <definedName name="ebitda13">[2]Inputs!$P$658</definedName>
    <definedName name="ebitda14">[2]Inputs!$P$709</definedName>
    <definedName name="ebitda15">[2]Inputs!$P$760</definedName>
    <definedName name="ebitda2">[2]Inputs!$P$97</definedName>
    <definedName name="ebitda3">[2]Inputs!$P$148</definedName>
    <definedName name="ebitda4">[2]Inputs!$P$199</definedName>
    <definedName name="ebitda5">[2]Inputs!$P$250</definedName>
    <definedName name="ebitda6">[2]Inputs!$P$301</definedName>
    <definedName name="ebitda7">[2]Inputs!$P$352</definedName>
    <definedName name="ebitda8">[2]Inputs!$P$403</definedName>
    <definedName name="ebitda9">[2]Inputs!$P$454</definedName>
    <definedName name="effective_date">#REF!</definedName>
    <definedName name="ELC1_Top3">[7]TOP10!$D$3</definedName>
    <definedName name="ELC1_Top4">[7]TOP10!$D$8</definedName>
    <definedName name="ELC1FitchRatingChartData">[7]ELC1!$G$2:$H$11</definedName>
    <definedName name="ELC1FitchRatingChartSerial1">[7]ELC1!$H$2:$H$11</definedName>
    <definedName name="ELC1FitchRatingChartXScale">[7]ELC1!$G$2:$G$11</definedName>
    <definedName name="ELC1MoodyRatingChartData">[7]ELC1!$A$2:$B$14</definedName>
    <definedName name="ELC1MoodyRatingChartSerial1">[7]ELC1!$B$2:$B$14</definedName>
    <definedName name="ELC1MoodyRatingChartXScale">[7]ELC1!$A$2:$A$14</definedName>
    <definedName name="ELC1SPRatingChartData">[7]ELC1!$D$2:$E$14</definedName>
    <definedName name="ELC1SPRatingChartSerial1">[7]ELC1!$E$2:$E$14</definedName>
    <definedName name="ELC1SPRatingChartXScale">[7]ELC1!$D$2:$D$14</definedName>
    <definedName name="ELC2_Top3">[7]TOP10!$G$3</definedName>
    <definedName name="ELC2_Top4">[7]TOP10!$G$8</definedName>
    <definedName name="ELC2FitchRatingChartData">[7]ELC2!$G$2:$H$12</definedName>
    <definedName name="ELC2FitchRatingChartSerial1">[7]ELC2!$H$2:$H$12</definedName>
    <definedName name="ELC2FitchRatingChartXScale">[7]ELC2!$G$2:$G$12</definedName>
    <definedName name="ELC2MoodyRatingChartData">[7]ELC2!$A$2:$B$15</definedName>
    <definedName name="ELC2MoodyRatingChartSerial1">[7]ELC2!$B$2:$B$15</definedName>
    <definedName name="ELC2MoodyRatingChartXScale">[7]ELC2!$A$2:$A$15</definedName>
    <definedName name="ELC2SPRatingChartData">[7]ELC2!$D$2:$E$15</definedName>
    <definedName name="ELC2SPRatingChartSerial1">[7]ELC2!$E$2:$E$15</definedName>
    <definedName name="ELC2SPRatingChartXScale">[7]ELC2!$D$2:$D$15</definedName>
    <definedName name="ELC3_Top3">[7]TOP10!$J$3</definedName>
    <definedName name="ELC3_Top4">[7]TOP10!$J$8</definedName>
    <definedName name="ELC3FitchRatingChartData">[7]ELC3!$G$2:$H$14</definedName>
    <definedName name="ELC3FitchRatingChartSerial1">[7]ELC3!$H$2:$H$14</definedName>
    <definedName name="ELC3FitchRatingChartXScale">[7]ELC3!$G$2:$G$14</definedName>
    <definedName name="ELC3MoodyRatingChartData">[7]ELC3!$A$2:$B$15</definedName>
    <definedName name="ELC3MoodyRatingChartSerial1">[7]ELC3!$B$2:$B$15</definedName>
    <definedName name="ELC3MoodyRatingChartXScale">[7]ELC3!$A$2:$A$15</definedName>
    <definedName name="ELC3SPRatingChartData">[7]ELC3!$D$2:$E$16</definedName>
    <definedName name="ELC3SPRatingChartSerial1">[7]ELC3!$E$2:$E$16</definedName>
    <definedName name="ELC3SPRatingChartXScale">[7]ELC3!$D$2:$D$16</definedName>
    <definedName name="ELC4_Top3">[7]TOP10!$M$3</definedName>
    <definedName name="ELC4_Top4">[7]TOP10!$M$8</definedName>
    <definedName name="ELC4FitchRatingChartData">[7]ELC4!$G$2:$H$8</definedName>
    <definedName name="ELC4FitchRatingChartSerial1">[7]ELC4!$H$2:$H$8</definedName>
    <definedName name="ELC4FitchRatingChartXScale">[7]ELC4!$G$2:$G$8</definedName>
    <definedName name="ELC4MoodyRatingChartData">[7]ELC4!$A$2:$B$13</definedName>
    <definedName name="ELC4MoodyRatingChartSerial1">[7]ELC4!$B$2:$B$13</definedName>
    <definedName name="ELC4MoodyRatingChartXScale">[7]ELC4!$A$2:$A$13</definedName>
    <definedName name="ELC4SPRatingChartData">[7]ELC4!$D$2:$E$14</definedName>
    <definedName name="ELC4SPRatingChartSerial1">[7]ELC4!$E$2:$E$14</definedName>
    <definedName name="ELC4SPRatingChartXScale">[7]ELC4!$D$2:$D$14</definedName>
    <definedName name="ELC5_Top3">[7]TOP10!$P$3</definedName>
    <definedName name="ELC5_Top4">[7]TOP10!$P$8</definedName>
    <definedName name="ELC5FitchRatingChartData">[7]ELC5!$G$2:$H$9</definedName>
    <definedName name="ELC5FitchRatingChartSerial1">[7]ELC5!$H$2:$H$9</definedName>
    <definedName name="ELC5FitchRatingChartXScale">[7]ELC5!$G$2:$G$9</definedName>
    <definedName name="ELC5MoodyRatingChartData">[7]ELC5!$A$2:$B$14</definedName>
    <definedName name="ELC5MoodyRatingChartSerial1">[7]ELC5!$B$2:$B$14</definedName>
    <definedName name="ELC5MoodyRatingChartXScale">[7]ELC5!$A$2:$A$14</definedName>
    <definedName name="ELC5SPRatingChartData">[7]ELC5!$D$2:$E$14</definedName>
    <definedName name="ELC5SPRatingChartSerial1">[7]ELC5!$E$2:$E$14</definedName>
    <definedName name="ELC5SPRatingChartXScale">[7]ELC5!$D$2:$D$14</definedName>
    <definedName name="employees">#REF!</definedName>
    <definedName name="EndDay">[6]Selections!$R$3</definedName>
    <definedName name="EndMonth">[6]Selections!$R$2</definedName>
    <definedName name="EndYear">[6]Selections!$R$1</definedName>
    <definedName name="ePrint" localSheetId="1">[17]Consolidated!#REF!</definedName>
    <definedName name="ePrint">[17]Consolidated!#REF!</definedName>
    <definedName name="EQUITY">'[9]S&amp;U'!$E$12</definedName>
    <definedName name="equityamt">#REF!</definedName>
    <definedName name="equityamt___0">#REF!</definedName>
    <definedName name="equityper">#REF!</definedName>
    <definedName name="equityper___0">#REF!</definedName>
    <definedName name="ev.Calculation" hidden="1">-4105</definedName>
    <definedName name="ev.Initialized" hidden="1">FALSE</definedName>
    <definedName name="exe">#REF!</definedName>
    <definedName name="fianal">[18]Preliminary!$A$1:$D$65</definedName>
    <definedName name="filename">[6]Selections!$U$2</definedName>
    <definedName name="Final_Number">#REF!</definedName>
    <definedName name="FinanceRev">#REF!</definedName>
    <definedName name="FinanceRev2">#REF!</definedName>
    <definedName name="firstHourDate">#REF!</definedName>
    <definedName name="firstProject">#REF!</definedName>
    <definedName name="Flat_Swap">#REF!</definedName>
    <definedName name="FSoPacific" localSheetId="0" hidden="1">{"BS",#N/A,FALSE,"USA"}</definedName>
    <definedName name="FSoPacific" hidden="1">{"BS",#N/A,FALSE,"USA"}</definedName>
    <definedName name="Fund">[6]Selections!$A$1</definedName>
    <definedName name="Fwd_Curve">#REF!</definedName>
    <definedName name="FYEMarker">#REF!</definedName>
    <definedName name="FYEMonth">#REF!</definedName>
    <definedName name="G_A_SUMMARY">#REF!</definedName>
    <definedName name="group_quarterly">#REF!</definedName>
    <definedName name="Header1">[19]_01_05_v_Wicks_xls__01_05_v_Wic!$N$1</definedName>
    <definedName name="high1">[2]Inputs!$E$23</definedName>
    <definedName name="high10">[2]Inputs!$E$482</definedName>
    <definedName name="high11">[2]Inputs!$E$533</definedName>
    <definedName name="high12">[2]Inputs!$E$584</definedName>
    <definedName name="high13">[2]Inputs!$E$635</definedName>
    <definedName name="high14">[2]Inputs!$E$686</definedName>
    <definedName name="high15">[2]Inputs!$E$737</definedName>
    <definedName name="high2">[2]Inputs!$E$74</definedName>
    <definedName name="high3">[2]Inputs!$E$125</definedName>
    <definedName name="high4">[2]Inputs!$E$176</definedName>
    <definedName name="high5">[2]Inputs!$E$227</definedName>
    <definedName name="high6">[2]Inputs!$E$278</definedName>
    <definedName name="high7">[2]Inputs!$E$329</definedName>
    <definedName name="high8">[2]Inputs!$E$380</definedName>
    <definedName name="high9">[2]Inputs!$E$431</definedName>
    <definedName name="hl" localSheetId="1">'[20]LBO Summary'!#REF!</definedName>
    <definedName name="hl">'[20]LBO Summary'!#REF!</definedName>
    <definedName name="hn.ExtDb" hidden="1">FALSE</definedName>
    <definedName name="hn.ModelType" hidden="1">"DEAL"</definedName>
    <definedName name="hn.ModelVersion" hidden="1">1</definedName>
    <definedName name="hn.NoUpload" hidden="1">0</definedName>
    <definedName name="IC1Actual">OFFSET([6]ICTrends!$C$2,0,0,COUNTA([6]ICTrends!$C$1:$C$65536)-1)</definedName>
    <definedName name="IC1ChartTitle">[6]ICTrends!$W$1</definedName>
    <definedName name="IC1Covenant">OFFSET([6]ICTrends!$D$2,0,0,COUNTA([6]ICTrends!$D$1:$D$65536)-1)</definedName>
    <definedName name="IC1Date">OFFSET([6]ICTrends!$B$2,0,0,COUNTA([6]ICTrends!$B$1:$B$65536)-1)</definedName>
    <definedName name="IC2Actual">OFFSET([6]ICTrends!$H$2,0,0,COUNTA([6]ICTrends!$H$1:$H$65536)-1)</definedName>
    <definedName name="IC2Covenant">OFFSET([6]ICTrends!$I$2,0,0,COUNTA([6]ICTrends!$I$1:$I$65536)-1)</definedName>
    <definedName name="IC2Date">OFFSET([6]ICTrends!$G$2,0,0,COUNTA([6]ICTrends!$G$1:$G$65536)-1)</definedName>
    <definedName name="IC3Actual">OFFSET([6]ICTrends!$M$2,0,0,COUNTA([6]ICTrends!$M$1:$M$65536)-1)</definedName>
    <definedName name="IC3Covenant">OFFSET([6]ICTrends!$N$2,0,0,COUNTA([6]ICTrends!$N$1:$N$65536)-1)</definedName>
    <definedName name="IC3Date">OFFSET([6]ICTrends!$L$2,0,0,COUNTA([6]ICTrends!$L$1:$L$65536)-1)</definedName>
    <definedName name="IC4Actual">OFFSET([6]ICTrends!$R$2,0,0,COUNTA([6]ICTrends!$R$1:$R$65536)-1)</definedName>
    <definedName name="IC4Covenant">OFFSET([6]ICTrends!$S$2,0,0,COUNTA([6]ICTrends!$S$1:$S$65536)-1)</definedName>
    <definedName name="IC4Date">OFFSET([6]ICTrends!$Q$2,0,0,COUNTA([6]ICTrends!$Q$1:$Q$65536)-1)</definedName>
    <definedName name="inc">#REF!</definedName>
    <definedName name="incsyntog">#REF!</definedName>
    <definedName name="incsyntog___0">#REF!</definedName>
    <definedName name="inputs">#REF!</definedName>
    <definedName name="IQ_AE_BR" hidden="1">"c10"</definedName>
    <definedName name="IQ_AP_BR" hidden="1">"c34"</definedName>
    <definedName name="IQ_AR_BR" hidden="1">"c41"</definedName>
    <definedName name="IQ_ASSET_WRITEDOWN_BR" hidden="1">"c50"</definedName>
    <definedName name="IQ_ASSET_WRITEDOWN_CF_BR" hidden="1">"c53"</definedName>
    <definedName name="IQ_AVG_PRICE_TARGET" hidden="1">"c82"</definedName>
    <definedName name="IQ_BONDRATING_FITCH" hidden="1">"IQ_BONDRATING_FITCH"</definedName>
    <definedName name="IQ_BONDRATING_SP" hidden="1">"IQ_BONDRATING_SP"</definedName>
    <definedName name="IQ_BOOK_VALUE" hidden="1">"IQ_BOOK_VALUE"</definedName>
    <definedName name="IQ_CAPEX_BR" hidden="1">"c111"</definedName>
    <definedName name="IQ_CH">110000</definedName>
    <definedName name="IQ_CHANGE_AP_BR" hidden="1">"c135"</definedName>
    <definedName name="IQ_CHANGE_AR_BR" hidden="1">"c142"</definedName>
    <definedName name="IQ_CHANGE_OTHER_NET_OPER_ASSETS_BR" hidden="1">"c3595"</definedName>
    <definedName name="IQ_CHANGE_OTHER_WORK_CAP_BR" hidden="1">"c154"</definedName>
    <definedName name="IQ_COMMERCIAL_DOM" hidden="1">"c177"</definedName>
    <definedName name="IQ_COMMERCIAL_MORT" hidden="1">"c179"</definedName>
    <definedName name="IQ_COMMON_APIC_BR" hidden="1">"c185"</definedName>
    <definedName name="IQ_COMMON_ISSUED_BR" hidden="1">"c199"</definedName>
    <definedName name="IQ_COMMON_REP_BR" hidden="1">"c208"</definedName>
    <definedName name="IQ_CONV_RATE" hidden="1">"c2192"</definedName>
    <definedName name="IQ_CQ">5000</definedName>
    <definedName name="IQ_CURRENCY_GAIN_BR" hidden="1">"c236"</definedName>
    <definedName name="IQ_CURRENT_PORT_DEBT_BR" hidden="1">"c1567"</definedName>
    <definedName name="IQ_CY">10000</definedName>
    <definedName name="IQ_DA_BR" hidden="1">"c248"</definedName>
    <definedName name="IQ_DA_CF_BR" hidden="1">"c251"</definedName>
    <definedName name="IQ_DA_SUPPL_BR" hidden="1">"c260"</definedName>
    <definedName name="IQ_DA_SUPPL_CF_BR" hidden="1">"c263"</definedName>
    <definedName name="IQ_DAILY">500000</definedName>
    <definedName name="IQ_DEF_AMORT_BR" hidden="1">"c278"</definedName>
    <definedName name="IQ_DEF_CHARGES_BR" hidden="1">"c288"</definedName>
    <definedName name="IQ_DEF_CHARGES_LT_BR" hidden="1">"c294"</definedName>
    <definedName name="IQ_DEF_TAX_ASSET_LT_BR" hidden="1">"c304"</definedName>
    <definedName name="IQ_DEF_TAX_LIAB_LT_BR" hidden="1">"c315"</definedName>
    <definedName name="IQ_DNTM" hidden="1">700000</definedName>
    <definedName name="IQ_EBIT_10K" hidden="1">"IQ_EBIT_10K"</definedName>
    <definedName name="IQ_EBIT_10Q" hidden="1">"IQ_EBIT_10Q"</definedName>
    <definedName name="IQ_EBIT_10Q1" hidden="1">"IQ_EBIT_10Q1"</definedName>
    <definedName name="IQ_EBIT_GROWTH_1" hidden="1">"IQ_EBIT_GROWTH_1"</definedName>
    <definedName name="IQ_EBIT_GROWTH_2" hidden="1">"IQ_EBIT_GROWTH_2"</definedName>
    <definedName name="IQ_EBITDA_10K" hidden="1">"IQ_EBITDA_10K"</definedName>
    <definedName name="IQ_EBITDA_10Q" hidden="1">"IQ_EBITDA_10Q"</definedName>
    <definedName name="IQ_EBITDA_10Q1" hidden="1">"IQ_EBITDA_10Q1"</definedName>
    <definedName name="IQ_EBITDA_GROWTH_1" hidden="1">"IQ_EBITDA_GROWTH_1"</definedName>
    <definedName name="IQ_EBITDA_GROWTH_2" hidden="1">"IQ_EBITDA_GROWTH_2"</definedName>
    <definedName name="IQ_EBT_BR" hidden="1">"c378"</definedName>
    <definedName name="IQ_EBT_EXCL_BR" hidden="1">"c381"</definedName>
    <definedName name="IQ_EPS" hidden="1">"IQ_EPS"</definedName>
    <definedName name="IQ_EPS_10K" hidden="1">"IQ_EPS_10K"</definedName>
    <definedName name="IQ_EPS_10Q" hidden="1">"IQ_EPS_10Q"</definedName>
    <definedName name="IQ_EPS_10Q1" hidden="1">"IQ_EPS_10Q1"</definedName>
    <definedName name="IQ_EPS_EST_1" hidden="1">"IQ_EPS_EST_1"</definedName>
    <definedName name="IQ_EST_EPS_SURPRISE" hidden="1">"c1635"</definedName>
    <definedName name="IQ_EV_OVER_REVENUE_EST" hidden="1">"IQ_EV_OVER_REVENUE_EST"</definedName>
    <definedName name="IQ_EV_OVER_REVENUE_EST_1" hidden="1">"IQ_EV_OVER_REVENUE_EST_1"</definedName>
    <definedName name="IQ_EXTRA_ACC_ITEMS_BR" hidden="1">"c412"</definedName>
    <definedName name="IQ_FH">100000</definedName>
    <definedName name="IQ_FQ">500</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1" hidden="1">"LTM"</definedName>
    <definedName name="IQ_FY">1000</definedName>
    <definedName name="IQ_FY_DATE" hidden="1">"IQ_FY_DATE"</definedName>
    <definedName name="IQ_GAIN_ASSETS_BR" hidden="1">"c454"</definedName>
    <definedName name="IQ_GAIN_ASSETS_CF_BR" hidden="1">"c457"</definedName>
    <definedName name="IQ_GAIN_ASSETS_REV_BR" hidden="1">"c474"</definedName>
    <definedName name="IQ_GAIN_INVEST_BR" hidden="1">"c1464"</definedName>
    <definedName name="IQ_GAIN_INVEST_CF_BR" hidden="1">"c482"</definedName>
    <definedName name="IQ_GAIN_INVEST_REV_BR" hidden="1">"c496"</definedName>
    <definedName name="IQ_GW_AMORT_BR" hidden="1">"c532"</definedName>
    <definedName name="IQ_GW_INTAN_AMORT_BR" hidden="1">"c1470"</definedName>
    <definedName name="IQ_GW_INTAN_AMORT_CF_BR" hidden="1">"c1473"</definedName>
    <definedName name="IQ_INC_EQUITY_BR" hidden="1">"c550"</definedName>
    <definedName name="IQ_INS_SETTLE_BR" hidden="1">"c572"</definedName>
    <definedName name="IQ_INT_EXP_BR" hidden="1">"c586"</definedName>
    <definedName name="IQ_INT_INC_BR" hidden="1">"c593"</definedName>
    <definedName name="IQ_INTEREST_INC_10K" hidden="1">"IQ_INTEREST_INC_10K"</definedName>
    <definedName name="IQ_INTEREST_INC_10Q" hidden="1">"IQ_INTEREST_INC_10Q"</definedName>
    <definedName name="IQ_INTEREST_INC_10Q1" hidden="1">"IQ_INTEREST_INC_10Q1"</definedName>
    <definedName name="IQ_INVEST_LOANS_CF_BR" hidden="1">"c630"</definedName>
    <definedName name="IQ_INVEST_SECURITY_CF_BR" hidden="1">"c639"</definedName>
    <definedName name="IQ_LAST_EBIT_MARGIN" hidden="1">"IQ_LAST_EBIT_MARGIN"</definedName>
    <definedName name="IQ_LAST_EBITDA_MARGIN" hidden="1">"IQ_LAST_EBITDA_MARGIN"</definedName>
    <definedName name="IQ_LAST_GROSS_MARGIN" hidden="1">"IQ_LAST_GROSS_MARGIN"</definedName>
    <definedName name="IQ_LAST_NET_INC_MARGIN" hidden="1">"IQ_LAST_NET_INC_MARGIN"</definedName>
    <definedName name="IQ_LATEST" hidden="1">"1"</definedName>
    <definedName name="IQ_LATESTK" hidden="1">1000</definedName>
    <definedName name="IQ_LATESTKFR" hidden="1">"50"</definedName>
    <definedName name="IQ_LATESTQ" hidden="1">500</definedName>
    <definedName name="IQ_LATESTQFR" hidden="1">"100"</definedName>
    <definedName name="IQ_LEGAL_SETTLE_BR" hidden="1">"c649"</definedName>
    <definedName name="IQ_LOANS_CF_BR" hidden="1">"c661"</definedName>
    <definedName name="IQ_LT_DEBT_BR" hidden="1">"c676"</definedName>
    <definedName name="IQ_LT_DEBT_ISSUED_BR" hidden="1">"c683"</definedName>
    <definedName name="IQ_LT_DEBT_REPAID_BR" hidden="1">"c691"</definedName>
    <definedName name="IQ_LT_INVEST_BR" hidden="1">"c698"</definedName>
    <definedName name="IQ_LTM">2000</definedName>
    <definedName name="IQ_LTM_DATE" hidden="1">"IQ_LTM_DATE"</definedName>
    <definedName name="IQ_LTMMONTH" hidden="1">120000</definedName>
    <definedName name="IQ_MERGER_BR" hidden="1">"c715"</definedName>
    <definedName name="IQ_MERGER_RESTRUCTURE_BR" hidden="1">"c721"</definedName>
    <definedName name="IQ_MINORITY_INTEREST_BR" hidden="1">"c729"</definedName>
    <definedName name="IQ_MONTH">15000</definedName>
    <definedName name="IQ_MTD" hidden="1">800000</definedName>
    <definedName name="IQ_NAMES_REVISION_DATE_" hidden="1">44297.3725</definedName>
    <definedName name="IQ_NET_DEBT_ISSUED_BR" hidden="1">"c753"</definedName>
    <definedName name="IQ_NET_INC_10K" hidden="1">"IQ_NET_INC_10K"</definedName>
    <definedName name="IQ_NET_INC_10Q" hidden="1">"IQ_NET_INC_10Q"</definedName>
    <definedName name="IQ_NET_INC_10Q1" hidden="1">"IQ_NET_INC_10Q1"</definedName>
    <definedName name="IQ_NET_INC_GROWTH_1" hidden="1">"IQ_NET_INC_GROWTH_1"</definedName>
    <definedName name="IQ_NET_INC_GROWTH_2" hidden="1">"IQ_NET_INC_GROWTH_2"</definedName>
    <definedName name="IQ_NET_INT_INC_BR" hidden="1">"c765"</definedName>
    <definedName name="IQ_NTM">6000</definedName>
    <definedName name="IQ_OG_TOTAL_OIL_PRODUCTON" hidden="1">"c2059"</definedName>
    <definedName name="IQ_OPER_INC_BR" hidden="1">"c850"</definedName>
    <definedName name="IQ_OTHER_ASSETS_BR" hidden="1">"c862"</definedName>
    <definedName name="IQ_OTHER_CA_SUPPL_BR" hidden="1">"c871"</definedName>
    <definedName name="IQ_OTHER_CL_SUPPL_BR" hidden="1">"c880"</definedName>
    <definedName name="IQ_OTHER_EQUITY_BR" hidden="1">"c888"</definedName>
    <definedName name="IQ_OTHER_FINANCE_ACT_BR" hidden="1">"c895"</definedName>
    <definedName name="IQ_OTHER_FINANCE_ACT_SUPPL_BR" hidden="1">"c901"</definedName>
    <definedName name="IQ_OTHER_INTAN_BR" hidden="1">"c909"</definedName>
    <definedName name="IQ_OTHER_INVEST_ACT_BR" hidden="1">"c918"</definedName>
    <definedName name="IQ_OTHER_INVEST_ACT_SUPPL_BR" hidden="1">"c924"</definedName>
    <definedName name="IQ_OTHER_LIAB_BR" hidden="1">"c932"</definedName>
    <definedName name="IQ_OTHER_LIAB_LT_BR" hidden="1">"c937"</definedName>
    <definedName name="IQ_OTHER_LT_ASSETS_BR" hidden="1">"c948"</definedName>
    <definedName name="IQ_OTHER_NON_OPER_EXP_BR" hidden="1">"c957"</definedName>
    <definedName name="IQ_OTHER_NON_OPER_EXP_SUPPL_BR" hidden="1">"c962"</definedName>
    <definedName name="IQ_OTHER_OPER_ACT_BR" hidden="1">"c985"</definedName>
    <definedName name="IQ_OTHER_OPER_BR" hidden="1">"c990"</definedName>
    <definedName name="IQ_OTHER_OPER_SUPPL_BR" hidden="1">"c994"</definedName>
    <definedName name="IQ_OTHER_OPER_TOT_BR" hidden="1">"c1000"</definedName>
    <definedName name="IQ_OTHER_REV_BR" hidden="1">"c1011"</definedName>
    <definedName name="IQ_OTHER_REV_SUPPL_BR" hidden="1">"c1016"</definedName>
    <definedName name="IQ_OTHER_UNUSUAL_BR" hidden="1">"c1561"</definedName>
    <definedName name="IQ_OTHER_UNUSUAL_SUPPL_BR" hidden="1">"c1496"</definedName>
    <definedName name="IQ_PC_WRITTEN" hidden="1">"c1027"</definedName>
    <definedName name="IQ_PERCENT_CHANGE_EST_FFO_12MONTHS" hidden="1">"c1828"</definedName>
    <definedName name="IQ_PERCENT_CHANGE_EST_FFO_18MONTHS" hidden="1">"c1829"</definedName>
    <definedName name="IQ_PERCENT_CHANGE_EST_FFO_3MONTHS" hidden="1">"c1825"</definedName>
    <definedName name="IQ_PERCENT_CHANGE_EST_FFO_6MONTHS" hidden="1">"c1826"</definedName>
    <definedName name="IQ_PERCENT_CHANGE_EST_FFO_9MONTHS" hidden="1">"c1827"</definedName>
    <definedName name="IQ_PERCENT_CHANGE_EST_FFO_DAY" hidden="1">"c1822"</definedName>
    <definedName name="IQ_PERCENT_CHANGE_EST_FFO_MONTH" hidden="1">"c1824"</definedName>
    <definedName name="IQ_PERCENT_CHANGE_EST_FFO_WEEK" hidden="1">"c1823"</definedName>
    <definedName name="IQ_PREF_ISSUED_BR" hidden="1">"c1047"</definedName>
    <definedName name="IQ_PREF_OTHER_BR" hidden="1">"c1055"</definedName>
    <definedName name="IQ_PREF_REP_BR" hidden="1">"c1062"</definedName>
    <definedName name="IQ_PRETAX_INC" hidden="1">"IQ_PRETAX_INC"</definedName>
    <definedName name="IQ_PRETAX_INC_10K" hidden="1">"IQ_PRETAX_INC_10K"</definedName>
    <definedName name="IQ_PRETAX_INC_10Q" hidden="1">"IQ_PRETAX_INC_10Q"</definedName>
    <definedName name="IQ_PRETAX_INC_10Q1" hidden="1">"IQ_PRETAX_INC_10Q1"</definedName>
    <definedName name="IQ_PRICE_OVER_EPS_EST" hidden="1">"IQ_PRICE_OVER_EPS_EST"</definedName>
    <definedName name="IQ_PRICE_OVER_EPS_EST_1" hidden="1">"IQ_PRICE_OVER_EPS_EST_1"</definedName>
    <definedName name="IQ_PRICEDATETIME" hidden="1">"IQ_PRICEDATETIME"</definedName>
    <definedName name="IQ_QTD" hidden="1">750000</definedName>
    <definedName name="IQ_RESIDENTIAL_LOANS" hidden="1">"c1102"</definedName>
    <definedName name="IQ_RESTRUCTURE_BR" hidden="1">"c1106"</definedName>
    <definedName name="IQ_RETURN_ASSETS_BROK" hidden="1">"c1115"</definedName>
    <definedName name="IQ_RETURN_EQUITY_BROK" hidden="1">"c1120"</definedName>
    <definedName name="IQ_REVENUE_10K" hidden="1">"IQ_REVENUE_10K"</definedName>
    <definedName name="IQ_REVENUE_10Q" hidden="1">"IQ_REVENUE_10Q"</definedName>
    <definedName name="IQ_REVENUE_10Q1" hidden="1">"IQ_REVENUE_10Q1"</definedName>
    <definedName name="IQ_REVENUE_EST_1" hidden="1">"IQ_REVENUE_EST_1"</definedName>
    <definedName name="IQ_REVENUE_GROWTH_1" hidden="1">"IQ_REVENUE_GROWTH_1"</definedName>
    <definedName name="IQ_REVENUE_GROWTH_2" hidden="1">"IQ_REVENUE_GROWTH_2"</definedName>
    <definedName name="IQ_SALE_INTAN_CF_BR" hidden="1">"c1133"</definedName>
    <definedName name="IQ_SALE_PPE_CF_BR" hidden="1">"c1139"</definedName>
    <definedName name="IQ_SALE_REAL_ESTATE_CF_BR" hidden="1">"c1145"</definedName>
    <definedName name="IQ_SHAREOUTSTANDING" hidden="1">"c1347"</definedName>
    <definedName name="IQ_SPECIAL_DIV_CF_BR" hidden="1">"c1171"</definedName>
    <definedName name="IQ_ST_DEBT_BR" hidden="1">"c1178"</definedName>
    <definedName name="IQ_ST_DEBT_ISSUED_BR" hidden="1">"c1183"</definedName>
    <definedName name="IQ_ST_DEBT_REPAID_BR" hidden="1">"c1191"</definedName>
    <definedName name="IQ_TODAY" hidden="1">0</definedName>
    <definedName name="IQ_TOTAL_AR_BR" hidden="1">"c1231"</definedName>
    <definedName name="IQ_TOTAL_DEBT_ISSUED_BR" hidden="1">"c1253"</definedName>
    <definedName name="IQ_TOTAL_DEBT_REPAID_BR" hidden="1">"c1260"</definedName>
    <definedName name="IQ_TOTAL_LIAB_BR" hidden="1">"c1278"</definedName>
    <definedName name="IQ_TOTAL_OPER_EXP_BR" hidden="1">"c1284"</definedName>
    <definedName name="IQ_TOTAL_PENSION_OBLIGATION" hidden="1">"c1292"</definedName>
    <definedName name="IQ_TOTAL_REV_BR" hidden="1">"c1303"</definedName>
    <definedName name="IQ_TREASURY_OTHER_EQUITY_BR" hidden="1">"c1314"</definedName>
    <definedName name="IQ_UNEARN_REV_CURRENT_BR" hidden="1">"c1324"</definedName>
    <definedName name="IQ_WEEK">50000</definedName>
    <definedName name="IQ_YTD">3000</definedName>
    <definedName name="IQ_YTDMONTH" hidden="1">130000</definedName>
    <definedName name="IsColHidden" hidden="1">FALSE</definedName>
    <definedName name="IsLTMColHidden" hidden="1">FALSE</definedName>
    <definedName name="Item">#REF!</definedName>
    <definedName name="K2_WBEVMODE" hidden="1">-1</definedName>
    <definedName name="lastCol">#REF!</definedName>
    <definedName name="latest1">[2]Inputs!$E$13</definedName>
    <definedName name="latest10">[2]Inputs!$E$472</definedName>
    <definedName name="latest11">[2]Inputs!$E$523</definedName>
    <definedName name="latest12">[2]Inputs!$E$574</definedName>
    <definedName name="latest13">[2]Inputs!$E$625</definedName>
    <definedName name="latest14">[2]Inputs!$E$676</definedName>
    <definedName name="latest15">[2]Inputs!$E$727</definedName>
    <definedName name="latest2">[2]Inputs!$E$64</definedName>
    <definedName name="latest3">[2]Inputs!$E$115</definedName>
    <definedName name="latest4">[2]Inputs!$E$166</definedName>
    <definedName name="latest5">[2]Inputs!$E$217</definedName>
    <definedName name="latest6">[2]Inputs!$E$268</definedName>
    <definedName name="latest7">[2]Inputs!$E$319</definedName>
    <definedName name="latest8">[2]Inputs!$E$370</definedName>
    <definedName name="latest9">[2]Inputs!$E$421</definedName>
    <definedName name="LBO" localSheetId="1">'[9]S&amp;U'!#REF!</definedName>
    <definedName name="LBO">'[9]S&amp;U'!#REF!</definedName>
    <definedName name="left">#REF!</definedName>
    <definedName name="lett" localSheetId="1">#REF!</definedName>
    <definedName name="lett">#REF!</definedName>
    <definedName name="LIBOR">[21]Portfolio!$E$2</definedName>
    <definedName name="Libor_Assumptions">#REF!</definedName>
    <definedName name="Libor_Curve">#REF!</definedName>
    <definedName name="Libor_Down">#REF!</definedName>
    <definedName name="Libor_Down_Up">#REF!</definedName>
    <definedName name="LIBOR_Minus_1SD" localSheetId="1">[10]Revolver!#REF!</definedName>
    <definedName name="LIBOR_Minus_1SD">[10]Revolver!#REF!</definedName>
    <definedName name="Libor_Minus_2SD" localSheetId="1">[10]Revolver!#REF!</definedName>
    <definedName name="Libor_Minus_2SD">[10]Revolver!#REF!</definedName>
    <definedName name="Libor_Plus_0SD" localSheetId="1">[10]Revolver!#REF!</definedName>
    <definedName name="Libor_Plus_0SD">[10]Revolver!#REF!</definedName>
    <definedName name="Libor_Plus_1SD" localSheetId="1">[10]Revolver!#REF!</definedName>
    <definedName name="Libor_Plus_1SD">[10]Revolver!#REF!</definedName>
    <definedName name="Libor_Plus_2SD" localSheetId="1">[10]Revolver!#REF!</definedName>
    <definedName name="Libor_Plus_2SD">[10]Revolver!#REF!</definedName>
    <definedName name="Libor_Scenario">#REF!</definedName>
    <definedName name="Libor_Up">#REF!</definedName>
    <definedName name="longterm" localSheetId="1">[5]Inputs!#REF!</definedName>
    <definedName name="longterm">[5]Inputs!#REF!</definedName>
    <definedName name="LTM_DATE">#REF!</definedName>
    <definedName name="Marketable_securities" localSheetId="1">'[22]Fly-by-night - problem 5'!#REF!</definedName>
    <definedName name="Marketable_securities">'[22]Fly-by-night - problem 5'!#REF!</definedName>
    <definedName name="MaxMarkDate">[7]SaleData!$M$3</definedName>
    <definedName name="mcs03g.ReqArray" localSheetId="0">{"Price","ICTG","TS131","D","0","0","H"}</definedName>
    <definedName name="mcs03g.ReqArray">{"Price","ICTG","TS131","D","0","0","H"}</definedName>
    <definedName name="mcs03g.ReqArray___0">#N/A</definedName>
    <definedName name="mcs03g.ReqArray___12">#N/A</definedName>
    <definedName name="mcs03g.ReqArray___2">#N/A</definedName>
    <definedName name="MKVALM" localSheetId="1">#REF!</definedName>
    <definedName name="MKVALM">#REF!</definedName>
    <definedName name="MONTHLYSALES" localSheetId="1">#REF!</definedName>
    <definedName name="MONTHLYSALES">#REF!</definedName>
    <definedName name="MONTHLYSALES___0" localSheetId="1">#REF!</definedName>
    <definedName name="MONTHLYSALES___0">#REF!</definedName>
    <definedName name="moodys">#REF!</definedName>
    <definedName name="mu">'[23]LBO Summary'!$G$130</definedName>
    <definedName name="Name">[5]Info!$C$8</definedName>
    <definedName name="name1">[2]Inputs!$E$10</definedName>
    <definedName name="name10">[2]Inputs!$E$469</definedName>
    <definedName name="name11">[2]Inputs!$E$520</definedName>
    <definedName name="name12">[2]Inputs!$E$571</definedName>
    <definedName name="name13">[2]Inputs!$E$622</definedName>
    <definedName name="name14">[2]Inputs!$E$673</definedName>
    <definedName name="name15">[2]Inputs!$E$724</definedName>
    <definedName name="name2">[2]Inputs!$E$61</definedName>
    <definedName name="name3">[2]Inputs!$E$112</definedName>
    <definedName name="name4">[2]Inputs!$E$163</definedName>
    <definedName name="name5">[2]Inputs!$E$214</definedName>
    <definedName name="name6">[2]Inputs!$E$265</definedName>
    <definedName name="name7">[2]Inputs!$E$316</definedName>
    <definedName name="name8">[2]Inputs!$E$367</definedName>
    <definedName name="name9">[2]Inputs!$E$418</definedName>
    <definedName name="NDY" localSheetId="1">#REF!</definedName>
    <definedName name="NDY">#REF!</definedName>
    <definedName name="NDYWGT" localSheetId="1">#REF!</definedName>
    <definedName name="NDYWGT">#REF!</definedName>
    <definedName name="OC1Actual">OFFSET([6]OCTrends!$C$2,0,0,COUNTA([6]OCTrends!$C$1:$C$65536)-1)</definedName>
    <definedName name="OC1ChartTitle">[6]OCTrends!$W$1</definedName>
    <definedName name="OC1Covenant">OFFSET([6]OCTrends!$D$2,0,0,COUNTA([6]OCTrends!$D$1:$D$65536)-1)</definedName>
    <definedName name="OC1Date">OFFSET([6]OCTrends!$B$2,0,0,COUNTA([6]OCTrends!$B$1:$B$65536)-1)</definedName>
    <definedName name="OC2Actual">OFFSET([6]OCTrends!$H$2,0,0,COUNTA([6]OCTrends!$H$1:$H$65536)-1)</definedName>
    <definedName name="OC2Covenant">OFFSET([6]OCTrends!$I$2,0,0,COUNTA([6]OCTrends!$I$1:$I$65536)-1)</definedName>
    <definedName name="OC2Date">OFFSET([6]OCTrends!$G$2,0,0,COUNTA([6]OCTrends!$G$1:$G$65536)-1)</definedName>
    <definedName name="OC3Actual">OFFSET([6]OCTrends!$M$2,0,0,COUNTA([6]OCTrends!$M$1:$M$65536)-1)</definedName>
    <definedName name="OC3Covenant">OFFSET([6]OCTrends!$N$2,0,0,COUNTA([6]OCTrends!$N$1:$N$65536)-1)</definedName>
    <definedName name="OC3Date">OFFSET([6]OCTrends!$L$2,0,0,COUNTA([6]OCTrends!$L$1:$L$65536)-1)</definedName>
    <definedName name="OC4Actual">OFFSET([6]OCTrends!$R$2,0,0,COUNTA([6]OCTrends!$R$1:$R$65536)-1)</definedName>
    <definedName name="OC4Covenant">OFFSET([6]OCTrends!$S$2,0,0,COUNTA([6]OCTrends!$S$1:$S$65536)-1)</definedName>
    <definedName name="OC4Date">OFFSET([6]OCTrends!$Q$2,0,0,COUNTA([6]OCTrends!$Q$1:$Q$65536)-1)</definedName>
    <definedName name="Order">#REF!</definedName>
    <definedName name="Other_assets" localSheetId="1">'[22]Fly-by-night - problem 5'!#REF!</definedName>
    <definedName name="Other_assets">'[22]Fly-by-night - problem 5'!#REF!</definedName>
    <definedName name="Other_current_liabilities_Sales" localSheetId="1">'[4]Tanning Assumptions'!#REF!</definedName>
    <definedName name="Other_current_liabilities_Sales">'[4]Tanning Assumptions'!#REF!</definedName>
    <definedName name="Other_long_term_liabilities" localSheetId="1">'[4]Tanning Assumptions'!#REF!</definedName>
    <definedName name="Other_long_term_liabilities">'[4]Tanning Assumptions'!#REF!</definedName>
    <definedName name="OtherRev">#REF!</definedName>
    <definedName name="P_L" localSheetId="1">#REF!</definedName>
    <definedName name="P_L">#REF!</definedName>
    <definedName name="PCV">[6]Calcs!$B$1</definedName>
    <definedName name="Percentage">#REF!</definedName>
    <definedName name="Period">#REF!</definedName>
    <definedName name="Period1">#REF!</definedName>
    <definedName name="Period2">#REF!</definedName>
    <definedName name="Period3">#REF!</definedName>
    <definedName name="Period4">#REF!</definedName>
    <definedName name="Period5">#REF!</definedName>
    <definedName name="Period6">#REF!</definedName>
    <definedName name="Period7">#REF!</definedName>
    <definedName name="Period8">#REF!</definedName>
    <definedName name="PERSONAL_FINANCIAL" localSheetId="1">#REF!</definedName>
    <definedName name="PERSONAL_FINANCIAL">#REF!</definedName>
    <definedName name="PERSONAL_FINANCIAL___0" localSheetId="1">#REF!</definedName>
    <definedName name="PERSONAL_FINANCIAL___0">#REF!</definedName>
    <definedName name="PFLTM" localSheetId="1">'[24]VeCTOR Import'!#REF!</definedName>
    <definedName name="PFLTM">'[24]VeCTOR Import'!#REF!</definedName>
    <definedName name="pik" localSheetId="1">'[9]S&amp;U'!#REF!</definedName>
    <definedName name="pik">'[9]S&amp;U'!#REF!</definedName>
    <definedName name="portion1">[2]Inputs!$E$14</definedName>
    <definedName name="portion10">[2]Inputs!$E$473</definedName>
    <definedName name="portion11">[2]Inputs!$E$524</definedName>
    <definedName name="portion12">[2]Inputs!$E$575</definedName>
    <definedName name="portion13">[2]Inputs!$E$626</definedName>
    <definedName name="portion14">[2]Inputs!$E$677</definedName>
    <definedName name="portion15">[2]Inputs!$E$728</definedName>
    <definedName name="portion2">[2]Inputs!$E$65</definedName>
    <definedName name="portion3">[2]Inputs!$E$116</definedName>
    <definedName name="portion4">[2]Inputs!$E$167</definedName>
    <definedName name="portion5">[2]Inputs!$E$218</definedName>
    <definedName name="portion6">[2]Inputs!$E$269</definedName>
    <definedName name="portion7">[2]Inputs!$E$320</definedName>
    <definedName name="portion8">[2]Inputs!$E$371</definedName>
    <definedName name="portion9">[2]Inputs!$E$422</definedName>
    <definedName name="PP_E_Sales" localSheetId="1">'[4]Tanning Assumptions'!#REF!</definedName>
    <definedName name="PP_E_Sales">'[4]Tanning Assumptions'!#REF!</definedName>
    <definedName name="prefbamt">#REF!</definedName>
    <definedName name="prefbamt___0">#REF!</definedName>
    <definedName name="prefbper">#REF!</definedName>
    <definedName name="prefbper___0">#REF!</definedName>
    <definedName name="Preliminary">#REF!</definedName>
    <definedName name="Prepaids_Sales" localSheetId="1">'[4]Tanning Assumptions'!#REF!</definedName>
    <definedName name="Prepaids_Sales">'[4]Tanning Assumptions'!#REF!</definedName>
    <definedName name="PRICES">#REF!</definedName>
    <definedName name="PRICES___0">#REF!</definedName>
    <definedName name="_xlnm.Print_Area" localSheetId="1">Model!$B$216:$F$260</definedName>
    <definedName name="_xlnm.Print_Area">#REF!</definedName>
    <definedName name="_xlnm.Print_Titles" localSheetId="1">Model!$2:$5</definedName>
    <definedName name="_xlnm.Print_Titles">#REF!</definedName>
    <definedName name="project">[12]CONTROL!$D$8</definedName>
    <definedName name="project___0">[8]CONTROL!$D$8</definedName>
    <definedName name="ProjList">#REF!</definedName>
    <definedName name="PublicCompany" localSheetId="1">#REF!</definedName>
    <definedName name="PublicCompany">#REF!</definedName>
    <definedName name="purchase">[25]TRANSACTION!$Q$2</definedName>
    <definedName name="PURCHASE_PRICE">[26]Sheet5:D!$A$1:$H$23</definedName>
    <definedName name="qryWSO_Positions_ByFunds_CrossTab">#REF!</definedName>
    <definedName name="quarterly">#REF!</definedName>
    <definedName name="rate">#REF!</definedName>
    <definedName name="RateTable" localSheetId="1">[27]MASTER!#REF!</definedName>
    <definedName name="RateTable">[27]MASTER!#REF!</definedName>
    <definedName name="Rating">'[7]Actual vs Covenant'!$P$11:$Q$18</definedName>
    <definedName name="RatingFactors">#REF!</definedName>
    <definedName name="RATIOS">#REF!</definedName>
    <definedName name="RATIOS___0">#REF!</definedName>
    <definedName name="recovery">#REF!</definedName>
    <definedName name="refi">'[28]OBS - REFI'!$AP$5</definedName>
    <definedName name="REPORT">#REF!</definedName>
    <definedName name="REPORT___0">#REF!</definedName>
    <definedName name="ReprintRev">#REF!</definedName>
    <definedName name="ret">#REF!</definedName>
    <definedName name="rhl" localSheetId="1">'[20]LBO Summary'!#REF!</definedName>
    <definedName name="rhl">'[20]LBO Summary'!#REF!</definedName>
    <definedName name="RoyaltyRev">#REF!</definedName>
    <definedName name="rptData">#REF!</definedName>
    <definedName name="rr" localSheetId="1">'[20]LBO Summary'!#REF!</definedName>
    <definedName name="rr">'[20]LBO Summary'!#REF!</definedName>
    <definedName name="s" localSheetId="1">#REF!</definedName>
    <definedName name="s">#REF!</definedName>
    <definedName name="s.outstand" localSheetId="1">[5]Inputs!#REF!</definedName>
    <definedName name="s.outstand">[5]Inputs!#REF!</definedName>
    <definedName name="SALES" localSheetId="1">#REF!</definedName>
    <definedName name="SALES">#REF!</definedName>
    <definedName name="SALES___0" localSheetId="1">#REF!</definedName>
    <definedName name="SALES___0">#REF!</definedName>
    <definedName name="sales1">[2]Inputs!$P$29</definedName>
    <definedName name="sales10">[2]Inputs!$P$488</definedName>
    <definedName name="sales11">[2]Inputs!$P$539</definedName>
    <definedName name="sales12">[2]Inputs!$P$590</definedName>
    <definedName name="sales13">[2]Inputs!$P$641</definedName>
    <definedName name="sales14">[2]Inputs!$P$692</definedName>
    <definedName name="sales15">[2]Inputs!$P$743</definedName>
    <definedName name="sales2">[2]Inputs!$P$80</definedName>
    <definedName name="sales3">[2]Inputs!$P$131</definedName>
    <definedName name="sales4">[2]Inputs!$P$182</definedName>
    <definedName name="sales5">[2]Inputs!$P$233</definedName>
    <definedName name="sales6">[2]Inputs!$P$284</definedName>
    <definedName name="sales7">[2]Inputs!$P$335</definedName>
    <definedName name="sales8">[2]Inputs!$P$386</definedName>
    <definedName name="sales9">[2]Inputs!$P$437</definedName>
    <definedName name="scen">#REF!</definedName>
    <definedName name="Scenario_11">#REF!</definedName>
    <definedName name="Scenario_12">#REF!</definedName>
    <definedName name="Scenario_13">#REF!</definedName>
    <definedName name="Scenario_14">#REF!</definedName>
    <definedName name="Scenario_15">#REF!</definedName>
    <definedName name="Scenario_16">#REF!</definedName>
    <definedName name="Scenario_17">#REF!</definedName>
    <definedName name="Scenario_18">#REF!</definedName>
    <definedName name="Scenario_19">#REF!</definedName>
    <definedName name="Scenario_20">#REF!</definedName>
    <definedName name="Scenario_21">#REF!</definedName>
    <definedName name="Scenario_22">#REF!</definedName>
    <definedName name="Scenario_23">#REF!</definedName>
    <definedName name="Scenario_24">#REF!</definedName>
    <definedName name="Scenario_25">#REF!</definedName>
    <definedName name="Scenario_26">#REF!</definedName>
    <definedName name="Scenario_27">#REF!</definedName>
    <definedName name="Scenario_28">#REF!</definedName>
    <definedName name="Scenario_31">#REF!</definedName>
    <definedName name="Scenario_32">#REF!</definedName>
    <definedName name="Scenario_33">#REF!</definedName>
    <definedName name="Scenario_34">#REF!</definedName>
    <definedName name="Scenario_35">#REF!</definedName>
    <definedName name="Scenario_36">#REF!</definedName>
    <definedName name="Scenario_37">#REF!</definedName>
    <definedName name="Scenario_38">#REF!</definedName>
    <definedName name="Scenario_39" localSheetId="1">#REF!</definedName>
    <definedName name="Scenario_39">#REF!</definedName>
    <definedName name="Scenario_41" localSheetId="1">#REF!</definedName>
    <definedName name="Scenario_41">#REF!</definedName>
    <definedName name="Scenario_42" localSheetId="1">#REF!</definedName>
    <definedName name="Scenario_42">#REF!</definedName>
    <definedName name="Scenario_43" localSheetId="1">#REF!</definedName>
    <definedName name="Scenario_43">#REF!</definedName>
    <definedName name="Scenario_44" localSheetId="1">#REF!</definedName>
    <definedName name="Scenario_44">#REF!</definedName>
    <definedName name="Scenario_51">#REF!</definedName>
    <definedName name="Scenario_52">#REF!</definedName>
    <definedName name="Scenario_53">#REF!</definedName>
    <definedName name="Section">#REF!</definedName>
    <definedName name="SENSITIVITY">#REF!</definedName>
    <definedName name="SENSITIVITY___0">#REF!</definedName>
    <definedName name="sh.equity" localSheetId="1">[5]Inputs!#REF!</definedName>
    <definedName name="sh.equity">[5]Inputs!#REF!</definedName>
    <definedName name="sl" localSheetId="1">'[20]LBO Summary'!#REF!</definedName>
    <definedName name="sl">'[20]LBO Summary'!#REF!</definedName>
    <definedName name="snapshotdate">#REF!</definedName>
    <definedName name="sort_range">#REF!</definedName>
    <definedName name="sponsor">'[9]S&amp;U'!$J$21</definedName>
    <definedName name="Start">#REF!</definedName>
    <definedName name="Start_Date">[6]Selections!$C$1</definedName>
    <definedName name="StartDay">[6]Selections!$P$3</definedName>
    <definedName name="StartMonth">[6]Selections!$P$2</definedName>
    <definedName name="StartRefresh" localSheetId="1">'[14]Portfolio Input'!#REF!</definedName>
    <definedName name="StartRefresh">'[14]Portfolio Input'!#REF!</definedName>
    <definedName name="StartYear">[6]Selections!$P$1</definedName>
    <definedName name="Strip_Amount">#REF!</definedName>
    <definedName name="Strip_PV" localSheetId="1">#REF!</definedName>
    <definedName name="Strip_PV">#REF!</definedName>
    <definedName name="stub">#REF!</definedName>
    <definedName name="stubmonths">'[29]D&amp;A'!$C$5</definedName>
    <definedName name="sub" localSheetId="1">'[20]LBO Summary'!#REF!</definedName>
    <definedName name="sub">'[20]LBO Summary'!#REF!</definedName>
    <definedName name="subdebtamount">[15]Inputs!$J$26</definedName>
    <definedName name="subdebtdate">[15]Inputs!$J$28</definedName>
    <definedName name="Subhead1">[19]_01_05_v_Wicks_xls__01_05_v_Wic!$N$2</definedName>
    <definedName name="subHeading" localSheetId="1">#REF!</definedName>
    <definedName name="subHeading">#REF!</definedName>
    <definedName name="summary">#REF!</definedName>
    <definedName name="support">#REF!</definedName>
    <definedName name="sweep___9" localSheetId="1">[30]COVS_ACTUAL!#REF!</definedName>
    <definedName name="sweep___9">[30]COVS_ACTUAL!#REF!</definedName>
    <definedName name="target">#REF!</definedName>
    <definedName name="tax" localSheetId="1">[31]ISCF!#REF!</definedName>
    <definedName name="tax">[31]ISCF!#REF!</definedName>
    <definedName name="Taxes_Receivable_Sales" localSheetId="1">'[4]Tanning Assumptions'!#REF!</definedName>
    <definedName name="Taxes_Receivable_Sales">'[4]Tanning Assumptions'!#REF!</definedName>
    <definedName name="Test">#REF!</definedName>
    <definedName name="tgt">#REF!</definedName>
    <definedName name="ticker1">[2]Inputs!$E$11</definedName>
    <definedName name="ticker10">[2]Inputs!$E$470</definedName>
    <definedName name="ticker11">[2]Inputs!$E$521</definedName>
    <definedName name="ticker12">[2]Inputs!$E$572</definedName>
    <definedName name="ticker13">[2]Inputs!$E$623</definedName>
    <definedName name="ticker14">[2]Inputs!$E$674</definedName>
    <definedName name="ticker15">[2]Inputs!$E$725</definedName>
    <definedName name="ticker2">[2]Inputs!$E$62</definedName>
    <definedName name="ticker3">[2]Inputs!$E$113</definedName>
    <definedName name="ticker4">[2]Inputs!$E$164</definedName>
    <definedName name="ticker5">[2]Inputs!$E$215</definedName>
    <definedName name="ticker6">[2]Inputs!$E$266</definedName>
    <definedName name="ticker7">[2]Inputs!$E$317</definedName>
    <definedName name="ticker8">[2]Inputs!$E$368</definedName>
    <definedName name="ticker9">[2]Inputs!$E$419</definedName>
    <definedName name="TimeEnd">[6]Selections!$L$3</definedName>
    <definedName name="TimeStart">[6]Selections!$L$2</definedName>
    <definedName name="title">[28]SUM!$A$2</definedName>
    <definedName name="today">#REF!</definedName>
    <definedName name="top">#REF!</definedName>
    <definedName name="TopIC">'[7]Actual vs Covenant'!$P$31:$Q$38</definedName>
    <definedName name="TopOC">'[7]Actual vs Covenant'!$P$21:$Q$28</definedName>
    <definedName name="TOTAL">#REF!</definedName>
    <definedName name="TOTAL___0">#REF!</definedName>
    <definedName name="Total_Europe" localSheetId="1">#REF!</definedName>
    <definedName name="Total_Europe">#REF!</definedName>
    <definedName name="TotalRev">#REF!</definedName>
    <definedName name="TradedCash">[6]Principal!$G$5</definedName>
    <definedName name="trigger">[8]OBS!$U$5</definedName>
    <definedName name="TRYN_Top3">[7]TOP10!$S$3</definedName>
    <definedName name="TRYN_Top4">[7]TOP10!$S$8</definedName>
    <definedName name="TryonFitchRatingChartData">[7]TRYN!$G$2:$H$9</definedName>
    <definedName name="TryonFitchRatingChartSerial1">[7]TRYN!$H$2:$H$9</definedName>
    <definedName name="TryonFitchRatingChartXScale">[7]TRYN!$G$2:$G$9</definedName>
    <definedName name="TryonMoodyRatingChartData">[7]TRYN!$A$2:$B$15</definedName>
    <definedName name="TryonMoodyRatingChartSerial1">[7]TRYN!$B$2:$B$15</definedName>
    <definedName name="TryonMoodyRatingChartXScale">[7]TRYN!$A$2:$A$15</definedName>
    <definedName name="TryonSPRatingChartData">[7]TRYN!$D$2:$E$15</definedName>
    <definedName name="TryonSPRatingChartSerial1">[7]TRYN!$E$2:$E$15</definedName>
    <definedName name="TryonSPRatingChartXScale">[7]TRYN!$D$2:$D$15</definedName>
    <definedName name="units">'[9]S&amp;U'!$K$2</definedName>
    <definedName name="version">[28]SUM!$AE$2</definedName>
    <definedName name="version___0">[8]CONTROL!$D$9</definedName>
    <definedName name="WACActual">OFFSET([6]WACTrends!$C$2,0,0,COUNTA([6]WACTrends!$C$1:$C$65536)-1)</definedName>
    <definedName name="WACCovenant">OFFSET([6]WACTrends!$D$2,0,0,COUNTA([6]WACTrends!$D$1:$D$65536)-1)</definedName>
    <definedName name="WACDate">OFFSET([6]WACTrends!$B$2,0,0,COUNTA([6]WACTrends!$B$1:$B$65536)-1)</definedName>
    <definedName name="WALActual">OFFSET([6]WALTrends!$C$2,0,0,COUNTA([6]WALTrends!$C$1:$C$65536)-1)</definedName>
    <definedName name="WALCovenant">OFFSET([6]WALTrends!$D$2,0,0,COUNTA([6]WALTrends!$D$1:$D$65536)-1)</definedName>
    <definedName name="WALDate">OFFSET([6]WALTrends!$B$2,0,0,COUNTA([6]WALTrends!$B$1:$B$65536)-1)</definedName>
    <definedName name="WARFActual">OFFSET([6]WARFTrends!$C$2,0,0,COUNTA([6]WARFTrends!$C$1:$C$65536)-1)</definedName>
    <definedName name="WARFCovenant">OFFSET([6]WARFTrends!$D$2,0,0,COUNTA([6]WARFTrends!$D$1:$D$65536)-1)</definedName>
    <definedName name="WARFDate">OFFSET([6]WARFTrends!$B$2,0,0,COUNTA([6]WARFTrends!$B$1:$B$65536)-1)</definedName>
    <definedName name="WARFFitchActual">OFFSET([6]WARFFitchTrends!$C$2,0,0,COUNTA([6]WARFFitchTrends!$C$1:$C$65536)-1)</definedName>
    <definedName name="WARFFitchCovenant">OFFSET([6]WARFFitchTrends!$D$2,0,0,COUNTA([6]WARFFitchTrends!$D$1:$D$65536)-1)</definedName>
    <definedName name="WARFFitchDate">OFFSET([6]WARFFitchTrends!$B$2,0,0,COUNTA([6]WARFFitchTrends!$B$1:$B$65536)-1)</definedName>
    <definedName name="warrants">[15]Inputs!$O$13</definedName>
    <definedName name="WASActual">OFFSET([6]WASTrends!$C$2,0,0,COUNTA([6]WASTrends!$C$1:$C$65536)-1)</definedName>
    <definedName name="WASCovenant">OFFSET([6]WASTrends!$D$2,0,0,COUNTA([6]WASTrends!$D$1:$D$65536)-1)</definedName>
    <definedName name="WASDate">OFFSET([6]WASTrends!$B$2,0,0,COUNTA([6]WASTrends!$B$1:$B$65536)-1)</definedName>
    <definedName name="WBMIN" localSheetId="1">'[14]Portfolio Input'!#REF!</definedName>
    <definedName name="WBMIN">'[14]Portfolio Input'!#REF!</definedName>
    <definedName name="WHAT_IF">#REF!</definedName>
    <definedName name="WHAT_IF___0">#REF!</definedName>
    <definedName name="whec">[28]WHEC!$AX$2</definedName>
    <definedName name="wicksequity">[15]Inputs!$E$35</definedName>
    <definedName name="WORKING_CAPITAL" localSheetId="1">#REF!</definedName>
    <definedName name="WORKING_CAPITAL">#REF!</definedName>
    <definedName name="WORKING_CAPITAL___0" localSheetId="1">#REF!</definedName>
    <definedName name="WORKING_CAPITAL___0">#REF!</definedName>
    <definedName name="wrn.Alloutput." localSheetId="0" hidden="1">{#N/A,#N/A,TRUE,"Deal Summary";#N/A,#N/A,TRUE,"CGIC &amp;PLICO Results";#N/A,#N/A,TRUE,"Consolidated Results";#N/A,#N/A,TRUE,"Consolidated Sources_Uses";#N/A,#N/A,TRUE,"BS";#N/A,#N/A,TRUE,"Income Statement";#N/A,#N/A,TRUE,"Accretion_Dilution";#N/A,#N/A,TRUE,"Matrix";#N/A,#N/A,TRUE,"Purchase_sensitivity";#N/A,#N/A,TRUE,"TEMPLATE";#N/A,#N/A,TRUE,"NII Reconc";#N/A,#N/A,TRUE,"CG Rollup";#N/A,#N/A,TRUE,"PYR Rollup";#N/A,#N/A,TRUE,"CG New MS";#N/A,#N/A,TRUE,"CG &amp; PYR Stat Info ----&gt;";#N/A,#N/A,TRUE,"CG Med Sup";#N/A,#N/A,TRUE,"CG DI";#N/A,#N/A,TRUE,"CG A&amp;H";#N/A,#N/A,TRUE,"CG LT Care";#N/A,#N/A,TRUE,"CG Universal";#N/A,#N/A,TRUE,"CG Annuities";#N/A,#N/A,TRUE,"PYR MED SUP";#N/A,#N/A,TRUE,"PYR MED SEL";#N/A,#N/A,TRUE,"PYR LT Care";#N/A,#N/A,TRUE,"PYR Universal";#N/A,#N/A,TRUE,"PYR Universal";#N/A,#N/A,TRUE,"PYR Other A&amp;H";#N/A,#N/A,TRUE,"PYR Annuities";#N/A,#N/A,TRUE,"PYR Other Life";#N/A,#N/A,TRUE,"UHCO Statutory Info ----&gt;";#N/A,#N/A,TRUE,"UHCO Source_Use";#N/A,#N/A,TRUE,"UHCO_Debt Paydown";#N/A,#N/A,TRUE,"Union Bankers";#N/A,#N/A,TRUE,"Penn Life";#N/A,#N/A,TRUE,"Constitution"}</definedName>
    <definedName name="wrn.Alloutput." hidden="1">{#N/A,#N/A,TRUE,"Deal Summary";#N/A,#N/A,TRUE,"CGIC &amp;PLICO Results";#N/A,#N/A,TRUE,"Consolidated Results";#N/A,#N/A,TRUE,"Consolidated Sources_Uses";#N/A,#N/A,TRUE,"BS";#N/A,#N/A,TRUE,"Income Statement";#N/A,#N/A,TRUE,"Accretion_Dilution";#N/A,#N/A,TRUE,"Matrix";#N/A,#N/A,TRUE,"Purchase_sensitivity";#N/A,#N/A,TRUE,"TEMPLATE";#N/A,#N/A,TRUE,"NII Reconc";#N/A,#N/A,TRUE,"CG Rollup";#N/A,#N/A,TRUE,"PYR Rollup";#N/A,#N/A,TRUE,"CG New MS";#N/A,#N/A,TRUE,"CG &amp; PYR Stat Info ----&gt;";#N/A,#N/A,TRUE,"CG Med Sup";#N/A,#N/A,TRUE,"CG DI";#N/A,#N/A,TRUE,"CG A&amp;H";#N/A,#N/A,TRUE,"CG LT Care";#N/A,#N/A,TRUE,"CG Universal";#N/A,#N/A,TRUE,"CG Annuities";#N/A,#N/A,TRUE,"PYR MED SUP";#N/A,#N/A,TRUE,"PYR MED SEL";#N/A,#N/A,TRUE,"PYR LT Care";#N/A,#N/A,TRUE,"PYR Universal";#N/A,#N/A,TRUE,"PYR Universal";#N/A,#N/A,TRUE,"PYR Other A&amp;H";#N/A,#N/A,TRUE,"PYR Annuities";#N/A,#N/A,TRUE,"PYR Other Life";#N/A,#N/A,TRUE,"UHCO Statutory Info ----&gt;";#N/A,#N/A,TRUE,"UHCO Source_Use";#N/A,#N/A,TRUE,"UHCO_Debt Paydown";#N/A,#N/A,TRUE,"Union Bankers";#N/A,#N/A,TRUE,"Penn Life";#N/A,#N/A,TRUE,"Constitution"}</definedName>
    <definedName name="wrn.CGIC._.PLICO._.Statutory._.Results." localSheetId="0" hidden="1">{#N/A,#N/A,FALSE,"TEMPLATE";#N/A,#N/A,FALSE,"CG Rollup";#N/A,#N/A,FALSE,"PYR Rollup";#N/A,#N/A,FALSE,"CG New MS";#N/A,#N/A,FALSE,"CG &amp; PYR Stat Info ----&gt;";#N/A,#N/A,FALSE,"CG Med Sup";#N/A,#N/A,FALSE,"CG DI";#N/A,#N/A,FALSE,"CG A&amp;H";#N/A,#N/A,FALSE,"CG LT Care";#N/A,#N/A,FALSE,"CG Universal";#N/A,#N/A,FALSE,"CG Universal";#N/A,#N/A,FALSE,"CG Annuities";#N/A,#N/A,FALSE,"PYR MED SUP";#N/A,#N/A,FALSE,"PYR MED SEL";#N/A,#N/A,FALSE,"PYR LT Care";#N/A,#N/A,FALSE,"PYR Universal";#N/A,#N/A,FALSE,"PYR Other A&amp;H";#N/A,#N/A,FALSE,"PYR Annuities";#N/A,#N/A,FALSE,"PYR Other Life"}</definedName>
    <definedName name="wrn.CGIC._.PLICO._.Statutory._.Results." hidden="1">{#N/A,#N/A,FALSE,"TEMPLATE";#N/A,#N/A,FALSE,"CG Rollup";#N/A,#N/A,FALSE,"PYR Rollup";#N/A,#N/A,FALSE,"CG New MS";#N/A,#N/A,FALSE,"CG &amp; PYR Stat Info ----&gt;";#N/A,#N/A,FALSE,"CG Med Sup";#N/A,#N/A,FALSE,"CG DI";#N/A,#N/A,FALSE,"CG A&amp;H";#N/A,#N/A,FALSE,"CG LT Care";#N/A,#N/A,FALSE,"CG Universal";#N/A,#N/A,FALSE,"CG Universal";#N/A,#N/A,FALSE,"CG Annuities";#N/A,#N/A,FALSE,"PYR MED SUP";#N/A,#N/A,FALSE,"PYR MED SEL";#N/A,#N/A,FALSE,"PYR LT Care";#N/A,#N/A,FALSE,"PYR Universal";#N/A,#N/A,FALSE,"PYR Other A&amp;H";#N/A,#N/A,FALSE,"PYR Annuities";#N/A,#N/A,FALSE,"PYR Other Life"}</definedName>
    <definedName name="wrn.CIS." localSheetId="0" hidden="1">{"bsheet",#N/A,FALSE,"Present";"income",#N/A,FALSE,"Present";"ratios1",#N/A,FALSE,"Present";"expenses",#N/A,FALSE,"Present";"ratios2",#N/A,FALSE,"Present";"cashflow",#N/A,FALSE,"Present";"GAAP",#N/A,FALSE,"Present";"dividends",#N/A,FALSE,"Present";"invest1",#N/A,FALSE,"Present";"earned",#N/A,FALSE,"Present";"reserves1",#N/A,FALSE,"Present";"reserves2",#N/A,FALSE,"Present"}</definedName>
    <definedName name="wrn.CIS." hidden="1">{"bsheet",#N/A,FALSE,"Present";"income",#N/A,FALSE,"Present";"ratios1",#N/A,FALSE,"Present";"expenses",#N/A,FALSE,"Present";"ratios2",#N/A,FALSE,"Present";"cashflow",#N/A,FALSE,"Present";"GAAP",#N/A,FALSE,"Present";"dividends",#N/A,FALSE,"Present";"invest1",#N/A,FALSE,"Present";"earned",#N/A,FALSE,"Present";"reserves1",#N/A,FALSE,"Present";"reserves2",#N/A,FALSE,"Present"}</definedName>
    <definedName name="wrn.crossroads." localSheetId="0" hidden="1">{#N/A,#N/A,FALSE,"RENT ROLL";#N/A,#N/A,FALSE,"CAM";#N/A,#N/A,FALSE,"TAXES";#N/A,#N/A,FALSE,"INSURANCE";#N/A,#N/A,FALSE,"HVAC";#N/A,#N/A,FALSE,"MARKETING"}</definedName>
    <definedName name="wrn.crossroads." hidden="1">{#N/A,#N/A,FALSE,"RENT ROLL";#N/A,#N/A,FALSE,"CAM";#N/A,#N/A,FALSE,"TAXES";#N/A,#N/A,FALSE,"INSURANCE";#N/A,#N/A,FALSE,"HVAC";#N/A,#N/A,FALSE,"MARKETING"}</definedName>
    <definedName name="wrn.crossroads2" localSheetId="0" hidden="1">{#N/A,#N/A,FALSE,"RENT ROLL";#N/A,#N/A,FALSE,"CAM";#N/A,#N/A,FALSE,"TAXES";#N/A,#N/A,FALSE,"INSURANCE";#N/A,#N/A,FALSE,"HVAC";#N/A,#N/A,FALSE,"MARKETING"}</definedName>
    <definedName name="wrn.crossroads2" hidden="1">{#N/A,#N/A,FALSE,"RENT ROLL";#N/A,#N/A,FALSE,"CAM";#N/A,#N/A,FALSE,"TAXES";#N/A,#N/A,FALSE,"INSURANCE";#N/A,#N/A,FALSE,"HVAC";#N/A,#N/A,FALSE,"MARKETING"}</definedName>
    <definedName name="wrn.dcf." localSheetId="0" hidden="1">{"mgmt forecast",#N/A,FALSE,"Mgmt Forecast";"dcf table",#N/A,FALSE,"Mgmt Forecast";"sensitivity",#N/A,FALSE,"Mgmt Forecast";"table inputs",#N/A,FALSE,"Mgmt Forecast";"calculations",#N/A,FALSE,"Mgmt Forecast"}</definedName>
    <definedName name="wrn.dcf." hidden="1">{"mgmt forecast",#N/A,FALSE,"Mgmt Forecast";"dcf table",#N/A,FALSE,"Mgmt Forecast";"sensitivity",#N/A,FALSE,"Mgmt Forecast";"table inputs",#N/A,FALSE,"Mgmt Forecast";"calculations",#N/A,FALSE,"Mgmt Forecast"}</definedName>
    <definedName name="wrn.print._.graphs." localSheetId="0" hidden="1">{"cap_structure",#N/A,FALSE,"Graph-Mkt Cap";"price",#N/A,FALSE,"Graph-Price";"ebit",#N/A,FALSE,"Graph-EBITDA";"ebitda",#N/A,FALSE,"Graph-EBITDA"}</definedName>
    <definedName name="wrn.print._.graphs." hidden="1">{"cap_structure",#N/A,FALSE,"Graph-Mkt Cap";"price",#N/A,FALSE,"Graph-Price";"ebit",#N/A,FALSE,"Graph-EBITDA";"ebitda",#N/A,FALSE,"Graph-EBITDA"}</definedName>
    <definedName name="wrn.print._.raw._.data._.entry." localSheetId="0" hidden="1">{"inputs raw data",#N/A,TRUE,"INPUT"}</definedName>
    <definedName name="wrn.print._.raw._.data._.entry." hidden="1">{"inputs raw data",#N/A,TRUE,"INPUT"}</definedName>
    <definedName name="wrn.print._.summary._.sheets." localSheetId="0" hidden="1">{"summary1",#N/A,TRUE,"Comps";"summary2",#N/A,TRUE,"Comps";"summary3",#N/A,TRUE,"Comps"}</definedName>
    <definedName name="wrn.print._.summary._.sheets." hidden="1">{"summary1",#N/A,TRUE,"Comps";"summary2",#N/A,TRUE,"Comps";"summary3",#N/A,TRUE,"Comps"}</definedName>
    <definedName name="wrn.quick." localSheetId="0" hidden="1">{"bsheet",#N/A,FALSE,"TEMPLATE";"income",#N/A,FALSE,"TEMPLATE";"ratios1",#N/A,FALSE,"TEMPLATE";"ratios2",#N/A,FALSE,"TEMPLATE";"cashflow",#N/A,FALSE,"TEMPLATE";"taxes",#N/A,FALSE,"TEMPLATE";"earned",#N/A,FALSE,"TEMPLATE";"GAAP",#N/A,FALSE,"TEMPLATE";"dividends",#N/A,FALSE,"TEMPLATE";"invest1",#N/A,FALSE,"TEMPLATE";"bonds1",#N/A,FALSE,"TEMPLATE";"bonds2",#N/A,FALSE,"TEMPLATE";"reserves1",#N/A,FALSE,"TEMPLATE";"reserves2",#N/A,FALSE,"TEMPLATE";"reserves3",#N/A,FALSE,"TEMPLATE"}</definedName>
    <definedName name="wrn.quick." hidden="1">{"bsheet",#N/A,FALSE,"TEMPLATE";"income",#N/A,FALSE,"TEMPLATE";"ratios1",#N/A,FALSE,"TEMPLATE";"ratios2",#N/A,FALSE,"TEMPLATE";"cashflow",#N/A,FALSE,"TEMPLATE";"taxes",#N/A,FALSE,"TEMPLATE";"earned",#N/A,FALSE,"TEMPLATE";"GAAP",#N/A,FALSE,"TEMPLATE";"dividends",#N/A,FALSE,"TEMPLATE";"invest1",#N/A,FALSE,"TEMPLATE";"bonds1",#N/A,FALSE,"TEMPLATE";"bonds2",#N/A,FALSE,"TEMPLATE";"reserves1",#N/A,FALSE,"TEMPLATE";"reserves2",#N/A,FALSE,"TEMPLATE";"reserves3",#N/A,FALSE,"TEMPLATE"}</definedName>
    <definedName name="wrn.Sales._.Activity." localSheetId="0" hidden="1">{#N/A,#N/A,FALSE,"Integration Systems"}</definedName>
    <definedName name="wrn.Sales._.Activity." hidden="1">{#N/A,#N/A,FALSE,"Integration Systems"}</definedName>
    <definedName name="wrn.Summary." localSheetId="0" hidden="1">{#N/A,#N/A,FALSE,"Deal Summary";#N/A,#N/A,FALSE,"CGIC &amp;PLICO Results";#N/A,#N/A,FALSE,"Consolidated Results";#N/A,#N/A,FALSE,"Consolidated Source_Uses&amp;Debt ";#N/A,#N/A,FALSE,"Bal_Sht";#N/A,#N/A,FALSE,"Income Statement";#N/A,#N/A,FALSE,"Accretion_Dilution";#N/A,#N/A,FALSE,"Matrix";#N/A,#N/A,FALSE,"Purchase_sensitivity"}</definedName>
    <definedName name="wrn.Summary." hidden="1">{#N/A,#N/A,FALSE,"Deal Summary";#N/A,#N/A,FALSE,"CGIC &amp;PLICO Results";#N/A,#N/A,FALSE,"Consolidated Results";#N/A,#N/A,FALSE,"Consolidated Source_Uses&amp;Debt ";#N/A,#N/A,FALSE,"Bal_Sht";#N/A,#N/A,FALSE,"Income Statement";#N/A,#N/A,FALSE,"Accretion_Dilution";#N/A,#N/A,FALSE,"Matrix";#N/A,#N/A,FALSE,"Purchase_sensitivity"}</definedName>
    <definedName name="wrn.UHCO._.Statutory._.Results." localSheetId="0" hidden="1">{#N/A,#N/A,FALSE,"UHCO Statutory Info ----&gt;";#N/A,#N/A,FALSE,"UHCO Source_Use";#N/A,#N/A,FALSE,"UHCO_Debt Paydown";#N/A,#N/A,FALSE,"Union Bankers";#N/A,#N/A,FALSE,"Penn Life";#N/A,#N/A,FALSE,"Constitution"}</definedName>
    <definedName name="wrn.UHCO._.Statutory._.Results." hidden="1">{#N/A,#N/A,FALSE,"UHCO Statutory Info ----&gt;";#N/A,#N/A,FALSE,"UHCO Source_Use";#N/A,#N/A,FALSE,"UHCO_Debt Paydown";#N/A,#N/A,FALSE,"Union Bankers";#N/A,#N/A,FALSE,"Penn Life";#N/A,#N/A,FALSE,"Constitution"}</definedName>
    <definedName name="wrn.Weekly._.Inventory._.Report." localSheetId="0" hidden="1">{#N/A,#N/A,FALSE,"Combo"}</definedName>
    <definedName name="wrn.Weekly._.Inventory._.Report." hidden="1">{#N/A,#N/A,FALSE,"Combo"}</definedName>
    <definedName name="wvu.inputs._.raw._.data."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hidden="1">{TRUE,TRUE,-1.25,-15.5,604.5,369,FALSE,FALSE,TRUE,TRUE,0,1,83,1,38,4,5,4,TRUE,TRUE,3,TRUE,1,TRUE,75,"Swvu.inputs._.raw._.data.","ACwvu.inputs._.raw._.data.",#N/A,FALSE,FALSE,0.5,0.5,0.5,0.5,2,"&amp;F","&amp;A&amp;RPage &amp;P",FALSE,FALSE,FALSE,FALSE,1,60,#N/A,#N/A,"=R1C61:R53C89","=C1:C5",#N/A,#N/A,FALSE,FALSE,FALSE,1,600,600,FALSE,FALSE,TRUE,TRUE,TRUE}</definedName>
    <definedName name="wvu.summary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zip" localSheetId="1">#REF!</definedName>
    <definedName name="zip">#REF!</definedName>
  </definedNames>
  <calcPr calcId="191028"/>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91" i="17" l="1"/>
  <c r="D91" i="17"/>
  <c r="D94" i="17"/>
  <c r="D95" i="17" s="1"/>
  <c r="D106" i="17"/>
  <c r="D107" i="17" s="1"/>
  <c r="D26" i="17"/>
  <c r="D24" i="17"/>
  <c r="D22" i="17"/>
  <c r="D31" i="17" s="1"/>
  <c r="D17" i="17"/>
  <c r="D13" i="17"/>
  <c r="D9" i="17"/>
  <c r="E30" i="17"/>
  <c r="E98" i="17" s="1"/>
  <c r="D30" i="17"/>
  <c r="D98" i="17" s="1"/>
  <c r="K5" i="17"/>
  <c r="K4" i="17"/>
  <c r="L38" i="18"/>
  <c r="K38" i="18"/>
  <c r="M41" i="18"/>
  <c r="M40" i="18"/>
  <c r="M39" i="18"/>
  <c r="M37" i="18"/>
  <c r="M38" i="18" s="1"/>
  <c r="M36" i="18"/>
  <c r="M35" i="18"/>
  <c r="M32" i="18"/>
  <c r="M31" i="18"/>
  <c r="M30" i="18"/>
  <c r="M28" i="18"/>
  <c r="M29" i="18" s="1"/>
  <c r="M27" i="18"/>
  <c r="M26" i="18"/>
  <c r="M23" i="18"/>
  <c r="M22" i="18"/>
  <c r="M21" i="18"/>
  <c r="M19" i="18"/>
  <c r="M18" i="18"/>
  <c r="M20" i="18" s="1"/>
  <c r="M17" i="18"/>
  <c r="M13" i="18"/>
  <c r="M12" i="18"/>
  <c r="M3" i="18"/>
  <c r="M8" i="18"/>
  <c r="M9" i="18"/>
  <c r="M10" i="18"/>
  <c r="M11" i="18" s="1"/>
  <c r="M14" i="18"/>
  <c r="AT38" i="18"/>
  <c r="AT29" i="18"/>
  <c r="AT20" i="18"/>
  <c r="AT11" i="18"/>
  <c r="AU38" i="18"/>
  <c r="AU29" i="18"/>
  <c r="AU20" i="18"/>
  <c r="AU11" i="18"/>
  <c r="AX216" i="15"/>
  <c r="P208" i="15"/>
  <c r="AX192" i="15"/>
  <c r="AX193" i="15"/>
  <c r="P192" i="15"/>
  <c r="AX194" i="15"/>
  <c r="AW194" i="15"/>
  <c r="AV194" i="15"/>
  <c r="AU194" i="15"/>
  <c r="AT194" i="15"/>
  <c r="AS194" i="15"/>
  <c r="AR194" i="15"/>
  <c r="AQ194" i="15"/>
  <c r="AP194" i="15"/>
  <c r="AE194" i="15"/>
  <c r="AX116" i="15"/>
  <c r="AX108" i="15"/>
  <c r="AX107" i="15"/>
  <c r="P107" i="15" s="1"/>
  <c r="P118" i="15"/>
  <c r="P111" i="15"/>
  <c r="P98" i="15"/>
  <c r="P97" i="15"/>
  <c r="P96" i="15"/>
  <c r="P95" i="15"/>
  <c r="AX76" i="15"/>
  <c r="AT73" i="15"/>
  <c r="AX73" i="15"/>
  <c r="AX67" i="15"/>
  <c r="AX63" i="15"/>
  <c r="P3" i="15"/>
  <c r="AX196" i="15"/>
  <c r="AX175" i="15"/>
  <c r="AX169" i="15"/>
  <c r="AX167" i="15"/>
  <c r="AX166" i="15"/>
  <c r="AX165" i="15"/>
  <c r="AX163" i="15"/>
  <c r="AX160" i="15"/>
  <c r="AX159" i="15"/>
  <c r="AX153" i="15"/>
  <c r="AX150" i="15"/>
  <c r="AX140" i="15"/>
  <c r="AX104" i="15"/>
  <c r="AX103" i="15"/>
  <c r="AX102" i="15"/>
  <c r="AX99" i="15"/>
  <c r="AX93" i="15"/>
  <c r="AX121" i="15" s="1"/>
  <c r="AX213" i="15" s="1"/>
  <c r="AX133" i="15" s="1"/>
  <c r="AX62" i="15"/>
  <c r="AX157" i="15" s="1"/>
  <c r="AX59" i="15"/>
  <c r="AX58" i="15"/>
  <c r="AX49" i="15"/>
  <c r="AX61" i="15" s="1"/>
  <c r="AX83" i="15" s="1"/>
  <c r="AX147" i="15" s="1"/>
  <c r="AX47" i="15"/>
  <c r="AX39" i="15"/>
  <c r="AX38" i="15"/>
  <c r="AX37" i="15"/>
  <c r="AX36" i="15"/>
  <c r="AX35" i="15"/>
  <c r="AX10" i="15"/>
  <c r="AX8" i="15"/>
  <c r="BN7" i="15"/>
  <c r="BN30" i="15"/>
  <c r="BN29" i="15"/>
  <c r="BN26" i="15"/>
  <c r="BN24" i="15"/>
  <c r="BN22" i="15"/>
  <c r="BN21" i="15"/>
  <c r="BN20" i="15"/>
  <c r="BN19" i="15"/>
  <c r="BN18" i="15"/>
  <c r="BN16" i="15"/>
  <c r="BN15" i="15"/>
  <c r="BN14" i="15"/>
  <c r="BN13" i="15"/>
  <c r="BN12" i="15"/>
  <c r="BN9" i="15"/>
  <c r="E134" i="17"/>
  <c r="E140" i="17" s="1"/>
  <c r="D134" i="17"/>
  <c r="D140" i="17" s="1"/>
  <c r="D123" i="17"/>
  <c r="D122" i="17"/>
  <c r="D121" i="17"/>
  <c r="D120" i="17"/>
  <c r="D119" i="17"/>
  <c r="D118" i="17"/>
  <c r="D117" i="17"/>
  <c r="D116" i="17"/>
  <c r="D150" i="17" s="1"/>
  <c r="C143" i="17"/>
  <c r="C144" i="17" s="1"/>
  <c r="C145" i="17" s="1"/>
  <c r="C146" i="17" s="1"/>
  <c r="D142" i="17"/>
  <c r="D144" i="17"/>
  <c r="L29" i="18"/>
  <c r="L20" i="18"/>
  <c r="L11" i="18"/>
  <c r="AW192" i="15"/>
  <c r="AW193" i="15"/>
  <c r="AW116" i="15"/>
  <c r="AW241" i="15" s="1"/>
  <c r="N108" i="15"/>
  <c r="O108" i="15"/>
  <c r="AW108" i="15" s="1"/>
  <c r="O107" i="15"/>
  <c r="AW107" i="15" s="1"/>
  <c r="AW118" i="15"/>
  <c r="AW111" i="15"/>
  <c r="AW98" i="15"/>
  <c r="AW97" i="15"/>
  <c r="AW96" i="15"/>
  <c r="AW95" i="15"/>
  <c r="O76" i="15"/>
  <c r="O74" i="15"/>
  <c r="O73" i="15"/>
  <c r="O70" i="15"/>
  <c r="O165" i="15" s="1"/>
  <c r="O67" i="15"/>
  <c r="O90" i="15" s="1"/>
  <c r="O138" i="15" s="1"/>
  <c r="O63" i="15"/>
  <c r="AW57" i="15"/>
  <c r="P57" i="15" s="1"/>
  <c r="CH2" i="15"/>
  <c r="CG2" i="15"/>
  <c r="CF2" i="15"/>
  <c r="CE2" i="15"/>
  <c r="CB7" i="15"/>
  <c r="AW30" i="15"/>
  <c r="P30" i="15" s="1"/>
  <c r="AW29" i="15"/>
  <c r="P29" i="15" s="1"/>
  <c r="AW26" i="15"/>
  <c r="P26" i="15" s="1"/>
  <c r="AW24" i="15"/>
  <c r="P24" i="15" s="1"/>
  <c r="AW22" i="15"/>
  <c r="P22" i="15" s="1"/>
  <c r="AW21" i="15"/>
  <c r="P21" i="15" s="1"/>
  <c r="AW20" i="15"/>
  <c r="P20" i="15" s="1"/>
  <c r="AW19" i="15"/>
  <c r="P19" i="15" s="1"/>
  <c r="AW18" i="15"/>
  <c r="AW16" i="15"/>
  <c r="P16" i="15" s="1"/>
  <c r="AW15" i="15"/>
  <c r="P15" i="15" s="1"/>
  <c r="AW14" i="15"/>
  <c r="P14" i="15" s="1"/>
  <c r="AW13" i="15"/>
  <c r="P13" i="15" s="1"/>
  <c r="AW12" i="15"/>
  <c r="P12" i="15" s="1"/>
  <c r="AW9" i="15"/>
  <c r="P9" i="15" s="1"/>
  <c r="AW7" i="15"/>
  <c r="P7" i="15" s="1"/>
  <c r="AW196" i="15"/>
  <c r="AW93" i="15"/>
  <c r="AW121" i="15" s="1"/>
  <c r="AW213" i="15" s="1"/>
  <c r="AW133" i="15" s="1"/>
  <c r="AW49" i="15"/>
  <c r="AW61" i="15" s="1"/>
  <c r="AW83" i="15" s="1"/>
  <c r="AW147" i="15" s="1"/>
  <c r="BN3" i="15"/>
  <c r="O208" i="15"/>
  <c r="O196" i="15"/>
  <c r="O175" i="15"/>
  <c r="O167" i="15"/>
  <c r="O166" i="15"/>
  <c r="O163" i="15"/>
  <c r="O160" i="15"/>
  <c r="O159" i="15"/>
  <c r="O153" i="15"/>
  <c r="O150" i="15"/>
  <c r="O140" i="15"/>
  <c r="O104" i="15"/>
  <c r="O103" i="15"/>
  <c r="O102" i="15"/>
  <c r="O99" i="15"/>
  <c r="O93" i="15"/>
  <c r="O121" i="15" s="1"/>
  <c r="O213" i="15" s="1"/>
  <c r="O133" i="15" s="1"/>
  <c r="O88" i="15"/>
  <c r="O137" i="15" s="1"/>
  <c r="O87" i="15"/>
  <c r="O84" i="15"/>
  <c r="O134" i="15" s="1"/>
  <c r="O62" i="15"/>
  <c r="O59" i="15"/>
  <c r="O58" i="15"/>
  <c r="O49" i="15"/>
  <c r="O61" i="15" s="1"/>
  <c r="O83" i="15" s="1"/>
  <c r="O147" i="15" s="1"/>
  <c r="O47" i="15"/>
  <c r="O41" i="15"/>
  <c r="O39" i="15"/>
  <c r="O38" i="15"/>
  <c r="O37" i="15"/>
  <c r="O36" i="15"/>
  <c r="O35" i="15"/>
  <c r="O10" i="15"/>
  <c r="O17" i="15" s="1"/>
  <c r="O8" i="15"/>
  <c r="D164" i="17"/>
  <c r="D176" i="17"/>
  <c r="D174" i="17"/>
  <c r="D184" i="17" s="1"/>
  <c r="D185" i="17" s="1"/>
  <c r="D171" i="17"/>
  <c r="D170" i="17"/>
  <c r="D169" i="17"/>
  <c r="D168" i="17"/>
  <c r="D167" i="17"/>
  <c r="D166" i="17"/>
  <c r="C191" i="17"/>
  <c r="C192" i="17" s="1"/>
  <c r="C193" i="17" s="1"/>
  <c r="C194" i="17" s="1"/>
  <c r="D190" i="17"/>
  <c r="AS38" i="18"/>
  <c r="AS29" i="18"/>
  <c r="AS20" i="18"/>
  <c r="AS11" i="18"/>
  <c r="AV192" i="15"/>
  <c r="AV219" i="15" s="1"/>
  <c r="AV193" i="15"/>
  <c r="AV248" i="15" s="1"/>
  <c r="AV108" i="15"/>
  <c r="AT108" i="15"/>
  <c r="AU108" i="15"/>
  <c r="AV107" i="15"/>
  <c r="BA8" i="15"/>
  <c r="AZ10" i="15"/>
  <c r="AZ17" i="15" s="1"/>
  <c r="AZ23" i="15" s="1"/>
  <c r="AZ25" i="15" s="1"/>
  <c r="AZ27" i="15" s="1"/>
  <c r="AZ32" i="15" s="1"/>
  <c r="BA10" i="15"/>
  <c r="BA17" i="15" s="1"/>
  <c r="BA23" i="15" s="1"/>
  <c r="BA25" i="15" s="1"/>
  <c r="BA27" i="15" s="1"/>
  <c r="BA32" i="15" s="1"/>
  <c r="AV196" i="15"/>
  <c r="AV175" i="15"/>
  <c r="AV153" i="15"/>
  <c r="AV150" i="15"/>
  <c r="AV140" i="15"/>
  <c r="AV104" i="15"/>
  <c r="AV103" i="15"/>
  <c r="AV102" i="15"/>
  <c r="AV99" i="15"/>
  <c r="AV93" i="15"/>
  <c r="AV121" i="15" s="1"/>
  <c r="AV213" i="15" s="1"/>
  <c r="AV133" i="15" s="1"/>
  <c r="AV62" i="15"/>
  <c r="AV157" i="15" s="1"/>
  <c r="AV59" i="15"/>
  <c r="AV58" i="15"/>
  <c r="AV49" i="15"/>
  <c r="AV61" i="15" s="1"/>
  <c r="AV83" i="15" s="1"/>
  <c r="AV147" i="15" s="1"/>
  <c r="AV39" i="15"/>
  <c r="AV38" i="15"/>
  <c r="AV37" i="15"/>
  <c r="AV36" i="15"/>
  <c r="AV35" i="15"/>
  <c r="AV10" i="15"/>
  <c r="AV17" i="15" s="1"/>
  <c r="AV8" i="15"/>
  <c r="CE7" i="15"/>
  <c r="D223" i="17"/>
  <c r="D221" i="17"/>
  <c r="D231" i="17" s="1"/>
  <c r="D232" i="17" s="1"/>
  <c r="D217" i="17"/>
  <c r="D239" i="17" s="1"/>
  <c r="D218" i="17"/>
  <c r="D216" i="17"/>
  <c r="D215" i="17"/>
  <c r="D214" i="17"/>
  <c r="D213" i="17"/>
  <c r="D212" i="17"/>
  <c r="D211" i="17"/>
  <c r="C238" i="17"/>
  <c r="C239" i="17" s="1"/>
  <c r="C240" i="17" s="1"/>
  <c r="C241" i="17" s="1"/>
  <c r="AR38" i="18"/>
  <c r="AR29" i="18"/>
  <c r="AR20" i="18"/>
  <c r="AR11" i="18"/>
  <c r="AU241" i="15"/>
  <c r="AT241" i="15"/>
  <c r="AS241" i="15"/>
  <c r="AR241" i="15"/>
  <c r="AQ241" i="15"/>
  <c r="AP241" i="15"/>
  <c r="M116" i="15"/>
  <c r="N116" i="15"/>
  <c r="AU107" i="15"/>
  <c r="AU72" i="15"/>
  <c r="AU65" i="15"/>
  <c r="AU64" i="15"/>
  <c r="AU51" i="15"/>
  <c r="AU216" i="15"/>
  <c r="AU248" i="15"/>
  <c r="AU219" i="15"/>
  <c r="AU196" i="15"/>
  <c r="AU175" i="15"/>
  <c r="AU243" i="15" s="1"/>
  <c r="AU153" i="15"/>
  <c r="AU140" i="15"/>
  <c r="AU203" i="15" s="1"/>
  <c r="AU104" i="15"/>
  <c r="AU102" i="15"/>
  <c r="AU99" i="15"/>
  <c r="AU93" i="15"/>
  <c r="AU121" i="15" s="1"/>
  <c r="AU213" i="15" s="1"/>
  <c r="AU133" i="15" s="1"/>
  <c r="AU71" i="15"/>
  <c r="AU68" i="15"/>
  <c r="AU62" i="15"/>
  <c r="AU223" i="15" s="1"/>
  <c r="AU58" i="15"/>
  <c r="AU49" i="15"/>
  <c r="AU61" i="15" s="1"/>
  <c r="AU83" i="15" s="1"/>
  <c r="AU147" i="15" s="1"/>
  <c r="J253" i="17"/>
  <c r="E93" i="17" l="1"/>
  <c r="E92" i="17"/>
  <c r="E94" i="17" s="1"/>
  <c r="E105" i="17"/>
  <c r="E104" i="17"/>
  <c r="E103" i="17"/>
  <c r="E102" i="17"/>
  <c r="E101" i="17"/>
  <c r="E100" i="17"/>
  <c r="E99" i="17"/>
  <c r="D21" i="17"/>
  <c r="D27" i="17" s="1"/>
  <c r="E31" i="17"/>
  <c r="E19" i="17"/>
  <c r="E18" i="17"/>
  <c r="E15" i="17"/>
  <c r="E14" i="17"/>
  <c r="E13" i="17" s="1"/>
  <c r="E11" i="17"/>
  <c r="E10" i="17"/>
  <c r="E26" i="17"/>
  <c r="E24" i="17"/>
  <c r="E22" i="17"/>
  <c r="AX233" i="15"/>
  <c r="AX232" i="15"/>
  <c r="AX231" i="15"/>
  <c r="AX229" i="15"/>
  <c r="AX226" i="15"/>
  <c r="AX225" i="15"/>
  <c r="AX219" i="15"/>
  <c r="AX221" i="15" s="1"/>
  <c r="AX235" i="15"/>
  <c r="P108" i="15"/>
  <c r="AX109" i="15"/>
  <c r="AX243" i="15"/>
  <c r="AX203" i="15"/>
  <c r="AX248" i="15"/>
  <c r="P193" i="15"/>
  <c r="P194" i="15" s="1"/>
  <c r="J111" i="17"/>
  <c r="AX224" i="15"/>
  <c r="AX158" i="15"/>
  <c r="AU167" i="15"/>
  <c r="AU226" i="15"/>
  <c r="AU159" i="15"/>
  <c r="AU166" i="15"/>
  <c r="AU229" i="15"/>
  <c r="P116" i="15"/>
  <c r="AX241" i="15"/>
  <c r="AX228" i="15"/>
  <c r="AX46" i="15"/>
  <c r="AX162" i="15"/>
  <c r="P18" i="15"/>
  <c r="AX41" i="15"/>
  <c r="AW104" i="15"/>
  <c r="AX155" i="15"/>
  <c r="AX171" i="15"/>
  <c r="AX237" i="15"/>
  <c r="AX168" i="15"/>
  <c r="AX234" i="15"/>
  <c r="AX223" i="15"/>
  <c r="AX66" i="15"/>
  <c r="AX17" i="15"/>
  <c r="AX11" i="15"/>
  <c r="O193" i="15"/>
  <c r="AW248" i="15"/>
  <c r="D128" i="17"/>
  <c r="D126" i="17"/>
  <c r="D136" i="17" s="1"/>
  <c r="D137" i="17" s="1"/>
  <c r="AW62" i="15"/>
  <c r="AX87" i="15"/>
  <c r="AW216" i="15"/>
  <c r="AX84" i="15"/>
  <c r="AW37" i="15"/>
  <c r="AW38" i="15"/>
  <c r="AV243" i="15"/>
  <c r="AW36" i="15"/>
  <c r="AW39" i="15"/>
  <c r="O192" i="15"/>
  <c r="AW150" i="15"/>
  <c r="AV203" i="15"/>
  <c r="D147" i="17"/>
  <c r="AW41" i="15"/>
  <c r="AW175" i="15"/>
  <c r="AW243" i="15" s="1"/>
  <c r="AW99" i="15"/>
  <c r="O129" i="15"/>
  <c r="O188" i="15" s="1"/>
  <c r="O100" i="15"/>
  <c r="AW35" i="15"/>
  <c r="AW219" i="15"/>
  <c r="AX250" i="15" s="1"/>
  <c r="AW102" i="15"/>
  <c r="AW10" i="15"/>
  <c r="AW84" i="15"/>
  <c r="AW134" i="15" s="1"/>
  <c r="AW197" i="15" s="1"/>
  <c r="AW103" i="15"/>
  <c r="AW140" i="15"/>
  <c r="AW203" i="15" s="1"/>
  <c r="AW153" i="15"/>
  <c r="AW59" i="15"/>
  <c r="AW87" i="15"/>
  <c r="D130" i="17" s="1"/>
  <c r="O109" i="15"/>
  <c r="O113" i="15" s="1"/>
  <c r="O126" i="15"/>
  <c r="O180" i="15" s="1"/>
  <c r="O46" i="15"/>
  <c r="O171" i="15"/>
  <c r="O11" i="15"/>
  <c r="O162" i="15"/>
  <c r="O50" i="15"/>
  <c r="O52" i="15" s="1"/>
  <c r="O40" i="15"/>
  <c r="O85" i="15"/>
  <c r="O23" i="15"/>
  <c r="O155" i="15"/>
  <c r="O135" i="15"/>
  <c r="O157" i="15"/>
  <c r="O66" i="15"/>
  <c r="O158" i="15"/>
  <c r="O128" i="15"/>
  <c r="O187" i="15" s="1"/>
  <c r="O168" i="15"/>
  <c r="O169" i="15"/>
  <c r="D192" i="17"/>
  <c r="D198" i="17"/>
  <c r="D195" i="17"/>
  <c r="AV64" i="15"/>
  <c r="AV65" i="15"/>
  <c r="AV216" i="15"/>
  <c r="AV221" i="15" s="1"/>
  <c r="AV51" i="15"/>
  <c r="AV241" i="15"/>
  <c r="AV72" i="15"/>
  <c r="AZ11" i="15"/>
  <c r="BA11" i="15"/>
  <c r="AV109" i="15"/>
  <c r="AV114" i="15" s="1"/>
  <c r="AV155" i="15"/>
  <c r="AV50" i="15"/>
  <c r="AV40" i="15"/>
  <c r="AV23" i="15"/>
  <c r="AV11" i="15"/>
  <c r="AV68" i="15"/>
  <c r="AV223" i="15"/>
  <c r="AV71" i="15"/>
  <c r="D245" i="17"/>
  <c r="D242" i="17"/>
  <c r="D237" i="17"/>
  <c r="AU225" i="15"/>
  <c r="AU232" i="15"/>
  <c r="AU109" i="15"/>
  <c r="D219" i="17" s="1"/>
  <c r="AU233" i="15"/>
  <c r="AU160" i="15"/>
  <c r="AU36" i="15"/>
  <c r="AU59" i="15"/>
  <c r="AU37" i="15"/>
  <c r="AU35" i="15"/>
  <c r="AU38" i="15"/>
  <c r="AU103" i="15"/>
  <c r="AU150" i="15"/>
  <c r="AU155" i="15" s="1"/>
  <c r="AU8" i="15"/>
  <c r="AU39" i="15"/>
  <c r="AU221" i="15"/>
  <c r="AU10" i="15"/>
  <c r="AU47" i="15"/>
  <c r="AU163" i="15"/>
  <c r="AU157" i="15"/>
  <c r="R63" i="15"/>
  <c r="V63" i="15"/>
  <c r="W63" i="15" s="1"/>
  <c r="X63" i="15" s="1"/>
  <c r="N63" i="15"/>
  <c r="M63" i="15"/>
  <c r="L63" i="15"/>
  <c r="K63" i="15"/>
  <c r="J63" i="15"/>
  <c r="I63" i="15"/>
  <c r="H63" i="15"/>
  <c r="G63" i="15"/>
  <c r="F63" i="15"/>
  <c r="E63" i="15"/>
  <c r="D63" i="15"/>
  <c r="Z63" i="15"/>
  <c r="AA63" i="15" s="1"/>
  <c r="AB63" i="15" s="1"/>
  <c r="AD63" i="15"/>
  <c r="AE63" i="15" s="1"/>
  <c r="AF63" i="15" s="1"/>
  <c r="AH63" i="15"/>
  <c r="AI63" i="15" s="1"/>
  <c r="AJ63" i="15" s="1"/>
  <c r="AL63" i="15"/>
  <c r="AM63" i="15" s="1"/>
  <c r="AN63" i="15" s="1"/>
  <c r="J252" i="17"/>
  <c r="D269" i="17"/>
  <c r="D267" i="17"/>
  <c r="D277" i="17" s="1"/>
  <c r="D278" i="17" s="1"/>
  <c r="D264" i="17"/>
  <c r="D263" i="17"/>
  <c r="D262" i="17"/>
  <c r="D261" i="17"/>
  <c r="D260" i="17"/>
  <c r="D259" i="17"/>
  <c r="D258" i="17"/>
  <c r="D283" i="17" s="1"/>
  <c r="D257" i="17"/>
  <c r="D291" i="17" s="1"/>
  <c r="C284" i="17"/>
  <c r="C285" i="17" s="1"/>
  <c r="C286" i="17" s="1"/>
  <c r="C287" i="17" s="1"/>
  <c r="K29" i="18"/>
  <c r="E9" i="17" l="1"/>
  <c r="E95" i="17"/>
  <c r="E106" i="17"/>
  <c r="E17" i="17"/>
  <c r="E21" i="17" s="1"/>
  <c r="D32" i="17"/>
  <c r="F21" i="17"/>
  <c r="D23" i="17"/>
  <c r="F23" i="17" s="1"/>
  <c r="D25" i="17"/>
  <c r="F25" i="17" s="1"/>
  <c r="AX114" i="15"/>
  <c r="AX42" i="15"/>
  <c r="AX113" i="15"/>
  <c r="O203" i="15"/>
  <c r="O194" i="15"/>
  <c r="E130" i="17"/>
  <c r="AW64" i="15"/>
  <c r="P64" i="15"/>
  <c r="AV226" i="15"/>
  <c r="AW72" i="15"/>
  <c r="P72" i="15" s="1"/>
  <c r="O248" i="15"/>
  <c r="O243" i="15"/>
  <c r="O241" i="15"/>
  <c r="J158" i="17"/>
  <c r="P241" i="15"/>
  <c r="AW157" i="15"/>
  <c r="AW223" i="15"/>
  <c r="O237" i="15"/>
  <c r="O231" i="15"/>
  <c r="O225" i="15"/>
  <c r="AV47" i="15"/>
  <c r="AX141" i="15"/>
  <c r="AX204" i="15" s="1"/>
  <c r="AX178" i="15"/>
  <c r="AX119" i="15"/>
  <c r="AX124" i="15"/>
  <c r="AX246" i="15"/>
  <c r="AX253" i="15" s="1"/>
  <c r="AX131" i="15"/>
  <c r="AX190" i="15" s="1"/>
  <c r="AX142" i="15"/>
  <c r="AX205" i="15" s="1"/>
  <c r="AX177" i="15"/>
  <c r="AX245" i="15"/>
  <c r="AX123" i="15"/>
  <c r="AX69" i="15"/>
  <c r="AX161" i="15"/>
  <c r="AX227" i="15"/>
  <c r="AX23" i="15"/>
  <c r="AX40" i="15"/>
  <c r="AX50" i="15"/>
  <c r="AX52" i="15" s="1"/>
  <c r="J205" i="17"/>
  <c r="E237" i="17" s="1"/>
  <c r="J110" i="17"/>
  <c r="AX126" i="15"/>
  <c r="AX180" i="15" s="1"/>
  <c r="AX135" i="15"/>
  <c r="AX182" i="15" s="1"/>
  <c r="AX100" i="15"/>
  <c r="AX134" i="15"/>
  <c r="AX197" i="15" s="1"/>
  <c r="O226" i="15"/>
  <c r="O224" i="15"/>
  <c r="O223" i="15"/>
  <c r="O219" i="15"/>
  <c r="O201" i="15"/>
  <c r="O234" i="15"/>
  <c r="O229" i="15"/>
  <c r="O235" i="15"/>
  <c r="O197" i="15"/>
  <c r="O233" i="15"/>
  <c r="O216" i="15"/>
  <c r="AX255" i="15"/>
  <c r="O232" i="15"/>
  <c r="O228" i="15"/>
  <c r="O200" i="15"/>
  <c r="AW71" i="15"/>
  <c r="P71" i="15" s="1"/>
  <c r="AW65" i="15"/>
  <c r="P65" i="15" s="1"/>
  <c r="AW51" i="15"/>
  <c r="P51" i="15" s="1"/>
  <c r="AW68" i="15"/>
  <c r="P68" i="15" s="1"/>
  <c r="O42" i="15"/>
  <c r="O114" i="15"/>
  <c r="O141" i="15" s="1"/>
  <c r="O204" i="15" s="1"/>
  <c r="AV52" i="15"/>
  <c r="AW155" i="15"/>
  <c r="AW221" i="15"/>
  <c r="AW225" i="15"/>
  <c r="AW159" i="15"/>
  <c r="S63" i="15"/>
  <c r="T63" i="15" s="1"/>
  <c r="AW135" i="15"/>
  <c r="AW126" i="15"/>
  <c r="AW180" i="15" s="1"/>
  <c r="AW11" i="15"/>
  <c r="AW17" i="15"/>
  <c r="AW233" i="15"/>
  <c r="AW167" i="15"/>
  <c r="AW100" i="15"/>
  <c r="O86" i="15"/>
  <c r="O56" i="15"/>
  <c r="O54" i="15"/>
  <c r="J206" i="17"/>
  <c r="J159" i="17"/>
  <c r="D172" i="17"/>
  <c r="D173" i="17" s="1"/>
  <c r="D175" i="17" s="1"/>
  <c r="O136" i="15"/>
  <c r="O198" i="15"/>
  <c r="O199" i="15" s="1"/>
  <c r="O182" i="15"/>
  <c r="O250" i="15" s="1"/>
  <c r="O255" i="15" s="1"/>
  <c r="O227" i="15"/>
  <c r="O161" i="15"/>
  <c r="O69" i="15"/>
  <c r="O25" i="15"/>
  <c r="O27" i="15" s="1"/>
  <c r="O44" i="15"/>
  <c r="O43" i="15"/>
  <c r="O245" i="15"/>
  <c r="O177" i="15"/>
  <c r="O123" i="15"/>
  <c r="O142" i="15"/>
  <c r="O205" i="15" s="1"/>
  <c r="O131" i="15"/>
  <c r="O190" i="15" s="1"/>
  <c r="AV113" i="15"/>
  <c r="AV245" i="15" s="1"/>
  <c r="AU113" i="15"/>
  <c r="AU142" i="15" s="1"/>
  <c r="AU205" i="15" s="1"/>
  <c r="AV160" i="15"/>
  <c r="AV43" i="15"/>
  <c r="AV25" i="15"/>
  <c r="AV27" i="15" s="1"/>
  <c r="AV44" i="15"/>
  <c r="AV166" i="15"/>
  <c r="AV232" i="15"/>
  <c r="AV233" i="15"/>
  <c r="AV167" i="15"/>
  <c r="AV225" i="15"/>
  <c r="AV159" i="15"/>
  <c r="AV163" i="15"/>
  <c r="AV229" i="15"/>
  <c r="AV246" i="15"/>
  <c r="AV141" i="15"/>
  <c r="AV204" i="15" s="1"/>
  <c r="AV119" i="15"/>
  <c r="AV178" i="15"/>
  <c r="D220" i="17"/>
  <c r="D222" i="17" s="1"/>
  <c r="E261" i="17"/>
  <c r="D243" i="17"/>
  <c r="AC63" i="15"/>
  <c r="E262" i="17"/>
  <c r="E269" i="17"/>
  <c r="AU114" i="15"/>
  <c r="AG63" i="15"/>
  <c r="AO63" i="15"/>
  <c r="E264" i="17"/>
  <c r="E256" i="17"/>
  <c r="E283" i="17"/>
  <c r="E291" i="17"/>
  <c r="E257" i="17"/>
  <c r="Y63" i="15"/>
  <c r="AU17" i="15"/>
  <c r="AU11" i="15"/>
  <c r="AK63" i="15"/>
  <c r="E263" i="17"/>
  <c r="E260" i="17"/>
  <c r="D288" i="17"/>
  <c r="E288" i="17" s="1"/>
  <c r="D285" i="17"/>
  <c r="E285" i="17" s="1"/>
  <c r="E258" i="17"/>
  <c r="E259" i="17"/>
  <c r="E267" i="17"/>
  <c r="E277" i="17" s="1"/>
  <c r="E278" i="17" s="1"/>
  <c r="E287" i="17"/>
  <c r="E284" i="17"/>
  <c r="E286" i="17"/>
  <c r="K20" i="18"/>
  <c r="K11" i="18"/>
  <c r="AQ38" i="18"/>
  <c r="AQ29" i="18"/>
  <c r="AQ20" i="18"/>
  <c r="AQ11" i="18"/>
  <c r="AT248" i="15"/>
  <c r="AR248" i="15"/>
  <c r="AQ248" i="15"/>
  <c r="AP248" i="15"/>
  <c r="AE248" i="15"/>
  <c r="P248" i="15"/>
  <c r="AT107" i="15"/>
  <c r="AT76" i="15"/>
  <c r="AT70" i="15"/>
  <c r="AT67" i="15"/>
  <c r="AP63" i="15"/>
  <c r="AQ63" i="15" s="1"/>
  <c r="AR63" i="15" s="1"/>
  <c r="AT63" i="15"/>
  <c r="AT196" i="15"/>
  <c r="AT175" i="15"/>
  <c r="AT243" i="15" s="1"/>
  <c r="AT167" i="15"/>
  <c r="AT166" i="15"/>
  <c r="AT163" i="15"/>
  <c r="AT160" i="15"/>
  <c r="AT159" i="15"/>
  <c r="AT153" i="15"/>
  <c r="AX154" i="15" s="1"/>
  <c r="AT150" i="15"/>
  <c r="AX151" i="15" s="1"/>
  <c r="AT140" i="15"/>
  <c r="AT203" i="15" s="1"/>
  <c r="AT104" i="15"/>
  <c r="AT103" i="15"/>
  <c r="AT102" i="15"/>
  <c r="AT99" i="15"/>
  <c r="AT93" i="15"/>
  <c r="AT121" i="15" s="1"/>
  <c r="AT213" i="15" s="1"/>
  <c r="AT133" i="15" s="1"/>
  <c r="AT62" i="15"/>
  <c r="AT59" i="15"/>
  <c r="AT58" i="15"/>
  <c r="AT49" i="15"/>
  <c r="AT61" i="15" s="1"/>
  <c r="AT83" i="15" s="1"/>
  <c r="AT147" i="15" s="1"/>
  <c r="AT47" i="15"/>
  <c r="AT39" i="15"/>
  <c r="AT38" i="15"/>
  <c r="AT37" i="15"/>
  <c r="AT36" i="15"/>
  <c r="AT35" i="15"/>
  <c r="AT10" i="15"/>
  <c r="AT17" i="15" s="1"/>
  <c r="AT8" i="15"/>
  <c r="C331" i="17"/>
  <c r="C332" i="17" s="1"/>
  <c r="C333" i="17" s="1"/>
  <c r="C334" i="17" s="1"/>
  <c r="D310" i="17"/>
  <c r="D332" i="17" s="1"/>
  <c r="D311" i="17"/>
  <c r="D309" i="17"/>
  <c r="D308" i="17"/>
  <c r="D307" i="17"/>
  <c r="D306" i="17"/>
  <c r="D305" i="17"/>
  <c r="D330" i="17" s="1"/>
  <c r="D304" i="17"/>
  <c r="D303" i="17"/>
  <c r="AP37" i="18"/>
  <c r="AP36" i="18"/>
  <c r="AP35" i="18"/>
  <c r="AP28" i="18"/>
  <c r="AP27" i="18"/>
  <c r="AP26" i="18"/>
  <c r="AP19" i="18"/>
  <c r="AP18" i="18"/>
  <c r="AP17" i="18"/>
  <c r="AP10" i="18"/>
  <c r="AP9" i="18"/>
  <c r="AP8" i="18"/>
  <c r="N208" i="15"/>
  <c r="M208" i="15"/>
  <c r="N193" i="15"/>
  <c r="N194" i="15" s="1"/>
  <c r="AS118" i="15"/>
  <c r="D316" i="17" s="1"/>
  <c r="AS111" i="15"/>
  <c r="AS98" i="15"/>
  <c r="AS97" i="15"/>
  <c r="AS96" i="15"/>
  <c r="AS95" i="15"/>
  <c r="AS57" i="15"/>
  <c r="AS30" i="15"/>
  <c r="AS29" i="15"/>
  <c r="AS26" i="15"/>
  <c r="AS24" i="15"/>
  <c r="AS22" i="15"/>
  <c r="AS21" i="15"/>
  <c r="AS20" i="15"/>
  <c r="AS19" i="15"/>
  <c r="AS18" i="15"/>
  <c r="AS16" i="15"/>
  <c r="AS15" i="15"/>
  <c r="AS14" i="15"/>
  <c r="AS13" i="15"/>
  <c r="AS12" i="15"/>
  <c r="AS9" i="15"/>
  <c r="AS7" i="15"/>
  <c r="AS196" i="15"/>
  <c r="AS93" i="15"/>
  <c r="AS121" i="15" s="1"/>
  <c r="AS213" i="15" s="1"/>
  <c r="AS133" i="15" s="1"/>
  <c r="AS49" i="15"/>
  <c r="AS61" i="15" s="1"/>
  <c r="AS83" i="15" s="1"/>
  <c r="AS147" i="15" s="1"/>
  <c r="E32" i="17" l="1"/>
  <c r="E193" i="17"/>
  <c r="E195" i="17"/>
  <c r="E194" i="17"/>
  <c r="E164" i="17"/>
  <c r="E168" i="17"/>
  <c r="E198" i="17"/>
  <c r="E174" i="17"/>
  <c r="E184" i="17" s="1"/>
  <c r="E185" i="17" s="1"/>
  <c r="E167" i="17"/>
  <c r="E176" i="17"/>
  <c r="E191" i="17"/>
  <c r="AX85" i="15"/>
  <c r="E171" i="17"/>
  <c r="E166" i="17"/>
  <c r="E165" i="17"/>
  <c r="E192" i="17"/>
  <c r="E163" i="17"/>
  <c r="E170" i="17"/>
  <c r="E190" i="17"/>
  <c r="E169" i="17"/>
  <c r="O221" i="15"/>
  <c r="AV56" i="15"/>
  <c r="AV54" i="15"/>
  <c r="AX143" i="15"/>
  <c r="AX185" i="15"/>
  <c r="AX252" i="15"/>
  <c r="AX260" i="15"/>
  <c r="AX144" i="15"/>
  <c r="AX184" i="15"/>
  <c r="AX75" i="15"/>
  <c r="AX77" i="15" s="1"/>
  <c r="AX230" i="15"/>
  <c r="AX164" i="15"/>
  <c r="AX25" i="15"/>
  <c r="AX27" i="15" s="1"/>
  <c r="AX43" i="15"/>
  <c r="AX44" i="15"/>
  <c r="AX54" i="15"/>
  <c r="AX56" i="15"/>
  <c r="E219" i="17"/>
  <c r="E241" i="17"/>
  <c r="E238" i="17"/>
  <c r="E240" i="17"/>
  <c r="E221" i="17"/>
  <c r="E231" i="17" s="1"/>
  <c r="E232" i="17" s="1"/>
  <c r="E242" i="17"/>
  <c r="E223" i="17"/>
  <c r="E217" i="17"/>
  <c r="E245" i="17"/>
  <c r="E215" i="17"/>
  <c r="E214" i="17"/>
  <c r="E213" i="17"/>
  <c r="E216" i="17"/>
  <c r="E218" i="17"/>
  <c r="E211" i="17"/>
  <c r="E239" i="17"/>
  <c r="E212" i="17"/>
  <c r="E210" i="17"/>
  <c r="E126" i="17"/>
  <c r="E147" i="17"/>
  <c r="E121" i="17"/>
  <c r="E120" i="17"/>
  <c r="E150" i="17"/>
  <c r="E144" i="17"/>
  <c r="E142" i="17"/>
  <c r="E119" i="17"/>
  <c r="E118" i="17"/>
  <c r="E128" i="17"/>
  <c r="E136" i="17"/>
  <c r="E137" i="17" s="1"/>
  <c r="E117" i="17"/>
  <c r="E145" i="17"/>
  <c r="E123" i="17"/>
  <c r="E115" i="17"/>
  <c r="E116" i="17"/>
  <c r="E122" i="17"/>
  <c r="E143" i="17"/>
  <c r="E146" i="17"/>
  <c r="AX198" i="15"/>
  <c r="AX136" i="15"/>
  <c r="E243" i="17"/>
  <c r="AW232" i="15"/>
  <c r="AW166" i="15"/>
  <c r="AX88" i="15"/>
  <c r="AW163" i="15"/>
  <c r="AW229" i="15"/>
  <c r="AU63" i="15"/>
  <c r="AW47" i="15"/>
  <c r="O178" i="15"/>
  <c r="AU67" i="15"/>
  <c r="AU73" i="15"/>
  <c r="AU76" i="15"/>
  <c r="O246" i="15"/>
  <c r="O253" i="15" s="1"/>
  <c r="O119" i="15"/>
  <c r="O124" i="15"/>
  <c r="O206" i="15"/>
  <c r="AW88" i="15"/>
  <c r="AW226" i="15"/>
  <c r="AX258" i="15" s="1"/>
  <c r="AW160" i="15"/>
  <c r="AW50" i="15"/>
  <c r="AW52" i="15" s="1"/>
  <c r="AW40" i="15"/>
  <c r="AW85" i="15"/>
  <c r="AW23" i="15"/>
  <c r="AW136" i="15"/>
  <c r="AW198" i="15"/>
  <c r="AW199" i="15" s="1"/>
  <c r="AW182" i="15"/>
  <c r="AU131" i="15"/>
  <c r="AU190" i="15" s="1"/>
  <c r="U63" i="15"/>
  <c r="AU70" i="15"/>
  <c r="AW8" i="15"/>
  <c r="AW58" i="15"/>
  <c r="AU74" i="15"/>
  <c r="AU245" i="15"/>
  <c r="AU260" i="15" s="1"/>
  <c r="D196" i="17"/>
  <c r="E196" i="17" s="1"/>
  <c r="O207" i="15"/>
  <c r="AU177" i="15"/>
  <c r="O89" i="15"/>
  <c r="O32" i="15"/>
  <c r="O75" i="15"/>
  <c r="O77" i="15" s="1"/>
  <c r="O91" i="15"/>
  <c r="O139" i="15" s="1"/>
  <c r="O202" i="15" s="1"/>
  <c r="O230" i="15"/>
  <c r="O164" i="15"/>
  <c r="E172" i="17"/>
  <c r="O184" i="15"/>
  <c r="O144" i="15"/>
  <c r="O258" i="15"/>
  <c r="O257" i="15"/>
  <c r="O260" i="15"/>
  <c r="O252" i="15"/>
  <c r="D180" i="17"/>
  <c r="D177" i="17"/>
  <c r="AV42" i="15"/>
  <c r="AV177" i="15"/>
  <c r="AV131" i="15"/>
  <c r="AV190" i="15" s="1"/>
  <c r="AV142" i="15"/>
  <c r="AV205" i="15" s="1"/>
  <c r="AV260" i="15"/>
  <c r="AV41" i="15"/>
  <c r="D227" i="17"/>
  <c r="AV84" i="15"/>
  <c r="AV87" i="15"/>
  <c r="D178" i="17" s="1"/>
  <c r="E178" i="17" s="1"/>
  <c r="AV32" i="15"/>
  <c r="D224" i="17"/>
  <c r="D244" i="17"/>
  <c r="D246" i="17" s="1"/>
  <c r="N248" i="15"/>
  <c r="N241" i="15"/>
  <c r="AU178" i="15"/>
  <c r="AU141" i="15"/>
  <c r="AU204" i="15" s="1"/>
  <c r="AU246" i="15"/>
  <c r="AU119" i="15"/>
  <c r="AT169" i="15"/>
  <c r="AS39" i="15"/>
  <c r="AU42" i="15"/>
  <c r="AS102" i="15"/>
  <c r="AU40" i="15"/>
  <c r="AU50" i="15"/>
  <c r="AU52" i="15" s="1"/>
  <c r="AU23" i="15"/>
  <c r="AT41" i="15"/>
  <c r="AU41" i="15"/>
  <c r="AS84" i="15"/>
  <c r="AS134" i="15" s="1"/>
  <c r="AU84" i="15"/>
  <c r="AS153" i="15"/>
  <c r="AW154" i="15" s="1"/>
  <c r="AU87" i="15"/>
  <c r="AT162" i="15"/>
  <c r="AT168" i="15"/>
  <c r="AS248" i="15"/>
  <c r="AT165" i="15"/>
  <c r="AU237" i="15"/>
  <c r="AU171" i="15"/>
  <c r="AT237" i="15"/>
  <c r="AP29" i="18"/>
  <c r="AP11" i="18"/>
  <c r="AP38" i="18"/>
  <c r="AP20" i="18"/>
  <c r="AS37" i="15"/>
  <c r="AT109" i="15"/>
  <c r="D265" i="17" s="1"/>
  <c r="D266" i="17" s="1"/>
  <c r="D270" i="17" s="1"/>
  <c r="AS103" i="15"/>
  <c r="AT231" i="15"/>
  <c r="AS175" i="15"/>
  <c r="AS243" i="15" s="1"/>
  <c r="AS41" i="15"/>
  <c r="AS36" i="15"/>
  <c r="AT223" i="15"/>
  <c r="AT46" i="15"/>
  <c r="AT155" i="15"/>
  <c r="AT23" i="15"/>
  <c r="AT50" i="15"/>
  <c r="AT52" i="15" s="1"/>
  <c r="AX53" i="15" s="1"/>
  <c r="AT40" i="15"/>
  <c r="AT171" i="15"/>
  <c r="AT232" i="15"/>
  <c r="AT87" i="15"/>
  <c r="AT225" i="15"/>
  <c r="AT233" i="15"/>
  <c r="AT157" i="15"/>
  <c r="AT216" i="15"/>
  <c r="AX217" i="15" s="1"/>
  <c r="AT226" i="15"/>
  <c r="AT234" i="15"/>
  <c r="AT219" i="15"/>
  <c r="D314" i="17"/>
  <c r="D324" i="17" s="1"/>
  <c r="D325" i="17" s="1"/>
  <c r="AS99" i="15"/>
  <c r="AT235" i="15"/>
  <c r="AT11" i="15"/>
  <c r="AT229" i="15"/>
  <c r="AT228" i="15"/>
  <c r="J299" i="17"/>
  <c r="E309" i="17" s="1"/>
  <c r="AT84" i="15"/>
  <c r="AS140" i="15"/>
  <c r="AS203" i="15" s="1"/>
  <c r="AS38" i="15"/>
  <c r="D338" i="17"/>
  <c r="D335" i="17"/>
  <c r="AS10" i="15"/>
  <c r="AS59" i="15"/>
  <c r="AS87" i="15"/>
  <c r="AS126" i="15" s="1"/>
  <c r="AS180" i="15" s="1"/>
  <c r="AS104" i="15"/>
  <c r="AS62" i="15"/>
  <c r="AS35" i="15"/>
  <c r="AS150" i="15"/>
  <c r="AW151" i="15" s="1"/>
  <c r="AS108" i="15"/>
  <c r="N107" i="15"/>
  <c r="AS107" i="15" s="1"/>
  <c r="AM71" i="15"/>
  <c r="AN71" i="15" s="1"/>
  <c r="AL74" i="15"/>
  <c r="AM74" i="15" s="1"/>
  <c r="AN74" i="15" s="1"/>
  <c r="AQ71" i="15"/>
  <c r="AP74" i="15"/>
  <c r="M74" i="15"/>
  <c r="N76" i="15"/>
  <c r="N74" i="15"/>
  <c r="N73" i="15"/>
  <c r="N67" i="15"/>
  <c r="N196" i="15"/>
  <c r="N175" i="15"/>
  <c r="N167" i="15"/>
  <c r="N166" i="15"/>
  <c r="N163" i="15"/>
  <c r="N160" i="15"/>
  <c r="N159" i="15"/>
  <c r="N153" i="15"/>
  <c r="O154" i="15" s="1"/>
  <c r="N150" i="15"/>
  <c r="O151" i="15" s="1"/>
  <c r="N140" i="15"/>
  <c r="N104" i="15"/>
  <c r="N103" i="15"/>
  <c r="N102" i="15"/>
  <c r="N99" i="15"/>
  <c r="N93" i="15"/>
  <c r="N121" i="15" s="1"/>
  <c r="N213" i="15" s="1"/>
  <c r="N133" i="15" s="1"/>
  <c r="N88" i="15"/>
  <c r="N137" i="15" s="1"/>
  <c r="N87" i="15"/>
  <c r="N126" i="15" s="1"/>
  <c r="N180" i="15" s="1"/>
  <c r="N84" i="15"/>
  <c r="N134" i="15" s="1"/>
  <c r="N62" i="15"/>
  <c r="N59" i="15"/>
  <c r="N58" i="15"/>
  <c r="N49" i="15"/>
  <c r="N61" i="15" s="1"/>
  <c r="N83" i="15" s="1"/>
  <c r="N147" i="15" s="1"/>
  <c r="N47" i="15"/>
  <c r="N41" i="15"/>
  <c r="N39" i="15"/>
  <c r="N38" i="15"/>
  <c r="N37" i="15"/>
  <c r="N36" i="15"/>
  <c r="N35" i="15"/>
  <c r="N10" i="15"/>
  <c r="N17" i="15" s="1"/>
  <c r="N8" i="15"/>
  <c r="E25" i="17" l="1"/>
  <c r="G25" i="17" s="1"/>
  <c r="E197" i="17"/>
  <c r="E199" i="17" s="1"/>
  <c r="E220" i="17"/>
  <c r="E173" i="17"/>
  <c r="AV63" i="15"/>
  <c r="AV66" i="15" s="1"/>
  <c r="AU158" i="15"/>
  <c r="AU224" i="15"/>
  <c r="AV67" i="15"/>
  <c r="AW67" i="15"/>
  <c r="P67" i="15" s="1"/>
  <c r="AV73" i="15"/>
  <c r="AV76" i="15"/>
  <c r="O143" i="15"/>
  <c r="O185" i="15"/>
  <c r="AV74" i="15"/>
  <c r="AW74" i="15" s="1"/>
  <c r="P74" i="15" s="1"/>
  <c r="AV235" i="15"/>
  <c r="AV169" i="15"/>
  <c r="AX86" i="15"/>
  <c r="E244" i="17"/>
  <c r="E246" i="17" s="1"/>
  <c r="AX78" i="15"/>
  <c r="AX170" i="15"/>
  <c r="AX236" i="15"/>
  <c r="AX32" i="15"/>
  <c r="AX207" i="15"/>
  <c r="AX206" i="15"/>
  <c r="AX199" i="15"/>
  <c r="AX129" i="15"/>
  <c r="AX188" i="15" s="1"/>
  <c r="AX137" i="15"/>
  <c r="AX200" i="15" s="1"/>
  <c r="E224" i="17"/>
  <c r="E222" i="17"/>
  <c r="AX90" i="15"/>
  <c r="AV70" i="15"/>
  <c r="AW70" i="15" s="1"/>
  <c r="AW250" i="15"/>
  <c r="AX220" i="15"/>
  <c r="AU66" i="15"/>
  <c r="AU69" i="15" s="1"/>
  <c r="AU235" i="15"/>
  <c r="AU169" i="15"/>
  <c r="AW25" i="15"/>
  <c r="AW27" i="15" s="1"/>
  <c r="AW43" i="15"/>
  <c r="AW44" i="15"/>
  <c r="AW86" i="15"/>
  <c r="AW54" i="15"/>
  <c r="AW56" i="15"/>
  <c r="AW137" i="15"/>
  <c r="AW200" i="15" s="1"/>
  <c r="AW129" i="15"/>
  <c r="AW188" i="15" s="1"/>
  <c r="D197" i="17"/>
  <c r="D199" i="17" s="1"/>
  <c r="O78" i="15"/>
  <c r="O236" i="15"/>
  <c r="O170" i="15"/>
  <c r="F173" i="17"/>
  <c r="F177" i="17"/>
  <c r="F175" i="17"/>
  <c r="AU126" i="15"/>
  <c r="AU180" i="15" s="1"/>
  <c r="D225" i="17"/>
  <c r="AV134" i="15"/>
  <c r="AV197" i="15" s="1"/>
  <c r="AV100" i="15"/>
  <c r="AV135" i="15"/>
  <c r="AV126" i="15"/>
  <c r="AV180" i="15" s="1"/>
  <c r="AV123" i="15"/>
  <c r="AV124" i="15"/>
  <c r="D271" i="17"/>
  <c r="E271" i="17" s="1"/>
  <c r="J259" i="17" s="1"/>
  <c r="J261" i="17" s="1"/>
  <c r="AT126" i="15"/>
  <c r="AT180" i="15" s="1"/>
  <c r="E265" i="17"/>
  <c r="E266" i="17" s="1"/>
  <c r="E268" i="17" s="1"/>
  <c r="AS100" i="15"/>
  <c r="D289" i="17"/>
  <c r="E289" i="17" s="1"/>
  <c r="E290" i="17" s="1"/>
  <c r="E292" i="17" s="1"/>
  <c r="AT114" i="15"/>
  <c r="AT178" i="15" s="1"/>
  <c r="AT113" i="15"/>
  <c r="AT245" i="15" s="1"/>
  <c r="AT260" i="15" s="1"/>
  <c r="AU43" i="15"/>
  <c r="AU25" i="15"/>
  <c r="AU27" i="15" s="1"/>
  <c r="AU44" i="15"/>
  <c r="AU56" i="15"/>
  <c r="AU54" i="15"/>
  <c r="N129" i="15"/>
  <c r="N188" i="15" s="1"/>
  <c r="D268" i="17"/>
  <c r="AU231" i="15"/>
  <c r="AU165" i="15"/>
  <c r="AU46" i="15"/>
  <c r="AU162" i="15"/>
  <c r="AU228" i="15"/>
  <c r="AU168" i="15"/>
  <c r="AU234" i="15"/>
  <c r="AU135" i="15"/>
  <c r="AU123" i="15"/>
  <c r="AU124" i="15"/>
  <c r="AU161" i="15"/>
  <c r="AU227" i="15"/>
  <c r="AT42" i="15"/>
  <c r="AU134" i="15"/>
  <c r="AU197" i="15" s="1"/>
  <c r="AU100" i="15"/>
  <c r="E307" i="17"/>
  <c r="E303" i="17"/>
  <c r="E335" i="17"/>
  <c r="E316" i="17"/>
  <c r="E332" i="17"/>
  <c r="E311" i="17"/>
  <c r="E304" i="17"/>
  <c r="D318" i="17"/>
  <c r="E330" i="17"/>
  <c r="AT134" i="15"/>
  <c r="AT100" i="15"/>
  <c r="AT221" i="15"/>
  <c r="N109" i="15"/>
  <c r="N42" i="15" s="1"/>
  <c r="AQ74" i="15"/>
  <c r="E334" i="17"/>
  <c r="E331" i="17"/>
  <c r="E333" i="17"/>
  <c r="E308" i="17"/>
  <c r="E306" i="17"/>
  <c r="E305" i="17"/>
  <c r="AS109" i="15"/>
  <c r="N171" i="15"/>
  <c r="AT135" i="15"/>
  <c r="AR71" i="15"/>
  <c r="E338" i="17"/>
  <c r="AT54" i="15"/>
  <c r="AT56" i="15"/>
  <c r="N46" i="15"/>
  <c r="E314" i="17"/>
  <c r="E324" i="17" s="1"/>
  <c r="E325" i="17" s="1"/>
  <c r="AT43" i="15"/>
  <c r="AT25" i="15"/>
  <c r="AT27" i="15" s="1"/>
  <c r="AT44" i="15"/>
  <c r="N168" i="15"/>
  <c r="AT158" i="15"/>
  <c r="AT224" i="15"/>
  <c r="AT66" i="15"/>
  <c r="N169" i="15"/>
  <c r="AS157" i="15"/>
  <c r="AS17" i="15"/>
  <c r="AV85" i="15" s="1"/>
  <c r="AS11" i="15"/>
  <c r="AS155" i="15"/>
  <c r="AS135" i="15"/>
  <c r="N90" i="15"/>
  <c r="N138" i="15" s="1"/>
  <c r="N162" i="15"/>
  <c r="N203" i="15"/>
  <c r="N135" i="15"/>
  <c r="N182" i="15" s="1"/>
  <c r="N11" i="15"/>
  <c r="N100" i="15"/>
  <c r="N155" i="15"/>
  <c r="N40" i="15"/>
  <c r="N50" i="15"/>
  <c r="N52" i="15" s="1"/>
  <c r="O53" i="15" s="1"/>
  <c r="N85" i="15"/>
  <c r="N23" i="15"/>
  <c r="N165" i="15"/>
  <c r="N243" i="15"/>
  <c r="N157" i="15"/>
  <c r="CH30" i="15"/>
  <c r="CH29" i="15"/>
  <c r="CH26" i="15"/>
  <c r="CH24" i="15"/>
  <c r="CH22" i="15"/>
  <c r="CH21" i="15"/>
  <c r="CH20" i="15"/>
  <c r="CH19" i="15"/>
  <c r="CH18" i="15"/>
  <c r="CH16" i="15"/>
  <c r="CH15" i="15"/>
  <c r="CH14" i="15"/>
  <c r="CH13" i="15"/>
  <c r="CH12" i="15"/>
  <c r="CH9" i="15"/>
  <c r="CH7" i="15"/>
  <c r="BX10" i="15"/>
  <c r="BX11" i="15" s="1"/>
  <c r="BX8" i="15"/>
  <c r="BM3" i="15"/>
  <c r="D366" i="17"/>
  <c r="D364" i="17"/>
  <c r="D361" i="17"/>
  <c r="D360" i="17"/>
  <c r="D380" i="17" s="1"/>
  <c r="D359" i="17"/>
  <c r="D358" i="17"/>
  <c r="D357" i="17"/>
  <c r="D356" i="17"/>
  <c r="D355" i="17"/>
  <c r="D354" i="17"/>
  <c r="D353" i="17"/>
  <c r="AS223" i="15"/>
  <c r="AR108" i="15"/>
  <c r="AR107" i="15"/>
  <c r="AO38" i="18"/>
  <c r="AO29" i="18"/>
  <c r="AO20" i="18"/>
  <c r="AO11" i="18"/>
  <c r="AR196" i="15"/>
  <c r="AR175" i="15"/>
  <c r="AR153" i="15"/>
  <c r="AV154" i="15" s="1"/>
  <c r="AR150" i="15"/>
  <c r="AV151" i="15" s="1"/>
  <c r="AR140" i="15"/>
  <c r="AR104" i="15"/>
  <c r="AR103" i="15"/>
  <c r="AR102" i="15"/>
  <c r="AR99" i="15"/>
  <c r="AR93" i="15"/>
  <c r="AR121" i="15" s="1"/>
  <c r="AR213" i="15" s="1"/>
  <c r="AR133" i="15" s="1"/>
  <c r="AR62" i="15"/>
  <c r="AR59" i="15"/>
  <c r="AR58" i="15"/>
  <c r="AR49" i="15"/>
  <c r="AR61" i="15" s="1"/>
  <c r="AR83" i="15" s="1"/>
  <c r="AR147" i="15" s="1"/>
  <c r="AR39" i="15"/>
  <c r="AR38" i="15"/>
  <c r="AR37" i="15"/>
  <c r="AR36" i="15"/>
  <c r="AR35" i="15"/>
  <c r="AR10" i="15"/>
  <c r="AR17" i="15" s="1"/>
  <c r="AR50" i="15" s="1"/>
  <c r="AR8" i="15"/>
  <c r="C381" i="17"/>
  <c r="C382" i="17" s="1"/>
  <c r="C383" i="17" s="1"/>
  <c r="C384" i="17" s="1"/>
  <c r="CG26" i="15"/>
  <c r="BL3" i="15"/>
  <c r="BW10" i="15"/>
  <c r="BW17" i="15" s="1"/>
  <c r="BW23" i="15" s="1"/>
  <c r="BW25" i="15" s="1"/>
  <c r="BW27" i="15" s="1"/>
  <c r="BW32" i="15" s="1"/>
  <c r="BW8" i="15"/>
  <c r="BV30" i="15"/>
  <c r="BV29" i="15"/>
  <c r="BV26" i="15"/>
  <c r="BV24" i="15"/>
  <c r="BV22" i="15"/>
  <c r="BV21" i="15"/>
  <c r="BV20" i="15"/>
  <c r="BV19" i="15"/>
  <c r="BV18" i="15"/>
  <c r="BV16" i="15"/>
  <c r="BV15" i="15"/>
  <c r="BV14" i="15"/>
  <c r="BV13" i="15"/>
  <c r="BV12" i="15"/>
  <c r="BV9" i="15"/>
  <c r="BV7" i="15"/>
  <c r="J398" i="17"/>
  <c r="E430" i="17" s="1"/>
  <c r="AQ70" i="15"/>
  <c r="D415" i="17"/>
  <c r="D413" i="17"/>
  <c r="D410" i="17"/>
  <c r="D409" i="17"/>
  <c r="D429" i="17" s="1"/>
  <c r="D408" i="17"/>
  <c r="D407" i="17"/>
  <c r="D406" i="17"/>
  <c r="D405" i="17"/>
  <c r="D404" i="17"/>
  <c r="D432" i="17" s="1"/>
  <c r="D403" i="17"/>
  <c r="D402" i="17"/>
  <c r="C430" i="17"/>
  <c r="C431" i="17" s="1"/>
  <c r="C432" i="17" s="1"/>
  <c r="C433" i="17" s="1"/>
  <c r="AQ108" i="15"/>
  <c r="AQ107" i="15"/>
  <c r="AQ72" i="15"/>
  <c r="AQ65" i="15"/>
  <c r="AQ64" i="15"/>
  <c r="AQ51" i="15"/>
  <c r="E23" i="17" l="1"/>
  <c r="G23" i="17" s="1"/>
  <c r="G21" i="17"/>
  <c r="E175" i="17"/>
  <c r="G175" i="17" s="1"/>
  <c r="G173" i="17"/>
  <c r="E177" i="17"/>
  <c r="G177" i="17" s="1"/>
  <c r="P70" i="15"/>
  <c r="AV234" i="15"/>
  <c r="AV168" i="15"/>
  <c r="AW73" i="15"/>
  <c r="P73" i="15" s="1"/>
  <c r="AW76" i="15"/>
  <c r="P76" i="15" s="1"/>
  <c r="AV171" i="15"/>
  <c r="AV237" i="15"/>
  <c r="AW63" i="15"/>
  <c r="AV158" i="15"/>
  <c r="AV224" i="15"/>
  <c r="AV46" i="15"/>
  <c r="AV162" i="15"/>
  <c r="AV228" i="15"/>
  <c r="AX89" i="15"/>
  <c r="AV165" i="15"/>
  <c r="AV231" i="15"/>
  <c r="AW165" i="15"/>
  <c r="AW231" i="15"/>
  <c r="AW258" i="15"/>
  <c r="AW255" i="15"/>
  <c r="AW169" i="15"/>
  <c r="AW235" i="15"/>
  <c r="AX172" i="15"/>
  <c r="AX238" i="15"/>
  <c r="AX173" i="15"/>
  <c r="AX239" i="15"/>
  <c r="AX128" i="15"/>
  <c r="AX187" i="15" s="1"/>
  <c r="AX138" i="15"/>
  <c r="AX201" i="15" s="1"/>
  <c r="AV227" i="15"/>
  <c r="AV69" i="15"/>
  <c r="AV161" i="15"/>
  <c r="AW32" i="15"/>
  <c r="AW89" i="15"/>
  <c r="O239" i="15"/>
  <c r="O173" i="15"/>
  <c r="O238" i="15"/>
  <c r="O172" i="15"/>
  <c r="AV136" i="15"/>
  <c r="AV198" i="15"/>
  <c r="AV182" i="15"/>
  <c r="AV164" i="15"/>
  <c r="AV230" i="15"/>
  <c r="AV75" i="15"/>
  <c r="AU32" i="15"/>
  <c r="E225" i="17"/>
  <c r="F222" i="17"/>
  <c r="F220" i="17"/>
  <c r="AV143" i="15"/>
  <c r="AV185" i="15"/>
  <c r="AV144" i="15"/>
  <c r="AV184" i="15"/>
  <c r="F224" i="17"/>
  <c r="E270" i="17"/>
  <c r="G270" i="17" s="1"/>
  <c r="G268" i="17"/>
  <c r="F268" i="17"/>
  <c r="J260" i="17"/>
  <c r="F266" i="17"/>
  <c r="G266" i="17"/>
  <c r="AT123" i="15"/>
  <c r="AT184" i="15" s="1"/>
  <c r="D290" i="17"/>
  <c r="D292" i="17" s="1"/>
  <c r="AT141" i="15"/>
  <c r="AT204" i="15" s="1"/>
  <c r="AT119" i="15"/>
  <c r="AT246" i="15"/>
  <c r="AT131" i="15"/>
  <c r="AT190" i="15" s="1"/>
  <c r="AT142" i="15"/>
  <c r="AT205" i="15" s="1"/>
  <c r="D273" i="17"/>
  <c r="F270" i="17"/>
  <c r="AT124" i="15"/>
  <c r="AT185" i="15" s="1"/>
  <c r="N113" i="15"/>
  <c r="N131" i="15" s="1"/>
  <c r="AT177" i="15"/>
  <c r="N114" i="15"/>
  <c r="N119" i="15" s="1"/>
  <c r="AU198" i="15"/>
  <c r="AU182" i="15"/>
  <c r="AU136" i="15"/>
  <c r="AS71" i="15"/>
  <c r="AU230" i="15"/>
  <c r="AU75" i="15"/>
  <c r="AU164" i="15"/>
  <c r="AR74" i="15"/>
  <c r="AS74" i="15" s="1"/>
  <c r="AU185" i="15"/>
  <c r="AU143" i="15"/>
  <c r="AU85" i="15"/>
  <c r="AU184" i="15"/>
  <c r="AU144" i="15"/>
  <c r="AT32" i="15"/>
  <c r="J300" i="17"/>
  <c r="E310" i="17" s="1"/>
  <c r="AS219" i="15"/>
  <c r="AS216" i="15"/>
  <c r="AW217" i="15" s="1"/>
  <c r="AT161" i="15"/>
  <c r="AT69" i="15"/>
  <c r="AT227" i="15"/>
  <c r="AR70" i="15"/>
  <c r="AR72" i="15"/>
  <c r="AS72" i="15" s="1"/>
  <c r="AR51" i="15"/>
  <c r="AR64" i="15"/>
  <c r="AS113" i="15"/>
  <c r="D312" i="17"/>
  <c r="AS42" i="15"/>
  <c r="AS114" i="15"/>
  <c r="AR65" i="15"/>
  <c r="AT182" i="15"/>
  <c r="AT136" i="15"/>
  <c r="D388" i="17"/>
  <c r="AS182" i="15"/>
  <c r="AS136" i="15"/>
  <c r="AS23" i="15"/>
  <c r="AS50" i="15"/>
  <c r="AS40" i="15"/>
  <c r="N128" i="15"/>
  <c r="N187" i="15" s="1"/>
  <c r="CH10" i="15"/>
  <c r="CH11" i="15" s="1"/>
  <c r="N136" i="15"/>
  <c r="N25" i="15"/>
  <c r="N27" i="15" s="1"/>
  <c r="N44" i="15"/>
  <c r="N43" i="15"/>
  <c r="N86" i="15"/>
  <c r="N56" i="15"/>
  <c r="N54" i="15"/>
  <c r="CG29" i="15"/>
  <c r="CG15" i="15"/>
  <c r="CF12" i="15"/>
  <c r="BK12" i="15" s="1"/>
  <c r="CG24" i="15"/>
  <c r="CG14" i="15"/>
  <c r="CG19" i="15"/>
  <c r="CG7" i="15"/>
  <c r="CG18" i="15"/>
  <c r="CG22" i="15"/>
  <c r="CG13" i="15"/>
  <c r="CG21" i="15"/>
  <c r="CG12" i="15"/>
  <c r="CG20" i="15"/>
  <c r="CG9" i="15"/>
  <c r="CG30" i="15"/>
  <c r="CG16" i="15"/>
  <c r="BX17" i="15"/>
  <c r="BX23" i="15" s="1"/>
  <c r="BX25" i="15" s="1"/>
  <c r="BX27" i="15" s="1"/>
  <c r="BX32" i="15" s="1"/>
  <c r="AR203" i="15"/>
  <c r="J349" i="17"/>
  <c r="E359" i="17" s="1"/>
  <c r="D385" i="17"/>
  <c r="AR243" i="15"/>
  <c r="AR109" i="15"/>
  <c r="D362" i="17" s="1"/>
  <c r="AR11" i="15"/>
  <c r="AR155" i="15"/>
  <c r="AR157" i="15"/>
  <c r="D374" i="17"/>
  <c r="D375" i="17" s="1"/>
  <c r="AR23" i="15"/>
  <c r="AR166" i="15"/>
  <c r="AR40" i="15"/>
  <c r="D383" i="17"/>
  <c r="BW11" i="15"/>
  <c r="E413" i="17"/>
  <c r="E423" i="17" s="1"/>
  <c r="E424" i="17" s="1"/>
  <c r="E415" i="17"/>
  <c r="E402" i="17"/>
  <c r="E406" i="17"/>
  <c r="E408" i="17"/>
  <c r="E409" i="17"/>
  <c r="E410" i="17"/>
  <c r="D423" i="17"/>
  <c r="D424" i="17" s="1"/>
  <c r="D434" i="17"/>
  <c r="E434" i="17" s="1"/>
  <c r="E407" i="17"/>
  <c r="E404" i="17"/>
  <c r="E432" i="17"/>
  <c r="E429" i="17"/>
  <c r="E403" i="17"/>
  <c r="E431" i="17"/>
  <c r="E405" i="17"/>
  <c r="D437" i="17"/>
  <c r="E437" i="17" s="1"/>
  <c r="E433" i="17"/>
  <c r="AN38" i="18"/>
  <c r="AN29" i="18"/>
  <c r="AN20" i="18"/>
  <c r="AN11" i="18"/>
  <c r="P175" i="15"/>
  <c r="P196" i="15"/>
  <c r="AQ196" i="15"/>
  <c r="AQ175" i="15"/>
  <c r="AQ243" i="15" s="1"/>
  <c r="AQ153" i="15"/>
  <c r="AU154" i="15" s="1"/>
  <c r="AQ150" i="15"/>
  <c r="AU151" i="15" s="1"/>
  <c r="AQ140" i="15"/>
  <c r="AQ203" i="15" s="1"/>
  <c r="AQ104" i="15"/>
  <c r="AQ103" i="15"/>
  <c r="AQ102" i="15"/>
  <c r="AQ99" i="15"/>
  <c r="AQ93" i="15"/>
  <c r="AQ121" i="15" s="1"/>
  <c r="AQ213" i="15" s="1"/>
  <c r="AQ133" i="15" s="1"/>
  <c r="AQ167" i="15"/>
  <c r="AQ68" i="15"/>
  <c r="AQ160" i="15"/>
  <c r="AQ159" i="15"/>
  <c r="AQ62" i="15"/>
  <c r="AQ59" i="15"/>
  <c r="AQ58" i="15"/>
  <c r="AQ47" i="15"/>
  <c r="AQ49" i="15"/>
  <c r="AQ61" i="15" s="1"/>
  <c r="AQ83" i="15" s="1"/>
  <c r="AQ147" i="15" s="1"/>
  <c r="AQ39" i="15"/>
  <c r="AQ38" i="15"/>
  <c r="AQ37" i="15"/>
  <c r="AQ36" i="15"/>
  <c r="AQ35" i="15"/>
  <c r="AQ10" i="15"/>
  <c r="AQ17" i="15" s="1"/>
  <c r="AQ23" i="15" s="1"/>
  <c r="AQ8" i="15"/>
  <c r="BK3" i="15"/>
  <c r="J447" i="17"/>
  <c r="D464" i="17"/>
  <c r="D462" i="17"/>
  <c r="AP108" i="15"/>
  <c r="AP107" i="15"/>
  <c r="AP76" i="15"/>
  <c r="AP73" i="15"/>
  <c r="AP67" i="15"/>
  <c r="P63" i="15" l="1"/>
  <c r="AW66" i="15"/>
  <c r="AW224" i="15"/>
  <c r="AW158" i="15"/>
  <c r="AW220" i="15"/>
  <c r="AV250" i="15"/>
  <c r="AV255" i="15" s="1"/>
  <c r="N246" i="15"/>
  <c r="N141" i="15"/>
  <c r="N204" i="15" s="1"/>
  <c r="AS166" i="15"/>
  <c r="AS169" i="15"/>
  <c r="N142" i="15"/>
  <c r="N205" i="15" s="1"/>
  <c r="AV253" i="15"/>
  <c r="AV170" i="15"/>
  <c r="AV236" i="15"/>
  <c r="G220" i="17"/>
  <c r="G222" i="17"/>
  <c r="G224" i="17"/>
  <c r="AV199" i="15"/>
  <c r="AV207" i="15"/>
  <c r="AV206" i="15"/>
  <c r="N124" i="15"/>
  <c r="N185" i="15" s="1"/>
  <c r="N123" i="15"/>
  <c r="N184" i="15" s="1"/>
  <c r="N245" i="15"/>
  <c r="N260" i="15" s="1"/>
  <c r="N177" i="15"/>
  <c r="AT144" i="15"/>
  <c r="AT143" i="15"/>
  <c r="N178" i="15"/>
  <c r="AS232" i="15"/>
  <c r="AR47" i="15"/>
  <c r="AS65" i="15"/>
  <c r="AR167" i="15"/>
  <c r="AR159" i="15"/>
  <c r="CF18" i="15"/>
  <c r="BK18" i="15" s="1"/>
  <c r="BL18" i="15" s="1"/>
  <c r="BM18" i="15" s="1"/>
  <c r="AS235" i="15"/>
  <c r="AU199" i="15"/>
  <c r="AU207" i="15"/>
  <c r="AU206" i="15"/>
  <c r="CF21" i="15"/>
  <c r="BK21" i="15" s="1"/>
  <c r="BL21" i="15" s="1"/>
  <c r="BM21" i="15" s="1"/>
  <c r="CF29" i="15"/>
  <c r="BK29" i="15" s="1"/>
  <c r="BL29" i="15" s="1"/>
  <c r="BM29" i="15" s="1"/>
  <c r="AU170" i="15"/>
  <c r="AU236" i="15"/>
  <c r="AS51" i="15"/>
  <c r="CF7" i="15"/>
  <c r="BK7" i="15" s="1"/>
  <c r="AR160" i="15"/>
  <c r="AR52" i="15"/>
  <c r="AS70" i="15"/>
  <c r="E318" i="17"/>
  <c r="J306" i="17" s="1"/>
  <c r="J308" i="17" s="1"/>
  <c r="AS245" i="15"/>
  <c r="AS260" i="15" s="1"/>
  <c r="AS123" i="15"/>
  <c r="AS131" i="15"/>
  <c r="AS142" i="15"/>
  <c r="AS205" i="15" s="1"/>
  <c r="AS177" i="15"/>
  <c r="CF26" i="15"/>
  <c r="BK26" i="15" s="1"/>
  <c r="BL26" i="15" s="1"/>
  <c r="BM26" i="15" s="1"/>
  <c r="AR165" i="15"/>
  <c r="AS64" i="15"/>
  <c r="AT75" i="15"/>
  <c r="AT77" i="15" s="1"/>
  <c r="AT230" i="15"/>
  <c r="AT164" i="15"/>
  <c r="CF14" i="15"/>
  <c r="BK14" i="15" s="1"/>
  <c r="BL14" i="15" s="1"/>
  <c r="CF24" i="15"/>
  <c r="BK24" i="15" s="1"/>
  <c r="BL24" i="15" s="1"/>
  <c r="BM24" i="15" s="1"/>
  <c r="CF13" i="15"/>
  <c r="BK13" i="15" s="1"/>
  <c r="BL13" i="15" s="1"/>
  <c r="BM13" i="15" s="1"/>
  <c r="AQ73" i="15"/>
  <c r="CF16" i="15"/>
  <c r="BK16" i="15" s="1"/>
  <c r="BL16" i="15" s="1"/>
  <c r="BM16" i="15" s="1"/>
  <c r="CF9" i="15"/>
  <c r="BK9" i="15" s="1"/>
  <c r="CH17" i="15"/>
  <c r="CH23" i="15" s="1"/>
  <c r="CH25" i="15" s="1"/>
  <c r="CH27" i="15" s="1"/>
  <c r="AS221" i="15"/>
  <c r="AT85" i="15"/>
  <c r="AQ76" i="15"/>
  <c r="AS141" i="15"/>
  <c r="AS204" i="15" s="1"/>
  <c r="AS178" i="15"/>
  <c r="AS246" i="15"/>
  <c r="AS119" i="15"/>
  <c r="AS124" i="15"/>
  <c r="AQ67" i="15"/>
  <c r="AQ46" i="15" s="1"/>
  <c r="E356" i="17"/>
  <c r="E312" i="17"/>
  <c r="E313" i="17" s="1"/>
  <c r="D313" i="17"/>
  <c r="D336" i="17"/>
  <c r="AS167" i="15"/>
  <c r="AS233" i="15"/>
  <c r="AS43" i="15"/>
  <c r="AS25" i="15"/>
  <c r="AS27" i="15" s="1"/>
  <c r="AV89" i="15" s="1"/>
  <c r="AS44" i="15"/>
  <c r="CF19" i="15"/>
  <c r="BK19" i="15" s="1"/>
  <c r="BL19" i="15" s="1"/>
  <c r="BM19" i="15" s="1"/>
  <c r="CG10" i="15"/>
  <c r="CG17" i="15" s="1"/>
  <c r="CG23" i="15" s="1"/>
  <c r="CG25" i="15" s="1"/>
  <c r="CG27" i="15" s="1"/>
  <c r="CF30" i="15"/>
  <c r="BK30" i="15" s="1"/>
  <c r="BL30" i="15" s="1"/>
  <c r="BM30" i="15" s="1"/>
  <c r="CF20" i="15"/>
  <c r="BK20" i="15" s="1"/>
  <c r="BL20" i="15" s="1"/>
  <c r="BM20" i="15" s="1"/>
  <c r="CF15" i="15"/>
  <c r="BK15" i="15" s="1"/>
  <c r="BL15" i="15" s="1"/>
  <c r="BM15" i="15" s="1"/>
  <c r="CF22" i="15"/>
  <c r="BK22" i="15" s="1"/>
  <c r="BL22" i="15" s="1"/>
  <c r="BM22" i="15" s="1"/>
  <c r="N89" i="15"/>
  <c r="N32" i="15"/>
  <c r="N190" i="15"/>
  <c r="E358" i="17"/>
  <c r="E355" i="17"/>
  <c r="E384" i="17"/>
  <c r="E366" i="17"/>
  <c r="E354" i="17"/>
  <c r="E357" i="17"/>
  <c r="J350" i="17"/>
  <c r="AR232" i="15"/>
  <c r="E388" i="17"/>
  <c r="AR113" i="15"/>
  <c r="AR131" i="15" s="1"/>
  <c r="AR114" i="15"/>
  <c r="AR246" i="15" s="1"/>
  <c r="BL12" i="15"/>
  <c r="BM12" i="15" s="1"/>
  <c r="AR223" i="15"/>
  <c r="AR226" i="15"/>
  <c r="AR224" i="15"/>
  <c r="AR158" i="15"/>
  <c r="E381" i="17"/>
  <c r="E361" i="17"/>
  <c r="E382" i="17"/>
  <c r="E353" i="17"/>
  <c r="E364" i="17"/>
  <c r="E374" i="17" s="1"/>
  <c r="E375" i="17" s="1"/>
  <c r="AR25" i="15"/>
  <c r="AR27" i="15" s="1"/>
  <c r="AR44" i="15"/>
  <c r="AR43" i="15"/>
  <c r="AR66" i="15"/>
  <c r="AQ163" i="15"/>
  <c r="AR68" i="15"/>
  <c r="E360" i="17"/>
  <c r="E380" i="17"/>
  <c r="E385" i="17"/>
  <c r="AR233" i="15"/>
  <c r="AR225" i="15"/>
  <c r="AR219" i="15"/>
  <c r="AR216" i="15"/>
  <c r="AV217" i="15" s="1"/>
  <c r="AR231" i="15"/>
  <c r="AQ169" i="15"/>
  <c r="E383" i="17"/>
  <c r="P99" i="15"/>
  <c r="P243" i="15"/>
  <c r="P140" i="15"/>
  <c r="P203" i="15" s="1"/>
  <c r="AQ109" i="15"/>
  <c r="AQ11" i="15"/>
  <c r="AQ155" i="15"/>
  <c r="P109" i="15"/>
  <c r="P49" i="15"/>
  <c r="P61" i="15" s="1"/>
  <c r="P83" i="15" s="1"/>
  <c r="AQ44" i="15"/>
  <c r="AQ25" i="15"/>
  <c r="AQ27" i="15" s="1"/>
  <c r="AQ43" i="15"/>
  <c r="AQ157" i="15"/>
  <c r="AQ165" i="15"/>
  <c r="AQ166" i="15"/>
  <c r="AQ40" i="15"/>
  <c r="AQ50" i="15"/>
  <c r="AQ52" i="15" s="1"/>
  <c r="AU53" i="15" s="1"/>
  <c r="AP109" i="15"/>
  <c r="AW161" i="15" l="1"/>
  <c r="AW227" i="15"/>
  <c r="AV220" i="15"/>
  <c r="AU250" i="15"/>
  <c r="AU77" i="15"/>
  <c r="AV252" i="15"/>
  <c r="BL7" i="15"/>
  <c r="AS88" i="15"/>
  <c r="N144" i="15"/>
  <c r="N143" i="15"/>
  <c r="AR56" i="15"/>
  <c r="AV53" i="15"/>
  <c r="BK36" i="15"/>
  <c r="AU88" i="15"/>
  <c r="AU137" i="15" s="1"/>
  <c r="AU200" i="15" s="1"/>
  <c r="AV88" i="15"/>
  <c r="BK10" i="15"/>
  <c r="BK11" i="15" s="1"/>
  <c r="AS160" i="15"/>
  <c r="AQ162" i="15"/>
  <c r="AS226" i="15"/>
  <c r="CG11" i="15"/>
  <c r="AS68" i="15"/>
  <c r="AS229" i="15" s="1"/>
  <c r="AT88" i="15"/>
  <c r="AT137" i="15" s="1"/>
  <c r="AT200" i="15" s="1"/>
  <c r="AU238" i="15"/>
  <c r="AU172" i="15"/>
  <c r="AR73" i="15"/>
  <c r="AS47" i="15"/>
  <c r="AR76" i="15"/>
  <c r="AU89" i="15"/>
  <c r="AR54" i="15"/>
  <c r="AR67" i="15"/>
  <c r="AU78" i="15"/>
  <c r="BK38" i="15"/>
  <c r="AS231" i="15"/>
  <c r="AS52" i="15"/>
  <c r="AW53" i="15" s="1"/>
  <c r="AQ168" i="15"/>
  <c r="BK39" i="15"/>
  <c r="AQ171" i="15"/>
  <c r="AS165" i="15"/>
  <c r="AT89" i="15"/>
  <c r="CF10" i="15"/>
  <c r="CF17" i="15" s="1"/>
  <c r="CF23" i="15" s="1"/>
  <c r="CF25" i="15" s="1"/>
  <c r="CF27" i="15" s="1"/>
  <c r="BK35" i="15"/>
  <c r="J307" i="17"/>
  <c r="BL9" i="15"/>
  <c r="BM9" i="15" s="1"/>
  <c r="BK37" i="15"/>
  <c r="AS185" i="15"/>
  <c r="AS143" i="15"/>
  <c r="E336" i="17"/>
  <c r="E337" i="17" s="1"/>
  <c r="E339" i="17" s="1"/>
  <c r="D337" i="17"/>
  <c r="D339" i="17" s="1"/>
  <c r="AS190" i="15"/>
  <c r="AS184" i="15"/>
  <c r="AS144" i="15"/>
  <c r="E315" i="17"/>
  <c r="G315" i="17" s="1"/>
  <c r="G313" i="17"/>
  <c r="E317" i="17"/>
  <c r="G317" i="17" s="1"/>
  <c r="AT170" i="15"/>
  <c r="AT78" i="15"/>
  <c r="AT236" i="15"/>
  <c r="AT198" i="15"/>
  <c r="AT197" i="15"/>
  <c r="D320" i="17"/>
  <c r="F313" i="17"/>
  <c r="D315" i="17"/>
  <c r="F315" i="17" s="1"/>
  <c r="D317" i="17"/>
  <c r="F317" i="17" s="1"/>
  <c r="AS159" i="15"/>
  <c r="AS225" i="15"/>
  <c r="AS32" i="15"/>
  <c r="AR142" i="15"/>
  <c r="AR205" i="15" s="1"/>
  <c r="BM14" i="15"/>
  <c r="AR141" i="15"/>
  <c r="AR204" i="15" s="1"/>
  <c r="AR119" i="15"/>
  <c r="AR178" i="15"/>
  <c r="AR177" i="15"/>
  <c r="AR245" i="15"/>
  <c r="AR260" i="15" s="1"/>
  <c r="AR169" i="15"/>
  <c r="AR235" i="15"/>
  <c r="AR161" i="15"/>
  <c r="AR227" i="15"/>
  <c r="D363" i="17"/>
  <c r="D370" i="17" s="1"/>
  <c r="D386" i="17"/>
  <c r="E362" i="17"/>
  <c r="E363" i="17" s="1"/>
  <c r="AR221" i="15"/>
  <c r="AQ216" i="15"/>
  <c r="AU217" i="15" s="1"/>
  <c r="AR32" i="15"/>
  <c r="AR163" i="15"/>
  <c r="AR229" i="15"/>
  <c r="AR190" i="15"/>
  <c r="AQ233" i="15"/>
  <c r="AQ114" i="15"/>
  <c r="AQ178" i="15" s="1"/>
  <c r="D411" i="17"/>
  <c r="AQ219" i="15"/>
  <c r="J399" i="17"/>
  <c r="AQ225" i="15"/>
  <c r="AQ229" i="15"/>
  <c r="AQ228" i="15"/>
  <c r="AQ223" i="15"/>
  <c r="AQ234" i="15"/>
  <c r="AQ113" i="15"/>
  <c r="AQ177" i="15" s="1"/>
  <c r="AQ235" i="15"/>
  <c r="AQ237" i="15"/>
  <c r="AQ231" i="15"/>
  <c r="AQ226" i="15"/>
  <c r="AQ232" i="15"/>
  <c r="P147" i="15"/>
  <c r="P93" i="15"/>
  <c r="P121" i="15" s="1"/>
  <c r="P213" i="15" s="1"/>
  <c r="P133" i="15" s="1"/>
  <c r="P113" i="15"/>
  <c r="P114" i="15"/>
  <c r="AQ54" i="15"/>
  <c r="AQ56" i="15"/>
  <c r="AQ32" i="15"/>
  <c r="AP114" i="15"/>
  <c r="AP113" i="15"/>
  <c r="AP196" i="15"/>
  <c r="AP175" i="15"/>
  <c r="AP243" i="15" s="1"/>
  <c r="AP169" i="15"/>
  <c r="AP167" i="15"/>
  <c r="AP166" i="15"/>
  <c r="AP163" i="15"/>
  <c r="AP160" i="15"/>
  <c r="AP159" i="15"/>
  <c r="AP153" i="15"/>
  <c r="AT154" i="15" s="1"/>
  <c r="AP150" i="15"/>
  <c r="AT151" i="15" s="1"/>
  <c r="AP140" i="15"/>
  <c r="AP104" i="15"/>
  <c r="AP103" i="15"/>
  <c r="AP102" i="15"/>
  <c r="AP99" i="15"/>
  <c r="AP93" i="15"/>
  <c r="AP121" i="15" s="1"/>
  <c r="AP213" i="15" s="1"/>
  <c r="AP133" i="15" s="1"/>
  <c r="AP168" i="15"/>
  <c r="AP165" i="15"/>
  <c r="AP162" i="15"/>
  <c r="AP62" i="15"/>
  <c r="AP59" i="15"/>
  <c r="AP58" i="15"/>
  <c r="AP49" i="15"/>
  <c r="AP61" i="15" s="1"/>
  <c r="AP83" i="15" s="1"/>
  <c r="AP147" i="15" s="1"/>
  <c r="AP47" i="15"/>
  <c r="AP39" i="15"/>
  <c r="AP38" i="15"/>
  <c r="AP37" i="15"/>
  <c r="AP36" i="15"/>
  <c r="AP35" i="15"/>
  <c r="AP10" i="15"/>
  <c r="AP17" i="15" s="1"/>
  <c r="AS85" i="15" s="1"/>
  <c r="AP8" i="15"/>
  <c r="AM38" i="18"/>
  <c r="AM29" i="18"/>
  <c r="AM20" i="18"/>
  <c r="AM11" i="18"/>
  <c r="D459" i="17"/>
  <c r="D458" i="17"/>
  <c r="D457" i="17"/>
  <c r="D456" i="17"/>
  <c r="D455" i="17"/>
  <c r="D454" i="17"/>
  <c r="D453" i="17"/>
  <c r="D481" i="17" s="1"/>
  <c r="D452" i="17"/>
  <c r="D451" i="17"/>
  <c r="C479" i="17"/>
  <c r="C480" i="17" s="1"/>
  <c r="C481" i="17" s="1"/>
  <c r="C482" i="17" s="1"/>
  <c r="BJ39" i="15"/>
  <c r="BJ38" i="15"/>
  <c r="BJ37" i="15"/>
  <c r="BJ36" i="15"/>
  <c r="BJ35" i="15"/>
  <c r="BU8" i="15"/>
  <c r="BT8" i="15"/>
  <c r="BJ8" i="15"/>
  <c r="AK7" i="15"/>
  <c r="CB30" i="15"/>
  <c r="CB29" i="15"/>
  <c r="CB26" i="15"/>
  <c r="CB24" i="15"/>
  <c r="CB22" i="15"/>
  <c r="CB21" i="15"/>
  <c r="CB20" i="15"/>
  <c r="CB19" i="15"/>
  <c r="CB18" i="15"/>
  <c r="CB16" i="15"/>
  <c r="CB15" i="15"/>
  <c r="CB14" i="15"/>
  <c r="CB13" i="15"/>
  <c r="CB12" i="15"/>
  <c r="CB9" i="15"/>
  <c r="CB6" i="15"/>
  <c r="CA6" i="15" s="1"/>
  <c r="BZ6" i="15" s="1"/>
  <c r="CE30" i="15"/>
  <c r="CE29" i="15"/>
  <c r="CE26" i="15"/>
  <c r="CE24" i="15"/>
  <c r="CE22" i="15"/>
  <c r="CE21" i="15"/>
  <c r="CE20" i="15"/>
  <c r="CE19" i="15"/>
  <c r="CE18" i="15"/>
  <c r="CE16" i="15"/>
  <c r="CE15" i="15"/>
  <c r="CE14" i="15"/>
  <c r="CE13" i="15"/>
  <c r="CE12" i="15"/>
  <c r="CE9" i="15"/>
  <c r="BJ3" i="15"/>
  <c r="BI3" i="15"/>
  <c r="BH3" i="15"/>
  <c r="BG3" i="15"/>
  <c r="BF3" i="15"/>
  <c r="BE3" i="15"/>
  <c r="BD3" i="15"/>
  <c r="BC3" i="15"/>
  <c r="BF10" i="15"/>
  <c r="BF17" i="15" s="1"/>
  <c r="BF23" i="15" s="1"/>
  <c r="BF25" i="15" s="1"/>
  <c r="BP30" i="15"/>
  <c r="BP29" i="15"/>
  <c r="BP26" i="15"/>
  <c r="BP24" i="15"/>
  <c r="BP22" i="15"/>
  <c r="BP21" i="15"/>
  <c r="BP20" i="15"/>
  <c r="BP19" i="15"/>
  <c r="BP18" i="15"/>
  <c r="BP16" i="15"/>
  <c r="BP15" i="15"/>
  <c r="BP14" i="15"/>
  <c r="BP13" i="15"/>
  <c r="BP12" i="15"/>
  <c r="BP9" i="15"/>
  <c r="BP7" i="15"/>
  <c r="BR10" i="15"/>
  <c r="BR11" i="15" s="1"/>
  <c r="BQ10" i="15"/>
  <c r="BQ11" i="15" s="1"/>
  <c r="AN8" i="15"/>
  <c r="AM8" i="15"/>
  <c r="AL8" i="15"/>
  <c r="AO29" i="15"/>
  <c r="AO30" i="15"/>
  <c r="AO26" i="15"/>
  <c r="AO24" i="15"/>
  <c r="AO22" i="15"/>
  <c r="AO21" i="15"/>
  <c r="AO20" i="15"/>
  <c r="AO19" i="15"/>
  <c r="AO18" i="15"/>
  <c r="AO16" i="15"/>
  <c r="AO15" i="15"/>
  <c r="AO14" i="15"/>
  <c r="AO13" i="15"/>
  <c r="AO12" i="15"/>
  <c r="BJ10" i="15"/>
  <c r="BJ17" i="15" s="1"/>
  <c r="BJ23" i="15" s="1"/>
  <c r="BJ25" i="15" s="1"/>
  <c r="AO9" i="15"/>
  <c r="AO7" i="15"/>
  <c r="AS8" i="15" s="1"/>
  <c r="BS30" i="15"/>
  <c r="BS29" i="15"/>
  <c r="BS26" i="15"/>
  <c r="BS24" i="15"/>
  <c r="BS22" i="15"/>
  <c r="BS21" i="15"/>
  <c r="BS20" i="15"/>
  <c r="BS19" i="15"/>
  <c r="BS18" i="15"/>
  <c r="BS16" i="15"/>
  <c r="BS15" i="15"/>
  <c r="BS14" i="15"/>
  <c r="BS13" i="15"/>
  <c r="BS12" i="15"/>
  <c r="BS9" i="15"/>
  <c r="BS7" i="15"/>
  <c r="BU10" i="15"/>
  <c r="BU11" i="15" s="1"/>
  <c r="BT10" i="15"/>
  <c r="BT17" i="15" s="1"/>
  <c r="AN10" i="15"/>
  <c r="AN17" i="15" s="1"/>
  <c r="AN23" i="15" s="1"/>
  <c r="AN25" i="15" s="1"/>
  <c r="AN27" i="15" s="1"/>
  <c r="AN32" i="15" s="1"/>
  <c r="AM10" i="15"/>
  <c r="AM17" i="15" s="1"/>
  <c r="AM23" i="15" s="1"/>
  <c r="AM25" i="15" s="1"/>
  <c r="AM27" i="15" s="1"/>
  <c r="AM32" i="15" s="1"/>
  <c r="AL10" i="15"/>
  <c r="AL17" i="15" s="1"/>
  <c r="AL23" i="15" s="1"/>
  <c r="AL25" i="15" s="1"/>
  <c r="AL27" i="15" s="1"/>
  <c r="AL32" i="15" s="1"/>
  <c r="AV77" i="15" l="1"/>
  <c r="AW77" i="15"/>
  <c r="P77" i="15" s="1"/>
  <c r="BL36" i="15"/>
  <c r="BM7" i="15"/>
  <c r="AS137" i="15"/>
  <c r="AS129" i="15"/>
  <c r="AS188" i="15" s="1"/>
  <c r="AU220" i="15"/>
  <c r="AT250" i="15"/>
  <c r="AU252" i="15"/>
  <c r="AU253" i="15"/>
  <c r="AU255" i="15"/>
  <c r="BK17" i="15"/>
  <c r="AT258" i="15"/>
  <c r="AU129" i="15"/>
  <c r="AU188" i="15" s="1"/>
  <c r="BL37" i="15"/>
  <c r="BL39" i="15"/>
  <c r="BL38" i="15"/>
  <c r="AV78" i="15"/>
  <c r="AV173" i="15" s="1"/>
  <c r="AV137" i="15"/>
  <c r="AV200" i="15" s="1"/>
  <c r="AV129" i="15"/>
  <c r="AV188" i="15" s="1"/>
  <c r="AU86" i="15"/>
  <c r="AV86" i="15"/>
  <c r="AU258" i="15"/>
  <c r="AV258" i="15"/>
  <c r="AS163" i="15"/>
  <c r="AT129" i="15"/>
  <c r="AT188" i="15" s="1"/>
  <c r="CF11" i="15"/>
  <c r="AR237" i="15"/>
  <c r="AR234" i="15"/>
  <c r="AS76" i="15"/>
  <c r="AR168" i="15"/>
  <c r="AS67" i="15"/>
  <c r="AR171" i="15"/>
  <c r="AU239" i="15"/>
  <c r="AU173" i="15"/>
  <c r="AR69" i="15"/>
  <c r="AR164" i="15" s="1"/>
  <c r="AS73" i="15"/>
  <c r="AR46" i="15"/>
  <c r="AR228" i="15"/>
  <c r="AR162" i="15"/>
  <c r="AT86" i="15"/>
  <c r="AS54" i="15"/>
  <c r="AS56" i="15"/>
  <c r="BL10" i="15"/>
  <c r="BL35" i="15"/>
  <c r="AT199" i="15"/>
  <c r="AT206" i="15"/>
  <c r="AT207" i="15"/>
  <c r="AT238" i="15"/>
  <c r="AT172" i="15"/>
  <c r="AT239" i="15"/>
  <c r="AT173" i="15"/>
  <c r="CE6" i="15"/>
  <c r="CH8" i="15"/>
  <c r="AR84" i="15"/>
  <c r="AR134" i="15" s="1"/>
  <c r="AR41" i="15"/>
  <c r="AR42" i="15"/>
  <c r="AQ221" i="15"/>
  <c r="D365" i="17"/>
  <c r="D367" i="17"/>
  <c r="E386" i="17"/>
  <c r="E387" i="17" s="1"/>
  <c r="E389" i="17" s="1"/>
  <c r="D387" i="17"/>
  <c r="D389" i="17" s="1"/>
  <c r="E365" i="17"/>
  <c r="E367" i="17"/>
  <c r="D460" i="17"/>
  <c r="AQ119" i="15"/>
  <c r="AQ141" i="15"/>
  <c r="AQ204" i="15" s="1"/>
  <c r="AQ42" i="15"/>
  <c r="AQ246" i="15"/>
  <c r="D412" i="17"/>
  <c r="D435" i="17"/>
  <c r="E411" i="17"/>
  <c r="E412" i="17" s="1"/>
  <c r="AQ245" i="15"/>
  <c r="AQ260" i="15" s="1"/>
  <c r="AQ131" i="15"/>
  <c r="AQ142" i="15"/>
  <c r="AQ205" i="15" s="1"/>
  <c r="P246" i="15"/>
  <c r="P141" i="15"/>
  <c r="P204" i="15" s="1"/>
  <c r="P178" i="15"/>
  <c r="P119" i="15"/>
  <c r="P245" i="15"/>
  <c r="P260" i="15" s="1"/>
  <c r="P131" i="15"/>
  <c r="P177" i="15"/>
  <c r="P142" i="15"/>
  <c r="P205" i="15" s="1"/>
  <c r="AP84" i="15"/>
  <c r="AP134" i="15" s="1"/>
  <c r="AQ84" i="15"/>
  <c r="AP41" i="15"/>
  <c r="AQ41" i="15"/>
  <c r="AQ224" i="15"/>
  <c r="AQ66" i="15"/>
  <c r="AQ158" i="15"/>
  <c r="AP155" i="15"/>
  <c r="CE8" i="15"/>
  <c r="AP46" i="15"/>
  <c r="AP203" i="15"/>
  <c r="BS8" i="15"/>
  <c r="AP23" i="15"/>
  <c r="AP40" i="15"/>
  <c r="AP50" i="15"/>
  <c r="AP52" i="15" s="1"/>
  <c r="AP157" i="15"/>
  <c r="BJ40" i="15"/>
  <c r="BJ44" i="15"/>
  <c r="AP171" i="15"/>
  <c r="AP11" i="15"/>
  <c r="AO8" i="15"/>
  <c r="BJ43" i="15"/>
  <c r="D478" i="17"/>
  <c r="D483" i="17"/>
  <c r="D486" i="17"/>
  <c r="BF11" i="15"/>
  <c r="BQ17" i="15"/>
  <c r="BQ23" i="15" s="1"/>
  <c r="BQ25" i="15" s="1"/>
  <c r="BQ27" i="15" s="1"/>
  <c r="BQ32" i="15" s="1"/>
  <c r="BR17" i="15"/>
  <c r="BR23" i="15" s="1"/>
  <c r="BR25" i="15" s="1"/>
  <c r="BR27" i="15" s="1"/>
  <c r="BR32" i="15" s="1"/>
  <c r="BP10" i="15"/>
  <c r="BP17" i="15" s="1"/>
  <c r="BP23" i="15" s="1"/>
  <c r="BP25" i="15" s="1"/>
  <c r="BP27" i="15" s="1"/>
  <c r="BP32" i="15" s="1"/>
  <c r="BJ11" i="15"/>
  <c r="AO35" i="15"/>
  <c r="AO10" i="15"/>
  <c r="AO17" i="15" s="1"/>
  <c r="AO23" i="15" s="1"/>
  <c r="AO25" i="15" s="1"/>
  <c r="AO27" i="15" s="1"/>
  <c r="AO32" i="15" s="1"/>
  <c r="BT23" i="15"/>
  <c r="BT25" i="15" s="1"/>
  <c r="BT27" i="15" s="1"/>
  <c r="BT32" i="15" s="1"/>
  <c r="BT11" i="15"/>
  <c r="BU17" i="15"/>
  <c r="BU23" i="15" s="1"/>
  <c r="BU25" i="15" s="1"/>
  <c r="BU27" i="15" s="1"/>
  <c r="AL11" i="15"/>
  <c r="AM11" i="15"/>
  <c r="AN11" i="15"/>
  <c r="BS10" i="15"/>
  <c r="BS17" i="15" s="1"/>
  <c r="AV238" i="15" l="1"/>
  <c r="AV172" i="15"/>
  <c r="BK40" i="15"/>
  <c r="BK23" i="15"/>
  <c r="AT255" i="15"/>
  <c r="AT252" i="15"/>
  <c r="AT253" i="15"/>
  <c r="BN35" i="15"/>
  <c r="BN38" i="15"/>
  <c r="BN10" i="15"/>
  <c r="BN11" i="15" s="1"/>
  <c r="BN37" i="15"/>
  <c r="BN8" i="15"/>
  <c r="BN36" i="15"/>
  <c r="BN39" i="15"/>
  <c r="AS237" i="15"/>
  <c r="AV239" i="15"/>
  <c r="AU90" i="15"/>
  <c r="AU138" i="15" s="1"/>
  <c r="AU201" i="15" s="1"/>
  <c r="AV90" i="15"/>
  <c r="AS234" i="15"/>
  <c r="AS168" i="15"/>
  <c r="AS90" i="15"/>
  <c r="AS128" i="15" s="1"/>
  <c r="AR230" i="15"/>
  <c r="AS171" i="15"/>
  <c r="AS46" i="15"/>
  <c r="AR75" i="15"/>
  <c r="AR170" i="15" s="1"/>
  <c r="AS228" i="15"/>
  <c r="AS162" i="15"/>
  <c r="AT90" i="15"/>
  <c r="AT138" i="15" s="1"/>
  <c r="AT201" i="15" s="1"/>
  <c r="BL17" i="15"/>
  <c r="BL11" i="15"/>
  <c r="AT53" i="15"/>
  <c r="AS86" i="15"/>
  <c r="AR100" i="15"/>
  <c r="AR85" i="15"/>
  <c r="D419" i="17"/>
  <c r="D414" i="17"/>
  <c r="D416" i="17"/>
  <c r="AP100" i="15"/>
  <c r="E416" i="17"/>
  <c r="E414" i="17"/>
  <c r="BV10" i="15"/>
  <c r="BV8" i="15"/>
  <c r="E435" i="17"/>
  <c r="E436" i="17" s="1"/>
  <c r="E438" i="17" s="1"/>
  <c r="D436" i="17"/>
  <c r="D438" i="17" s="1"/>
  <c r="AQ190" i="15"/>
  <c r="P190" i="15"/>
  <c r="AQ69" i="15"/>
  <c r="AQ161" i="15"/>
  <c r="AQ227" i="15"/>
  <c r="AQ134" i="15"/>
  <c r="AQ100" i="15"/>
  <c r="AQ85" i="15"/>
  <c r="AP85" i="15"/>
  <c r="AP42" i="15"/>
  <c r="AP119" i="15"/>
  <c r="AP178" i="15"/>
  <c r="AP246" i="15"/>
  <c r="AP141" i="15"/>
  <c r="AP204" i="15" s="1"/>
  <c r="AP44" i="15"/>
  <c r="AP43" i="15"/>
  <c r="AP25" i="15"/>
  <c r="AP27" i="15" s="1"/>
  <c r="AS89" i="15" s="1"/>
  <c r="AP131" i="15"/>
  <c r="AP177" i="15"/>
  <c r="AP245" i="15"/>
  <c r="AP260" i="15" s="1"/>
  <c r="AP142" i="15"/>
  <c r="AP205" i="15" s="1"/>
  <c r="AP56" i="15"/>
  <c r="AP54" i="15"/>
  <c r="BP11" i="15"/>
  <c r="AO11" i="15"/>
  <c r="BS23" i="15"/>
  <c r="BS11" i="15"/>
  <c r="BK44" i="15" l="1"/>
  <c r="BK43" i="15"/>
  <c r="BK25" i="15"/>
  <c r="BK27" i="15" s="1"/>
  <c r="BK32" i="15" s="1"/>
  <c r="BN17" i="15"/>
  <c r="BN40" i="15" s="1"/>
  <c r="AU128" i="15"/>
  <c r="AU187" i="15" s="1"/>
  <c r="AU257" i="15"/>
  <c r="AV257" i="15"/>
  <c r="AV138" i="15"/>
  <c r="AV201" i="15" s="1"/>
  <c r="AV128" i="15"/>
  <c r="AV187" i="15" s="1"/>
  <c r="AS138" i="15"/>
  <c r="AT128" i="15"/>
  <c r="AT187" i="15" s="1"/>
  <c r="AR236" i="15"/>
  <c r="AT257" i="15"/>
  <c r="BL40" i="15"/>
  <c r="BL23" i="15"/>
  <c r="AS187" i="15"/>
  <c r="AQ89" i="15"/>
  <c r="AR89" i="15"/>
  <c r="BV17" i="15"/>
  <c r="BV23" i="15" s="1"/>
  <c r="BV25" i="15" s="1"/>
  <c r="BV27" i="15" s="1"/>
  <c r="BV32" i="15" s="1"/>
  <c r="BV11" i="15"/>
  <c r="AQ164" i="15"/>
  <c r="AQ230" i="15"/>
  <c r="AQ75" i="15"/>
  <c r="AP89" i="15"/>
  <c r="AP32" i="15"/>
  <c r="AP190" i="15"/>
  <c r="BS25" i="15"/>
  <c r="BS27" i="15" s="1"/>
  <c r="BS32" i="15" s="1"/>
  <c r="BU32" i="15"/>
  <c r="BN23" i="15" l="1"/>
  <c r="BN44" i="15" s="1"/>
  <c r="BL25" i="15"/>
  <c r="BL27" i="15" s="1"/>
  <c r="BL32" i="15" s="1"/>
  <c r="BL43" i="15"/>
  <c r="BL44" i="15"/>
  <c r="AQ170" i="15"/>
  <c r="AQ236" i="15"/>
  <c r="AL9" i="18"/>
  <c r="AL27" i="18"/>
  <c r="AL36" i="18"/>
  <c r="BN25" i="15" l="1"/>
  <c r="BN27" i="15" s="1"/>
  <c r="BN32" i="15" s="1"/>
  <c r="BN43" i="15"/>
  <c r="AL10" i="18"/>
  <c r="AL18" i="18"/>
  <c r="D499" i="17"/>
  <c r="D506" i="17"/>
  <c r="D526" i="17" s="1"/>
  <c r="D507" i="17"/>
  <c r="D505" i="17"/>
  <c r="D504" i="17"/>
  <c r="D503" i="17"/>
  <c r="D502" i="17"/>
  <c r="D501" i="17"/>
  <c r="D529" i="17" s="1"/>
  <c r="D500" i="17"/>
  <c r="C527" i="17"/>
  <c r="C528" i="17" s="1"/>
  <c r="C529" i="17" s="1"/>
  <c r="C530" i="17" s="1"/>
  <c r="D534" i="17" l="1"/>
  <c r="D531" i="17"/>
  <c r="AL37" i="18"/>
  <c r="AL35" i="18"/>
  <c r="AL28" i="18"/>
  <c r="AL26" i="18"/>
  <c r="AL19" i="18"/>
  <c r="AL17" i="18"/>
  <c r="AL8" i="18"/>
  <c r="J38" i="18"/>
  <c r="J29" i="18"/>
  <c r="J20" i="18"/>
  <c r="J11" i="18"/>
  <c r="AO118" i="15"/>
  <c r="AO111" i="15"/>
  <c r="AO98" i="15"/>
  <c r="AO97" i="15"/>
  <c r="AO96" i="15"/>
  <c r="AO95" i="15"/>
  <c r="AO57" i="15"/>
  <c r="AS58" i="15" s="1"/>
  <c r="AO193" i="15"/>
  <c r="M108" i="15"/>
  <c r="AO108" i="15" s="1"/>
  <c r="M107" i="15"/>
  <c r="M76" i="15"/>
  <c r="M171" i="15" s="1"/>
  <c r="M73" i="15"/>
  <c r="M168" i="15" s="1"/>
  <c r="M67" i="15"/>
  <c r="M90" i="15" s="1"/>
  <c r="M70" i="15"/>
  <c r="M165" i="15" s="1"/>
  <c r="M196" i="15"/>
  <c r="M175" i="15"/>
  <c r="M169" i="15"/>
  <c r="M167" i="15"/>
  <c r="M166" i="15"/>
  <c r="M163" i="15"/>
  <c r="M160" i="15"/>
  <c r="M159" i="15"/>
  <c r="M153" i="15"/>
  <c r="N154" i="15" s="1"/>
  <c r="M150" i="15"/>
  <c r="N151" i="15" s="1"/>
  <c r="M140" i="15"/>
  <c r="M104" i="15"/>
  <c r="M103" i="15"/>
  <c r="M102" i="15"/>
  <c r="M99" i="15"/>
  <c r="M93" i="15"/>
  <c r="M121" i="15" s="1"/>
  <c r="M213" i="15" s="1"/>
  <c r="M133" i="15" s="1"/>
  <c r="M88" i="15"/>
  <c r="M137" i="15" s="1"/>
  <c r="M87" i="15"/>
  <c r="M84" i="15"/>
  <c r="M134" i="15" s="1"/>
  <c r="M62" i="15"/>
  <c r="M157" i="15" s="1"/>
  <c r="M59" i="15"/>
  <c r="M58" i="15"/>
  <c r="M49" i="15"/>
  <c r="M61" i="15" s="1"/>
  <c r="M83" i="15" s="1"/>
  <c r="M147" i="15" s="1"/>
  <c r="M47" i="15"/>
  <c r="M41" i="15"/>
  <c r="M39" i="15"/>
  <c r="M38" i="15"/>
  <c r="M37" i="15"/>
  <c r="M36" i="15"/>
  <c r="M35" i="15"/>
  <c r="M10" i="15"/>
  <c r="M11" i="15" s="1"/>
  <c r="M8" i="15"/>
  <c r="AO196" i="15"/>
  <c r="AO93" i="15"/>
  <c r="AO121" i="15" s="1"/>
  <c r="AO213" i="15" s="1"/>
  <c r="AO133" i="15" s="1"/>
  <c r="AO49" i="15"/>
  <c r="AO61" i="15" s="1"/>
  <c r="AO83" i="15" s="1"/>
  <c r="AO147" i="15" s="1"/>
  <c r="D554" i="17"/>
  <c r="D574" i="17" s="1"/>
  <c r="D555" i="17"/>
  <c r="D553" i="17"/>
  <c r="D552" i="17"/>
  <c r="D551" i="17"/>
  <c r="D550" i="17"/>
  <c r="D549" i="17"/>
  <c r="D577" i="17" s="1"/>
  <c r="D548" i="17"/>
  <c r="D547" i="17"/>
  <c r="D560" i="17"/>
  <c r="D558" i="17"/>
  <c r="C575" i="17"/>
  <c r="C576" i="17" s="1"/>
  <c r="C577" i="17" s="1"/>
  <c r="C578" i="17" s="1"/>
  <c r="D607" i="17"/>
  <c r="D605" i="17"/>
  <c r="D615" i="17" s="1"/>
  <c r="D616" i="17" s="1"/>
  <c r="AK38" i="18"/>
  <c r="AK29" i="18"/>
  <c r="AK20" i="18"/>
  <c r="AK11" i="18"/>
  <c r="AN193" i="15"/>
  <c r="AN194" i="15" s="1"/>
  <c r="AN108" i="15"/>
  <c r="AN107" i="15"/>
  <c r="AN196" i="15"/>
  <c r="AN175" i="15"/>
  <c r="AN153" i="15"/>
  <c r="AR154" i="15" s="1"/>
  <c r="AN150" i="15"/>
  <c r="AR151" i="15" s="1"/>
  <c r="AN140" i="15"/>
  <c r="AN104" i="15"/>
  <c r="AN103" i="15"/>
  <c r="AN102" i="15"/>
  <c r="AN99" i="15"/>
  <c r="AN93" i="15"/>
  <c r="AN121" i="15" s="1"/>
  <c r="AN213" i="15" s="1"/>
  <c r="AN133" i="15" s="1"/>
  <c r="AN62" i="15"/>
  <c r="AN59" i="15"/>
  <c r="AN58" i="15"/>
  <c r="AN49" i="15"/>
  <c r="AN61" i="15" s="1"/>
  <c r="AN83" i="15" s="1"/>
  <c r="AN147" i="15" s="1"/>
  <c r="AN39" i="15"/>
  <c r="AN38" i="15"/>
  <c r="AN37" i="15"/>
  <c r="AN36" i="15"/>
  <c r="AN35" i="15"/>
  <c r="AJ38" i="18"/>
  <c r="AJ29" i="18"/>
  <c r="AJ20" i="18"/>
  <c r="AJ11" i="18"/>
  <c r="D602" i="17"/>
  <c r="D601" i="17"/>
  <c r="D600" i="17"/>
  <c r="D599" i="17"/>
  <c r="D598" i="17"/>
  <c r="D597" i="17"/>
  <c r="D596" i="17"/>
  <c r="D595" i="17"/>
  <c r="D594" i="17"/>
  <c r="C622" i="17"/>
  <c r="C623" i="17" s="1"/>
  <c r="C624" i="17" s="1"/>
  <c r="C625" i="17" s="1"/>
  <c r="AM193" i="15"/>
  <c r="AM108" i="15"/>
  <c r="AM107" i="15"/>
  <c r="AM104" i="15"/>
  <c r="AL104" i="15"/>
  <c r="AJ104" i="15"/>
  <c r="AI104" i="15"/>
  <c r="AH104" i="15"/>
  <c r="AF104" i="15"/>
  <c r="AE104" i="15"/>
  <c r="AM103" i="15"/>
  <c r="AL103" i="15"/>
  <c r="AJ103" i="15"/>
  <c r="AI103" i="15"/>
  <c r="AH103" i="15"/>
  <c r="AF103" i="15"/>
  <c r="AE103" i="15"/>
  <c r="AM102" i="15"/>
  <c r="AL102" i="15"/>
  <c r="AJ102" i="15"/>
  <c r="AI102" i="15"/>
  <c r="AH102" i="15"/>
  <c r="AF102" i="15"/>
  <c r="AE102" i="15"/>
  <c r="AD104" i="15"/>
  <c r="AD103" i="15"/>
  <c r="AD102" i="15"/>
  <c r="L104" i="15"/>
  <c r="K104" i="15"/>
  <c r="J104" i="15"/>
  <c r="I104" i="15"/>
  <c r="H104" i="15"/>
  <c r="L103" i="15"/>
  <c r="K103" i="15"/>
  <c r="J103" i="15"/>
  <c r="I103" i="15"/>
  <c r="H103" i="15"/>
  <c r="L102" i="15"/>
  <c r="K102" i="15"/>
  <c r="J102" i="15"/>
  <c r="I102" i="15"/>
  <c r="H102" i="15"/>
  <c r="G103" i="15"/>
  <c r="G104" i="15"/>
  <c r="G102" i="15"/>
  <c r="AM72" i="15"/>
  <c r="AM65" i="15"/>
  <c r="AM64" i="15"/>
  <c r="AM51" i="15"/>
  <c r="AM196" i="15"/>
  <c r="AM175" i="15"/>
  <c r="AM153" i="15"/>
  <c r="AQ154" i="15" s="1"/>
  <c r="AM150" i="15"/>
  <c r="AQ151" i="15" s="1"/>
  <c r="AM140" i="15"/>
  <c r="AM99" i="15"/>
  <c r="AM93" i="15"/>
  <c r="AM121" i="15" s="1"/>
  <c r="AM213" i="15" s="1"/>
  <c r="AM133" i="15" s="1"/>
  <c r="AM68" i="15"/>
  <c r="AM62" i="15"/>
  <c r="AM157" i="15" s="1"/>
  <c r="AM59" i="15"/>
  <c r="AM58" i="15"/>
  <c r="AM49" i="15"/>
  <c r="AM61" i="15" s="1"/>
  <c r="AM83" i="15" s="1"/>
  <c r="AM147" i="15" s="1"/>
  <c r="AM39" i="15"/>
  <c r="AM38" i="15"/>
  <c r="AM37" i="15"/>
  <c r="AM36" i="15"/>
  <c r="AM35" i="15"/>
  <c r="L208" i="15"/>
  <c r="D653" i="17"/>
  <c r="D651" i="17"/>
  <c r="D695" i="17"/>
  <c r="D648" i="17"/>
  <c r="D647" i="17"/>
  <c r="D667" i="17" s="1"/>
  <c r="D646" i="17"/>
  <c r="D645" i="17"/>
  <c r="D644" i="17"/>
  <c r="D643" i="17"/>
  <c r="D642" i="17"/>
  <c r="D670" i="17" s="1"/>
  <c r="D641" i="17"/>
  <c r="D640" i="17"/>
  <c r="C668" i="17"/>
  <c r="C669" i="17" s="1"/>
  <c r="C670" i="17" s="1"/>
  <c r="C671" i="17" s="1"/>
  <c r="AO241" i="15" l="1"/>
  <c r="AO194" i="15"/>
  <c r="AM241" i="15"/>
  <c r="AM194" i="15"/>
  <c r="AN248" i="15"/>
  <c r="AN241" i="15"/>
  <c r="M135" i="15"/>
  <c r="M136" i="15" s="1"/>
  <c r="M126" i="15"/>
  <c r="M180" i="15" s="1"/>
  <c r="AO248" i="15"/>
  <c r="J590" i="17"/>
  <c r="E625" i="17" s="1"/>
  <c r="AM248" i="15"/>
  <c r="N192" i="15"/>
  <c r="AS197" i="15"/>
  <c r="AS198" i="15"/>
  <c r="AS200" i="15"/>
  <c r="AS201" i="15"/>
  <c r="N158" i="15"/>
  <c r="N66" i="15"/>
  <c r="AR87" i="15"/>
  <c r="AQ87" i="15"/>
  <c r="AQ126" i="15" s="1"/>
  <c r="AQ180" i="15" s="1"/>
  <c r="AM47" i="15"/>
  <c r="AM160" i="15"/>
  <c r="AM167" i="15"/>
  <c r="AP87" i="15"/>
  <c r="AM159" i="15"/>
  <c r="AM166" i="15"/>
  <c r="AM163" i="15"/>
  <c r="AM169" i="15"/>
  <c r="D472" i="17"/>
  <c r="D473" i="17" s="1"/>
  <c r="E462" i="17"/>
  <c r="E472" i="17" s="1"/>
  <c r="E473" i="17" s="1"/>
  <c r="J448" i="17"/>
  <c r="AN155" i="15"/>
  <c r="M109" i="15"/>
  <c r="M42" i="15" s="1"/>
  <c r="M155" i="15"/>
  <c r="J495" i="17"/>
  <c r="E531" i="17" s="1"/>
  <c r="AO41" i="15"/>
  <c r="AO102" i="15"/>
  <c r="AO140" i="15"/>
  <c r="AO203" i="15" s="1"/>
  <c r="D510" i="17"/>
  <c r="D512" i="17"/>
  <c r="D626" i="17"/>
  <c r="D672" i="17"/>
  <c r="AL38" i="18"/>
  <c r="AL11" i="18"/>
  <c r="AL29" i="18"/>
  <c r="AL20" i="18"/>
  <c r="M193" i="15"/>
  <c r="AO99" i="15"/>
  <c r="AO107" i="15"/>
  <c r="M100" i="15"/>
  <c r="M138" i="15"/>
  <c r="M128" i="15"/>
  <c r="AO104" i="15"/>
  <c r="M17" i="15"/>
  <c r="M129" i="15"/>
  <c r="M46" i="15"/>
  <c r="M162" i="15"/>
  <c r="AO37" i="15"/>
  <c r="AO103" i="15"/>
  <c r="AM243" i="15"/>
  <c r="AO39" i="15"/>
  <c r="AO38" i="15"/>
  <c r="AO59" i="15"/>
  <c r="AN64" i="15"/>
  <c r="J543" i="17"/>
  <c r="E574" i="17" s="1"/>
  <c r="AO87" i="15"/>
  <c r="AO126" i="15" s="1"/>
  <c r="AO180" i="15" s="1"/>
  <c r="AO175" i="15"/>
  <c r="AO243" i="15" s="1"/>
  <c r="AN51" i="15"/>
  <c r="AN65" i="15"/>
  <c r="AO62" i="15"/>
  <c r="AO192" i="15"/>
  <c r="AO36" i="15"/>
  <c r="D568" i="17"/>
  <c r="D569" i="17" s="1"/>
  <c r="AO153" i="15"/>
  <c r="AS154" i="15" s="1"/>
  <c r="AO150" i="15"/>
  <c r="AS151" i="15" s="1"/>
  <c r="AO84" i="15"/>
  <c r="AO134" i="15" s="1"/>
  <c r="AN243" i="15"/>
  <c r="AN72" i="15"/>
  <c r="AM109" i="15"/>
  <c r="AM114" i="15" s="1"/>
  <c r="AM119" i="15" s="1"/>
  <c r="D579" i="17"/>
  <c r="D624" i="17"/>
  <c r="D582" i="17"/>
  <c r="AN203" i="15"/>
  <c r="AN109" i="15"/>
  <c r="AN113" i="15" s="1"/>
  <c r="AN44" i="15"/>
  <c r="AN43" i="15"/>
  <c r="AN50" i="15"/>
  <c r="AN157" i="15"/>
  <c r="AN192" i="15"/>
  <c r="AN40" i="15"/>
  <c r="AN68" i="15"/>
  <c r="D621" i="17"/>
  <c r="D629" i="17"/>
  <c r="AM203" i="15"/>
  <c r="AM155" i="15"/>
  <c r="AM44" i="15"/>
  <c r="AM43" i="15"/>
  <c r="AM40" i="15"/>
  <c r="AM50" i="15"/>
  <c r="AM52" i="15" s="1"/>
  <c r="AQ53" i="15" s="1"/>
  <c r="D661" i="17"/>
  <c r="D662" i="17" s="1"/>
  <c r="D675" i="17"/>
  <c r="AL193" i="15"/>
  <c r="AL194" i="15" s="1"/>
  <c r="AL108" i="15"/>
  <c r="AL107" i="15"/>
  <c r="AL76" i="15"/>
  <c r="AL73" i="15"/>
  <c r="AL70" i="15"/>
  <c r="AL67" i="15"/>
  <c r="AI38" i="18"/>
  <c r="AI29" i="18"/>
  <c r="AI20" i="18"/>
  <c r="AI11" i="18"/>
  <c r="AL196" i="15"/>
  <c r="AL175" i="15"/>
  <c r="AL169" i="15"/>
  <c r="AL167" i="15"/>
  <c r="AL166" i="15"/>
  <c r="AL163" i="15"/>
  <c r="AL160" i="15"/>
  <c r="AL159" i="15"/>
  <c r="AL153" i="15"/>
  <c r="AP154" i="15" s="1"/>
  <c r="AL150" i="15"/>
  <c r="AP151" i="15" s="1"/>
  <c r="AL140" i="15"/>
  <c r="AL99" i="15"/>
  <c r="AL93" i="15"/>
  <c r="AL121" i="15" s="1"/>
  <c r="AL213" i="15" s="1"/>
  <c r="AL133" i="15" s="1"/>
  <c r="AL62" i="15"/>
  <c r="AL59" i="15"/>
  <c r="AL58" i="15"/>
  <c r="AL49" i="15"/>
  <c r="AL61" i="15" s="1"/>
  <c r="AL83" i="15" s="1"/>
  <c r="AL147" i="15" s="1"/>
  <c r="AL47" i="15"/>
  <c r="AL39" i="15"/>
  <c r="AL38" i="15"/>
  <c r="AL37" i="15"/>
  <c r="AL36" i="15"/>
  <c r="AL35" i="15"/>
  <c r="M241" i="15" l="1"/>
  <c r="M194" i="15"/>
  <c r="M182" i="15"/>
  <c r="E598" i="17"/>
  <c r="E601" i="17"/>
  <c r="E602" i="17"/>
  <c r="E600" i="17"/>
  <c r="E626" i="17"/>
  <c r="E623" i="17"/>
  <c r="E596" i="17"/>
  <c r="E629" i="17"/>
  <c r="E621" i="17"/>
  <c r="AL248" i="15"/>
  <c r="AL241" i="15"/>
  <c r="E595" i="17"/>
  <c r="E607" i="17"/>
  <c r="E605" i="17"/>
  <c r="E624" i="17"/>
  <c r="E594" i="17"/>
  <c r="E597" i="17"/>
  <c r="E599" i="17"/>
  <c r="D466" i="17"/>
  <c r="AP126" i="15"/>
  <c r="AP180" i="15" s="1"/>
  <c r="D368" i="17"/>
  <c r="F367" i="17" s="1"/>
  <c r="AR126" i="15"/>
  <c r="AR180" i="15" s="1"/>
  <c r="E622" i="17"/>
  <c r="M243" i="15"/>
  <c r="M248" i="15"/>
  <c r="AS207" i="15"/>
  <c r="AS199" i="15"/>
  <c r="AS206" i="15"/>
  <c r="AR123" i="15"/>
  <c r="AR184" i="15" s="1"/>
  <c r="AR124" i="15"/>
  <c r="AR143" i="15" s="1"/>
  <c r="N69" i="15"/>
  <c r="N161" i="15"/>
  <c r="AR135" i="15"/>
  <c r="AR136" i="15" s="1"/>
  <c r="AR197" i="15"/>
  <c r="P219" i="15"/>
  <c r="AP124" i="15"/>
  <c r="AP143" i="15" s="1"/>
  <c r="AQ135" i="15"/>
  <c r="AQ198" i="15" s="1"/>
  <c r="D417" i="17"/>
  <c r="AQ123" i="15"/>
  <c r="AQ184" i="15" s="1"/>
  <c r="AQ124" i="15"/>
  <c r="AQ143" i="15" s="1"/>
  <c r="AO64" i="15"/>
  <c r="AO51" i="15"/>
  <c r="AO68" i="15"/>
  <c r="AO65" i="15"/>
  <c r="AO74" i="15"/>
  <c r="P153" i="15"/>
  <c r="P62" i="15"/>
  <c r="P87" i="15"/>
  <c r="P126" i="15" s="1"/>
  <c r="P180" i="15" s="1"/>
  <c r="AO72" i="15"/>
  <c r="AO71" i="15"/>
  <c r="J544" i="17"/>
  <c r="AQ197" i="15"/>
  <c r="AP123" i="15"/>
  <c r="AP184" i="15" s="1"/>
  <c r="AP135" i="15"/>
  <c r="AP182" i="15" s="1"/>
  <c r="J496" i="17"/>
  <c r="D514" i="17"/>
  <c r="E464" i="17"/>
  <c r="AP229" i="15"/>
  <c r="AP232" i="15"/>
  <c r="AP219" i="15"/>
  <c r="AP235" i="15"/>
  <c r="AP226" i="15"/>
  <c r="AP216" i="15"/>
  <c r="AT217" i="15" s="1"/>
  <c r="AP233" i="15"/>
  <c r="AP225" i="15"/>
  <c r="AP231" i="15"/>
  <c r="AP223" i="15"/>
  <c r="AP234" i="15"/>
  <c r="AP237" i="15"/>
  <c r="AP228" i="15"/>
  <c r="E479" i="17"/>
  <c r="E480" i="17"/>
  <c r="E451" i="17"/>
  <c r="E456" i="17"/>
  <c r="E458" i="17"/>
  <c r="E482" i="17"/>
  <c r="E459" i="17"/>
  <c r="E481" i="17"/>
  <c r="E453" i="17"/>
  <c r="E457" i="17"/>
  <c r="E452" i="17"/>
  <c r="E454" i="17"/>
  <c r="E455" i="17"/>
  <c r="E483" i="17"/>
  <c r="E486" i="17"/>
  <c r="E478" i="17"/>
  <c r="M203" i="15"/>
  <c r="M114" i="15"/>
  <c r="M141" i="15" s="1"/>
  <c r="M204" i="15" s="1"/>
  <c r="M113" i="15"/>
  <c r="M142" i="15" s="1"/>
  <c r="M205" i="15" s="1"/>
  <c r="E550" i="17"/>
  <c r="E512" i="17"/>
  <c r="E499" i="17"/>
  <c r="E507" i="17"/>
  <c r="E505" i="17"/>
  <c r="E506" i="17"/>
  <c r="E534" i="17"/>
  <c r="E503" i="17"/>
  <c r="E529" i="17"/>
  <c r="E530" i="17"/>
  <c r="E526" i="17"/>
  <c r="E527" i="17"/>
  <c r="E502" i="17"/>
  <c r="E500" i="17"/>
  <c r="E528" i="17"/>
  <c r="E504" i="17"/>
  <c r="E501" i="17"/>
  <c r="D520" i="17"/>
  <c r="D521" i="17" s="1"/>
  <c r="E510" i="17"/>
  <c r="E520" i="17" s="1"/>
  <c r="E521" i="17" s="1"/>
  <c r="E579" i="17"/>
  <c r="AM67" i="15"/>
  <c r="AM76" i="15"/>
  <c r="E553" i="17"/>
  <c r="E560" i="17"/>
  <c r="AN47" i="15"/>
  <c r="AO100" i="15"/>
  <c r="AO219" i="15"/>
  <c r="M187" i="15"/>
  <c r="AM113" i="15"/>
  <c r="AM142" i="15" s="1"/>
  <c r="AM205" i="15" s="1"/>
  <c r="D603" i="17"/>
  <c r="E603" i="17" s="1"/>
  <c r="M188" i="15"/>
  <c r="M50" i="15"/>
  <c r="M52" i="15" s="1"/>
  <c r="N53" i="15" s="1"/>
  <c r="M40" i="15"/>
  <c r="M85" i="15"/>
  <c r="M23" i="15"/>
  <c r="AM70" i="15"/>
  <c r="AO216" i="15"/>
  <c r="AS217" i="15" s="1"/>
  <c r="D556" i="17"/>
  <c r="D557" i="17" s="1"/>
  <c r="D561" i="17" s="1"/>
  <c r="AO223" i="15"/>
  <c r="AO157" i="15"/>
  <c r="E558" i="17"/>
  <c r="E568" i="17" s="1"/>
  <c r="E569" i="17" s="1"/>
  <c r="AN52" i="15"/>
  <c r="E549" i="17"/>
  <c r="E577" i="17"/>
  <c r="AN223" i="15"/>
  <c r="E578" i="17"/>
  <c r="E576" i="17"/>
  <c r="AO135" i="15"/>
  <c r="AM73" i="15"/>
  <c r="E554" i="17"/>
  <c r="E548" i="17"/>
  <c r="E551" i="17"/>
  <c r="E555" i="17"/>
  <c r="E547" i="17"/>
  <c r="E575" i="17"/>
  <c r="E552" i="17"/>
  <c r="E582" i="17"/>
  <c r="AO155" i="15"/>
  <c r="AN224" i="15"/>
  <c r="AN114" i="15"/>
  <c r="AN246" i="15" s="1"/>
  <c r="AN158" i="15"/>
  <c r="AN160" i="15"/>
  <c r="AN226" i="15"/>
  <c r="AN163" i="15"/>
  <c r="AN229" i="15"/>
  <c r="AN167" i="15"/>
  <c r="AN233" i="15"/>
  <c r="AN159" i="15"/>
  <c r="AN225" i="15"/>
  <c r="AN232" i="15"/>
  <c r="AN166" i="15"/>
  <c r="AN169" i="15"/>
  <c r="AN235" i="15"/>
  <c r="AN66" i="15"/>
  <c r="AN131" i="15"/>
  <c r="AN142" i="15"/>
  <c r="AN205" i="15" s="1"/>
  <c r="AN177" i="15"/>
  <c r="AN245" i="15"/>
  <c r="AN260" i="15" s="1"/>
  <c r="AL203" i="15"/>
  <c r="AN219" i="15"/>
  <c r="AN216" i="15"/>
  <c r="AR217" i="15" s="1"/>
  <c r="J636" i="17"/>
  <c r="AL109" i="15"/>
  <c r="D649" i="17" s="1"/>
  <c r="D673" i="17" s="1"/>
  <c r="AL46" i="15"/>
  <c r="AL155" i="15"/>
  <c r="AL165" i="15"/>
  <c r="AM56" i="15"/>
  <c r="AM54" i="15"/>
  <c r="AM192" i="15"/>
  <c r="AL171" i="15"/>
  <c r="AM141" i="15"/>
  <c r="AM204" i="15" s="1"/>
  <c r="AM246" i="15"/>
  <c r="AM178" i="15"/>
  <c r="AL243" i="15"/>
  <c r="AL157" i="15"/>
  <c r="AL168" i="15"/>
  <c r="AL162" i="15"/>
  <c r="AH41" i="18"/>
  <c r="AH32" i="18"/>
  <c r="AH23" i="18"/>
  <c r="E719" i="17"/>
  <c r="E718" i="17"/>
  <c r="E717" i="17"/>
  <c r="E716" i="17"/>
  <c r="AH37" i="18"/>
  <c r="AH36" i="18"/>
  <c r="AH35" i="18"/>
  <c r="AH28" i="18"/>
  <c r="AH27" i="18"/>
  <c r="AH26" i="18"/>
  <c r="AH17" i="18"/>
  <c r="AH19" i="18"/>
  <c r="AH18" i="18"/>
  <c r="AH10" i="18"/>
  <c r="AH9" i="18"/>
  <c r="AH8" i="18"/>
  <c r="AD8" i="18"/>
  <c r="AD12" i="18" s="1"/>
  <c r="I38" i="18"/>
  <c r="I29" i="18"/>
  <c r="I20" i="18"/>
  <c r="I11" i="18"/>
  <c r="D694" i="17"/>
  <c r="D693" i="17"/>
  <c r="D692" i="17"/>
  <c r="D691" i="17"/>
  <c r="D690" i="17"/>
  <c r="D689" i="17"/>
  <c r="D688" i="17"/>
  <c r="D687" i="17"/>
  <c r="D720" i="17"/>
  <c r="C715" i="17"/>
  <c r="C716" i="17" s="1"/>
  <c r="C717" i="17" s="1"/>
  <c r="C718" i="17" s="1"/>
  <c r="AK196" i="15"/>
  <c r="L196" i="15"/>
  <c r="AK193" i="15"/>
  <c r="L175" i="15"/>
  <c r="L169" i="15"/>
  <c r="L167" i="15"/>
  <c r="L166" i="15"/>
  <c r="L163" i="15"/>
  <c r="L160" i="15"/>
  <c r="L159" i="15"/>
  <c r="L153" i="15"/>
  <c r="M154" i="15" s="1"/>
  <c r="L150" i="15"/>
  <c r="M151" i="15" s="1"/>
  <c r="L140" i="15"/>
  <c r="AK118" i="15"/>
  <c r="AK111" i="15"/>
  <c r="D698" i="17" s="1"/>
  <c r="D708" i="17" s="1"/>
  <c r="D709" i="17" s="1"/>
  <c r="L108" i="15"/>
  <c r="AK108" i="15" s="1"/>
  <c r="L107" i="15"/>
  <c r="L84" i="15"/>
  <c r="L134" i="15" s="1"/>
  <c r="L88" i="15"/>
  <c r="L137" i="15" s="1"/>
  <c r="L87" i="15"/>
  <c r="L126" i="15" s="1"/>
  <c r="L180" i="15" s="1"/>
  <c r="L76" i="15"/>
  <c r="L73" i="15"/>
  <c r="L168" i="15" s="1"/>
  <c r="L70" i="15"/>
  <c r="L67" i="15"/>
  <c r="AK98" i="15"/>
  <c r="AK97" i="15"/>
  <c r="AK96" i="15"/>
  <c r="AK95" i="15"/>
  <c r="L99" i="15"/>
  <c r="AK93" i="15"/>
  <c r="AK121" i="15" s="1"/>
  <c r="AK213" i="15" s="1"/>
  <c r="AK133" i="15" s="1"/>
  <c r="L93" i="15"/>
  <c r="L121" i="15" s="1"/>
  <c r="L213" i="15" s="1"/>
  <c r="L133" i="15" s="1"/>
  <c r="L62" i="15"/>
  <c r="L59" i="15"/>
  <c r="L58" i="15"/>
  <c r="AK57" i="15"/>
  <c r="L49" i="15"/>
  <c r="L61" i="15" s="1"/>
  <c r="L83" i="15" s="1"/>
  <c r="L147" i="15" s="1"/>
  <c r="AK49" i="15"/>
  <c r="AK61" i="15" s="1"/>
  <c r="AK83" i="15" s="1"/>
  <c r="AK147" i="15" s="1"/>
  <c r="L47" i="15"/>
  <c r="L41" i="15"/>
  <c r="L39" i="15"/>
  <c r="L38" i="15"/>
  <c r="L37" i="15"/>
  <c r="L36" i="15"/>
  <c r="L35" i="15"/>
  <c r="AK30" i="15"/>
  <c r="AK29" i="15"/>
  <c r="AK26" i="15"/>
  <c r="AK24" i="15"/>
  <c r="AK22" i="15"/>
  <c r="AK21" i="15"/>
  <c r="AK20" i="15"/>
  <c r="AK19" i="15"/>
  <c r="AK18" i="15"/>
  <c r="AK16" i="15"/>
  <c r="AK15" i="15"/>
  <c r="AK14" i="15"/>
  <c r="AK13" i="15"/>
  <c r="AK12" i="15"/>
  <c r="AK9" i="15"/>
  <c r="AG7" i="15"/>
  <c r="L10" i="15"/>
  <c r="L11" i="15" s="1"/>
  <c r="L8" i="15"/>
  <c r="D741" i="17"/>
  <c r="D740" i="17"/>
  <c r="D739" i="17"/>
  <c r="D738" i="17"/>
  <c r="D737" i="17"/>
  <c r="D736" i="17"/>
  <c r="D735" i="17"/>
  <c r="D734" i="17"/>
  <c r="D733" i="17"/>
  <c r="D746" i="17"/>
  <c r="D744" i="17"/>
  <c r="D766" i="17"/>
  <c r="C761" i="17"/>
  <c r="C762" i="17" s="1"/>
  <c r="C763" i="17" s="1"/>
  <c r="C764" i="17" s="1"/>
  <c r="AG38" i="18"/>
  <c r="AG29" i="18"/>
  <c r="AG20" i="18"/>
  <c r="AG11" i="18"/>
  <c r="AJ193" i="15"/>
  <c r="AJ108" i="15"/>
  <c r="AJ107" i="15"/>
  <c r="AJ196" i="15"/>
  <c r="AJ175" i="15"/>
  <c r="AJ153" i="15"/>
  <c r="AN154" i="15" s="1"/>
  <c r="AJ150" i="15"/>
  <c r="AN151" i="15" s="1"/>
  <c r="AJ140" i="15"/>
  <c r="AJ99" i="15"/>
  <c r="AJ93" i="15"/>
  <c r="AJ121" i="15" s="1"/>
  <c r="AJ213" i="15" s="1"/>
  <c r="AJ133" i="15" s="1"/>
  <c r="AJ62" i="15"/>
  <c r="AJ157" i="15" s="1"/>
  <c r="AJ59" i="15"/>
  <c r="AJ58" i="15"/>
  <c r="AJ49" i="15"/>
  <c r="AJ61" i="15" s="1"/>
  <c r="AJ83" i="15" s="1"/>
  <c r="AJ147" i="15" s="1"/>
  <c r="AJ39" i="15"/>
  <c r="AJ38" i="15"/>
  <c r="AJ37" i="15"/>
  <c r="AJ36" i="15"/>
  <c r="AJ35" i="15"/>
  <c r="AJ10" i="15"/>
  <c r="AJ11" i="15" s="1"/>
  <c r="AJ8" i="15"/>
  <c r="AL192" i="15" l="1"/>
  <c r="AK194" i="15"/>
  <c r="AJ248" i="15"/>
  <c r="AJ194" i="15"/>
  <c r="AS220" i="15"/>
  <c r="AR250" i="15"/>
  <c r="AT220" i="15"/>
  <c r="AS250" i="15"/>
  <c r="AR220" i="15"/>
  <c r="AQ250" i="15"/>
  <c r="F365" i="17"/>
  <c r="F363" i="17"/>
  <c r="E368" i="17"/>
  <c r="G367" i="17" s="1"/>
  <c r="D700" i="17"/>
  <c r="AK248" i="15"/>
  <c r="AR144" i="15"/>
  <c r="AR185" i="15"/>
  <c r="AR182" i="15"/>
  <c r="AS63" i="15"/>
  <c r="AR198" i="15"/>
  <c r="AR199" i="15" s="1"/>
  <c r="N229" i="15"/>
  <c r="N235" i="15"/>
  <c r="N232" i="15"/>
  <c r="N231" i="15"/>
  <c r="N219" i="15"/>
  <c r="O220" i="15" s="1"/>
  <c r="N223" i="15"/>
  <c r="N225" i="15"/>
  <c r="N228" i="15"/>
  <c r="N216" i="15"/>
  <c r="O217" i="15" s="1"/>
  <c r="N201" i="15"/>
  <c r="N200" i="15"/>
  <c r="N233" i="15"/>
  <c r="N237" i="15"/>
  <c r="N226" i="15"/>
  <c r="N234" i="15"/>
  <c r="N197" i="15"/>
  <c r="N198" i="15"/>
  <c r="N250" i="15"/>
  <c r="N255" i="15" s="1"/>
  <c r="N224" i="15"/>
  <c r="N227" i="15"/>
  <c r="N75" i="15"/>
  <c r="N77" i="15" s="1"/>
  <c r="N91" i="15"/>
  <c r="N139" i="15" s="1"/>
  <c r="N202" i="15" s="1"/>
  <c r="N164" i="15"/>
  <c r="N230" i="15"/>
  <c r="AQ182" i="15"/>
  <c r="AO169" i="15"/>
  <c r="AO158" i="15"/>
  <c r="AO229" i="15"/>
  <c r="P163" i="15"/>
  <c r="AO235" i="15"/>
  <c r="AQ136" i="15"/>
  <c r="AN56" i="15"/>
  <c r="AR53" i="15"/>
  <c r="P88" i="15"/>
  <c r="AR88" i="15"/>
  <c r="AP185" i="15"/>
  <c r="AO163" i="15"/>
  <c r="AQ185" i="15"/>
  <c r="E417" i="17"/>
  <c r="F412" i="17"/>
  <c r="F416" i="17"/>
  <c r="F414" i="17"/>
  <c r="AQ144" i="15"/>
  <c r="AO233" i="15"/>
  <c r="AO167" i="15"/>
  <c r="P160" i="15"/>
  <c r="P226" i="15"/>
  <c r="P232" i="15"/>
  <c r="P166" i="15"/>
  <c r="AP88" i="15"/>
  <c r="P223" i="15"/>
  <c r="P157" i="15"/>
  <c r="AQ88" i="15"/>
  <c r="AQ137" i="15" s="1"/>
  <c r="AQ200" i="15" s="1"/>
  <c r="P167" i="15"/>
  <c r="P233" i="15"/>
  <c r="P169" i="15"/>
  <c r="P235" i="15"/>
  <c r="P225" i="15"/>
  <c r="P159" i="15"/>
  <c r="P135" i="15"/>
  <c r="P124" i="15"/>
  <c r="P123" i="15"/>
  <c r="AQ199" i="15"/>
  <c r="AQ206" i="15"/>
  <c r="AQ207" i="15"/>
  <c r="AP136" i="15"/>
  <c r="AN73" i="15"/>
  <c r="AN234" i="15" s="1"/>
  <c r="AN67" i="15"/>
  <c r="AN46" i="15" s="1"/>
  <c r="AP144" i="15"/>
  <c r="AN70" i="15"/>
  <c r="AN76" i="15"/>
  <c r="AO76" i="15" s="1"/>
  <c r="E514" i="17"/>
  <c r="J502" i="17" s="1"/>
  <c r="J504" i="17" s="1"/>
  <c r="E466" i="17"/>
  <c r="J454" i="17" s="1"/>
  <c r="AP221" i="15"/>
  <c r="AO224" i="15"/>
  <c r="J591" i="17"/>
  <c r="AP197" i="15"/>
  <c r="AP198" i="15"/>
  <c r="AP224" i="15"/>
  <c r="AP158" i="15"/>
  <c r="AP66" i="15"/>
  <c r="M131" i="15"/>
  <c r="M178" i="15"/>
  <c r="M246" i="15"/>
  <c r="M119" i="15"/>
  <c r="AM46" i="15"/>
  <c r="M124" i="15"/>
  <c r="M185" i="15" s="1"/>
  <c r="M245" i="15"/>
  <c r="M260" i="15" s="1"/>
  <c r="M177" i="15"/>
  <c r="AM245" i="15"/>
  <c r="AM260" i="15" s="1"/>
  <c r="M123" i="15"/>
  <c r="M144" i="15" s="1"/>
  <c r="D604" i="17"/>
  <c r="D611" i="17" s="1"/>
  <c r="AN119" i="15"/>
  <c r="AN178" i="15"/>
  <c r="AL234" i="15"/>
  <c r="AM168" i="15"/>
  <c r="AN141" i="15"/>
  <c r="AN204" i="15" s="1"/>
  <c r="M192" i="15"/>
  <c r="AM177" i="15"/>
  <c r="E556" i="17"/>
  <c r="E557" i="17" s="1"/>
  <c r="D559" i="17"/>
  <c r="AM162" i="15"/>
  <c r="AM165" i="15"/>
  <c r="D627" i="17"/>
  <c r="E627" i="17" s="1"/>
  <c r="AO221" i="15"/>
  <c r="AM131" i="15"/>
  <c r="M44" i="15"/>
  <c r="M25" i="15"/>
  <c r="M27" i="15" s="1"/>
  <c r="M43" i="15"/>
  <c r="D580" i="17"/>
  <c r="D581" i="17" s="1"/>
  <c r="D583" i="17" s="1"/>
  <c r="M66" i="15"/>
  <c r="M158" i="15"/>
  <c r="M86" i="15"/>
  <c r="M56" i="15"/>
  <c r="M54" i="15"/>
  <c r="AN42" i="15"/>
  <c r="AK192" i="15"/>
  <c r="AK216" i="15" s="1"/>
  <c r="AO217" i="15" s="1"/>
  <c r="AN54" i="15"/>
  <c r="AO197" i="15"/>
  <c r="AN87" i="15"/>
  <c r="AO58" i="15"/>
  <c r="AO198" i="15"/>
  <c r="AO182" i="15"/>
  <c r="AO250" i="15" s="1"/>
  <c r="AO255" i="15" s="1"/>
  <c r="AO136" i="15"/>
  <c r="AO85" i="15"/>
  <c r="AO40" i="15"/>
  <c r="AO50" i="15"/>
  <c r="D564" i="17"/>
  <c r="AN84" i="15"/>
  <c r="AN100" i="15" s="1"/>
  <c r="AN41" i="15"/>
  <c r="AN221" i="15"/>
  <c r="AN190" i="15"/>
  <c r="AN161" i="15"/>
  <c r="AN227" i="15"/>
  <c r="AH11" i="18"/>
  <c r="AK103" i="15"/>
  <c r="AL42" i="15"/>
  <c r="AK102" i="15"/>
  <c r="AK104" i="15"/>
  <c r="AK87" i="15"/>
  <c r="AK135" i="15" s="1"/>
  <c r="D650" i="17"/>
  <c r="D652" i="17" s="1"/>
  <c r="AM234" i="15"/>
  <c r="AL113" i="15"/>
  <c r="AL131" i="15" s="1"/>
  <c r="AL114" i="15"/>
  <c r="AL178" i="15" s="1"/>
  <c r="E675" i="17"/>
  <c r="E615" i="17"/>
  <c r="E616" i="17" s="1"/>
  <c r="AH22" i="18"/>
  <c r="AH31" i="18"/>
  <c r="AH29" i="18"/>
  <c r="AH30" i="18"/>
  <c r="AH40" i="18"/>
  <c r="AH39" i="18"/>
  <c r="AH20" i="18"/>
  <c r="AH38" i="18"/>
  <c r="AH21" i="18"/>
  <c r="AK99" i="15"/>
  <c r="AJ203" i="15"/>
  <c r="AJ243" i="15"/>
  <c r="J729" i="17"/>
  <c r="E765" i="17" s="1"/>
  <c r="L129" i="15"/>
  <c r="L188" i="15" s="1"/>
  <c r="L17" i="15"/>
  <c r="L50" i="15" s="1"/>
  <c r="L52" i="15" s="1"/>
  <c r="L54" i="15" s="1"/>
  <c r="AL233" i="15"/>
  <c r="L109" i="15"/>
  <c r="L113" i="15" s="1"/>
  <c r="AK10" i="15"/>
  <c r="AK17" i="15" s="1"/>
  <c r="AN85" i="15" s="1"/>
  <c r="AK107" i="15"/>
  <c r="AK109" i="15" s="1"/>
  <c r="AL229" i="15"/>
  <c r="AK84" i="15"/>
  <c r="AK134" i="15" s="1"/>
  <c r="AL228" i="15"/>
  <c r="AM231" i="15"/>
  <c r="AM228" i="15"/>
  <c r="AK150" i="15"/>
  <c r="AO151" i="15" s="1"/>
  <c r="AK59" i="15"/>
  <c r="L135" i="15"/>
  <c r="L182" i="15" s="1"/>
  <c r="AK153" i="15"/>
  <c r="AO154" i="15" s="1"/>
  <c r="AK36" i="15"/>
  <c r="AK38" i="15"/>
  <c r="L171" i="15"/>
  <c r="AL226" i="15"/>
  <c r="AL219" i="15"/>
  <c r="AP220" i="15" s="1"/>
  <c r="AK35" i="15"/>
  <c r="AK37" i="15"/>
  <c r="L162" i="15"/>
  <c r="AK39" i="15"/>
  <c r="L155" i="15"/>
  <c r="AL216" i="15"/>
  <c r="AP217" i="15" s="1"/>
  <c r="J637" i="17"/>
  <c r="AL231" i="15"/>
  <c r="L90" i="15"/>
  <c r="L138" i="15" s="1"/>
  <c r="AM87" i="15"/>
  <c r="AM126" i="15" s="1"/>
  <c r="AM180" i="15" s="1"/>
  <c r="AL87" i="15"/>
  <c r="AL126" i="15" s="1"/>
  <c r="AL180" i="15" s="1"/>
  <c r="L157" i="15"/>
  <c r="L165" i="15"/>
  <c r="AK140" i="15"/>
  <c r="AK203" i="15" s="1"/>
  <c r="AK175" i="15"/>
  <c r="AK243" i="15" s="1"/>
  <c r="AL225" i="15"/>
  <c r="AM224" i="15"/>
  <c r="AM158" i="15"/>
  <c r="AM66" i="15"/>
  <c r="E641" i="17"/>
  <c r="E667" i="17"/>
  <c r="E669" i="17"/>
  <c r="E671" i="17"/>
  <c r="E646" i="17"/>
  <c r="E670" i="17"/>
  <c r="E668" i="17"/>
  <c r="E672" i="17"/>
  <c r="E642" i="17"/>
  <c r="E644" i="17"/>
  <c r="E651" i="17"/>
  <c r="E661" i="17" s="1"/>
  <c r="E662" i="17" s="1"/>
  <c r="E648" i="17"/>
  <c r="E645" i="17"/>
  <c r="E653" i="17"/>
  <c r="E647" i="17"/>
  <c r="E640" i="17"/>
  <c r="E643" i="17"/>
  <c r="AM84" i="15"/>
  <c r="AL84" i="15"/>
  <c r="AM41" i="15"/>
  <c r="AL41" i="15"/>
  <c r="L46" i="15"/>
  <c r="AK41" i="15"/>
  <c r="AK62" i="15"/>
  <c r="AL235" i="15"/>
  <c r="AL223" i="15"/>
  <c r="E673" i="17"/>
  <c r="D674" i="17"/>
  <c r="D676" i="17" s="1"/>
  <c r="AK8" i="15"/>
  <c r="AM42" i="15"/>
  <c r="L193" i="15"/>
  <c r="J683" i="17"/>
  <c r="E690" i="17" s="1"/>
  <c r="AL237" i="15"/>
  <c r="AL50" i="15"/>
  <c r="AL52" i="15" s="1"/>
  <c r="AP53" i="15" s="1"/>
  <c r="AL44" i="15"/>
  <c r="AL232" i="15"/>
  <c r="AM171" i="15"/>
  <c r="AM237" i="15"/>
  <c r="AM225" i="15"/>
  <c r="AM235" i="15"/>
  <c r="AM226" i="15"/>
  <c r="AM233" i="15"/>
  <c r="AM219" i="15"/>
  <c r="AM216" i="15"/>
  <c r="AQ217" i="15" s="1"/>
  <c r="AM229" i="15"/>
  <c r="AM232" i="15"/>
  <c r="AM223" i="15"/>
  <c r="E649" i="17"/>
  <c r="AL40" i="15"/>
  <c r="D721" i="17"/>
  <c r="D767" i="17"/>
  <c r="D768" i="17" s="1"/>
  <c r="L100" i="15"/>
  <c r="AJ109" i="15"/>
  <c r="D742" i="17" s="1"/>
  <c r="D754" i="17"/>
  <c r="D755" i="17" s="1"/>
  <c r="AJ17" i="15"/>
  <c r="AJ40" i="15" s="1"/>
  <c r="AJ155" i="15"/>
  <c r="D792" i="17"/>
  <c r="D790" i="17"/>
  <c r="D787" i="17"/>
  <c r="D786" i="17"/>
  <c r="D785" i="17"/>
  <c r="D784" i="17"/>
  <c r="D783" i="17"/>
  <c r="D782" i="17"/>
  <c r="D781" i="17"/>
  <c r="D780" i="17"/>
  <c r="D779" i="17"/>
  <c r="L241" i="15" l="1"/>
  <c r="L194" i="15"/>
  <c r="AQ255" i="15"/>
  <c r="AQ220" i="15"/>
  <c r="AP250" i="15"/>
  <c r="AS255" i="15"/>
  <c r="AS253" i="15"/>
  <c r="AS252" i="15"/>
  <c r="AS258" i="15"/>
  <c r="AS257" i="15"/>
  <c r="G363" i="17"/>
  <c r="J356" i="17"/>
  <c r="J358" i="17" s="1"/>
  <c r="G365" i="17"/>
  <c r="AR253" i="15"/>
  <c r="AR255" i="15"/>
  <c r="AN135" i="15"/>
  <c r="AN126" i="15"/>
  <c r="AN180" i="15" s="1"/>
  <c r="AR252" i="15"/>
  <c r="L243" i="15"/>
  <c r="L248" i="15"/>
  <c r="AQ252" i="15"/>
  <c r="P224" i="15"/>
  <c r="AQ253" i="15"/>
  <c r="N258" i="15"/>
  <c r="N257" i="15"/>
  <c r="AR206" i="15"/>
  <c r="AR207" i="15"/>
  <c r="AS158" i="15"/>
  <c r="AS224" i="15"/>
  <c r="AS66" i="15"/>
  <c r="N78" i="15"/>
  <c r="N170" i="15"/>
  <c r="N236" i="15"/>
  <c r="N221" i="15"/>
  <c r="N253" i="15"/>
  <c r="N252" i="15"/>
  <c r="N199" i="15"/>
  <c r="N207" i="15"/>
  <c r="N206" i="15"/>
  <c r="P229" i="15"/>
  <c r="P137" i="15"/>
  <c r="P200" i="15" s="1"/>
  <c r="P129" i="15"/>
  <c r="AR137" i="15"/>
  <c r="AR200" i="15" s="1"/>
  <c r="AR129" i="15"/>
  <c r="J405" i="17"/>
  <c r="G412" i="17"/>
  <c r="G414" i="17"/>
  <c r="G416" i="17"/>
  <c r="AN237" i="15"/>
  <c r="AO67" i="15"/>
  <c r="AN168" i="15"/>
  <c r="AP137" i="15"/>
  <c r="AP200" i="15" s="1"/>
  <c r="AP129" i="15"/>
  <c r="AN171" i="15"/>
  <c r="AQ129" i="15"/>
  <c r="P184" i="15"/>
  <c r="P144" i="15"/>
  <c r="AN231" i="15"/>
  <c r="P185" i="15"/>
  <c r="P143" i="15"/>
  <c r="AN162" i="15"/>
  <c r="P198" i="15"/>
  <c r="P182" i="15"/>
  <c r="P250" i="15" s="1"/>
  <c r="P255" i="15" s="1"/>
  <c r="AN69" i="15"/>
  <c r="AN230" i="15" s="1"/>
  <c r="AN228" i="15"/>
  <c r="AN165" i="15"/>
  <c r="AO70" i="15"/>
  <c r="AO73" i="15"/>
  <c r="J503" i="17"/>
  <c r="M190" i="15"/>
  <c r="AL124" i="15"/>
  <c r="AL185" i="15" s="1"/>
  <c r="AP161" i="15"/>
  <c r="AP69" i="15"/>
  <c r="AP227" i="15"/>
  <c r="AP199" i="15"/>
  <c r="AP207" i="15"/>
  <c r="AP206" i="15"/>
  <c r="J456" i="17"/>
  <c r="J455" i="17"/>
  <c r="M184" i="15"/>
  <c r="M143" i="15"/>
  <c r="L40" i="15"/>
  <c r="D702" i="17"/>
  <c r="AM190" i="15"/>
  <c r="AN134" i="15"/>
  <c r="AN197" i="15" s="1"/>
  <c r="L23" i="15"/>
  <c r="L25" i="15" s="1"/>
  <c r="L27" i="15" s="1"/>
  <c r="D608" i="17"/>
  <c r="J684" i="17"/>
  <c r="E715" i="17" s="1"/>
  <c r="AK219" i="15"/>
  <c r="AO220" i="15" s="1"/>
  <c r="D606" i="17"/>
  <c r="AL119" i="15"/>
  <c r="D628" i="17"/>
  <c r="D630" i="17" s="1"/>
  <c r="AL141" i="15"/>
  <c r="AL204" i="15" s="1"/>
  <c r="AK155" i="15"/>
  <c r="AL246" i="15"/>
  <c r="E580" i="17"/>
  <c r="E581" i="17" s="1"/>
  <c r="E583" i="17" s="1"/>
  <c r="E561" i="17"/>
  <c r="E559" i="17"/>
  <c r="E734" i="17"/>
  <c r="E739" i="17"/>
  <c r="AL158" i="15"/>
  <c r="M53" i="15"/>
  <c r="M32" i="15"/>
  <c r="M89" i="15"/>
  <c r="E737" i="17"/>
  <c r="AO199" i="15"/>
  <c r="AN124" i="15"/>
  <c r="AN143" i="15" s="1"/>
  <c r="M69" i="15"/>
  <c r="M161" i="15"/>
  <c r="E698" i="17"/>
  <c r="E708" i="17" s="1"/>
  <c r="E709" i="17" s="1"/>
  <c r="E714" i="17"/>
  <c r="AK11" i="15"/>
  <c r="D609" i="17"/>
  <c r="F604" i="17" s="1"/>
  <c r="D562" i="17"/>
  <c r="AN123" i="15"/>
  <c r="AO43" i="15"/>
  <c r="AO44" i="15"/>
  <c r="D657" i="17"/>
  <c r="D654" i="17"/>
  <c r="L136" i="15"/>
  <c r="AL123" i="15"/>
  <c r="AL184" i="15" s="1"/>
  <c r="AL221" i="15"/>
  <c r="AL224" i="15"/>
  <c r="AK100" i="15"/>
  <c r="AL66" i="15"/>
  <c r="AL69" i="15" s="1"/>
  <c r="AL230" i="15" s="1"/>
  <c r="L56" i="15"/>
  <c r="AL177" i="15"/>
  <c r="AL245" i="15"/>
  <c r="AL260" i="15" s="1"/>
  <c r="L86" i="15"/>
  <c r="AL142" i="15"/>
  <c r="AL205" i="15" s="1"/>
  <c r="E628" i="17"/>
  <c r="E630" i="17" s="1"/>
  <c r="E735" i="17"/>
  <c r="E760" i="17"/>
  <c r="E700" i="17"/>
  <c r="E761" i="17"/>
  <c r="E746" i="17"/>
  <c r="E763" i="17"/>
  <c r="E695" i="17"/>
  <c r="E733" i="17"/>
  <c r="E740" i="17"/>
  <c r="E738" i="17"/>
  <c r="E693" i="17"/>
  <c r="E688" i="17"/>
  <c r="E736" i="17"/>
  <c r="E742" i="17"/>
  <c r="E721" i="17"/>
  <c r="E692" i="17"/>
  <c r="E694" i="17"/>
  <c r="E604" i="17"/>
  <c r="E764" i="17"/>
  <c r="E762" i="17"/>
  <c r="E744" i="17"/>
  <c r="E741" i="17"/>
  <c r="E691" i="17"/>
  <c r="L85" i="15"/>
  <c r="AJ114" i="15"/>
  <c r="AJ178" i="15" s="1"/>
  <c r="L42" i="15"/>
  <c r="L114" i="15"/>
  <c r="L178" i="15" s="1"/>
  <c r="L203" i="15"/>
  <c r="E687" i="17"/>
  <c r="L128" i="15"/>
  <c r="AK42" i="15"/>
  <c r="AK113" i="15"/>
  <c r="AK114" i="15"/>
  <c r="AM85" i="15"/>
  <c r="AK223" i="15"/>
  <c r="AK157" i="15"/>
  <c r="AM134" i="15"/>
  <c r="AM100" i="15"/>
  <c r="D655" i="17"/>
  <c r="AL135" i="15"/>
  <c r="AK23" i="15"/>
  <c r="AK50" i="15"/>
  <c r="AK40" i="15"/>
  <c r="AL54" i="15"/>
  <c r="AM135" i="15"/>
  <c r="AM123" i="15"/>
  <c r="AM124" i="15"/>
  <c r="AK136" i="15"/>
  <c r="AK182" i="15"/>
  <c r="AK250" i="15" s="1"/>
  <c r="E674" i="17"/>
  <c r="E676" i="17" s="1"/>
  <c r="D696" i="17"/>
  <c r="E696" i="17" s="1"/>
  <c r="AL134" i="15"/>
  <c r="AL100" i="15"/>
  <c r="AM227" i="15"/>
  <c r="AM69" i="15"/>
  <c r="AM161" i="15"/>
  <c r="AL56" i="15"/>
  <c r="E689" i="17"/>
  <c r="AM221" i="15"/>
  <c r="L177" i="15"/>
  <c r="L142" i="15"/>
  <c r="L205" i="15" s="1"/>
  <c r="L131" i="15"/>
  <c r="L123" i="15"/>
  <c r="L245" i="15"/>
  <c r="E650" i="17"/>
  <c r="AL43" i="15"/>
  <c r="AL190" i="15"/>
  <c r="D722" i="17"/>
  <c r="AJ113" i="15"/>
  <c r="AJ142" i="15" s="1"/>
  <c r="AJ205" i="15" s="1"/>
  <c r="D743" i="17"/>
  <c r="AJ50" i="15"/>
  <c r="AJ23" i="15"/>
  <c r="AJ25" i="15" s="1"/>
  <c r="AJ27" i="15" s="1"/>
  <c r="AJ32" i="15" s="1"/>
  <c r="D812" i="17"/>
  <c r="C807" i="17"/>
  <c r="C808" i="17" s="1"/>
  <c r="C809" i="17" s="1"/>
  <c r="C810" i="17" s="1"/>
  <c r="D813" i="17"/>
  <c r="AF38" i="18"/>
  <c r="AF29" i="18"/>
  <c r="AF20" i="18"/>
  <c r="AF11" i="18"/>
  <c r="AI193" i="15"/>
  <c r="AI194" i="15" s="1"/>
  <c r="AI108" i="15"/>
  <c r="AI107" i="15"/>
  <c r="AI74" i="15"/>
  <c r="AI72" i="15"/>
  <c r="AI71" i="15"/>
  <c r="AI65" i="15"/>
  <c r="AI64" i="15"/>
  <c r="AI51" i="15"/>
  <c r="AI196" i="15"/>
  <c r="AI175" i="15"/>
  <c r="AI153" i="15"/>
  <c r="AM154" i="15" s="1"/>
  <c r="AI150" i="15"/>
  <c r="AM151" i="15" s="1"/>
  <c r="AI140" i="15"/>
  <c r="AI99" i="15"/>
  <c r="AI93" i="15"/>
  <c r="AI121" i="15" s="1"/>
  <c r="AI213" i="15" s="1"/>
  <c r="AI133" i="15" s="1"/>
  <c r="AI68" i="15"/>
  <c r="AI62" i="15"/>
  <c r="AI59" i="15"/>
  <c r="AI58" i="15"/>
  <c r="AI49" i="15"/>
  <c r="AI61" i="15" s="1"/>
  <c r="AI83" i="15" s="1"/>
  <c r="AI147" i="15" s="1"/>
  <c r="AI39" i="15"/>
  <c r="AI38" i="15"/>
  <c r="AI37" i="15"/>
  <c r="AI36" i="15"/>
  <c r="AI35" i="15"/>
  <c r="AI10" i="15"/>
  <c r="AI11" i="15" s="1"/>
  <c r="AI8" i="15"/>
  <c r="AD32" i="18"/>
  <c r="AD26" i="18"/>
  <c r="AE38" i="18"/>
  <c r="AE29" i="18"/>
  <c r="AE20" i="18"/>
  <c r="AE11" i="18"/>
  <c r="D837" i="17"/>
  <c r="D835" i="17"/>
  <c r="D845" i="17" s="1"/>
  <c r="D846" i="17" s="1"/>
  <c r="D832" i="17"/>
  <c r="D831" i="17"/>
  <c r="D830" i="17"/>
  <c r="D829" i="17"/>
  <c r="D828" i="17"/>
  <c r="D827" i="17"/>
  <c r="D826" i="17"/>
  <c r="D825" i="17"/>
  <c r="D824" i="17"/>
  <c r="D857" i="17"/>
  <c r="C852" i="17"/>
  <c r="C853" i="17" s="1"/>
  <c r="C854" i="17" s="1"/>
  <c r="C855" i="17" s="1"/>
  <c r="AH193" i="15"/>
  <c r="AH108" i="15"/>
  <c r="AH107" i="15"/>
  <c r="AH76" i="15"/>
  <c r="AH73" i="15"/>
  <c r="AD67" i="15"/>
  <c r="AH70" i="15"/>
  <c r="AH67" i="15"/>
  <c r="AH162" i="15" s="1"/>
  <c r="AH196" i="15"/>
  <c r="AH175" i="15"/>
  <c r="AH169" i="15"/>
  <c r="AH167" i="15"/>
  <c r="AH166" i="15"/>
  <c r="AH163" i="15"/>
  <c r="AH160" i="15"/>
  <c r="AH159" i="15"/>
  <c r="AH153" i="15"/>
  <c r="AL154" i="15" s="1"/>
  <c r="AH150" i="15"/>
  <c r="AL151" i="15" s="1"/>
  <c r="AH140" i="15"/>
  <c r="AH99" i="15"/>
  <c r="AH93" i="15"/>
  <c r="AH121" i="15" s="1"/>
  <c r="AH213" i="15" s="1"/>
  <c r="AH133" i="15" s="1"/>
  <c r="AH62" i="15"/>
  <c r="AH59" i="15"/>
  <c r="AH58" i="15"/>
  <c r="AH49" i="15"/>
  <c r="AH61" i="15" s="1"/>
  <c r="AH83" i="15" s="1"/>
  <c r="AH147" i="15" s="1"/>
  <c r="AH47" i="15"/>
  <c r="AH39" i="15"/>
  <c r="AH38" i="15"/>
  <c r="AH37" i="15"/>
  <c r="AH36" i="15"/>
  <c r="AH35" i="15"/>
  <c r="AH10" i="15"/>
  <c r="AH17" i="15" s="1"/>
  <c r="AH8" i="15"/>
  <c r="AG193" i="15"/>
  <c r="D875" i="17"/>
  <c r="D874" i="17"/>
  <c r="D873" i="17"/>
  <c r="D872" i="17"/>
  <c r="D871" i="17"/>
  <c r="D870" i="17"/>
  <c r="D869" i="17"/>
  <c r="D868" i="17"/>
  <c r="D867" i="17"/>
  <c r="AN182" i="15" l="1"/>
  <c r="AN250" i="15" s="1"/>
  <c r="AN255" i="15" s="1"/>
  <c r="AN198" i="15"/>
  <c r="AH248" i="15"/>
  <c r="AH194" i="15"/>
  <c r="K193" i="15"/>
  <c r="AG194" i="15"/>
  <c r="AP255" i="15"/>
  <c r="AP253" i="15"/>
  <c r="AP252" i="15"/>
  <c r="J357" i="17"/>
  <c r="L260" i="15"/>
  <c r="AJ192" i="15"/>
  <c r="AI248" i="15"/>
  <c r="P66" i="15"/>
  <c r="P161" i="15" s="1"/>
  <c r="P158" i="15"/>
  <c r="P258" i="15"/>
  <c r="AS161" i="15"/>
  <c r="AS227" i="15"/>
  <c r="AS69" i="15"/>
  <c r="N173" i="15"/>
  <c r="N239" i="15"/>
  <c r="P188" i="15"/>
  <c r="N172" i="15"/>
  <c r="N238" i="15"/>
  <c r="AO234" i="15"/>
  <c r="AR188" i="15"/>
  <c r="AQ90" i="15"/>
  <c r="AQ138" i="15" s="1"/>
  <c r="AQ201" i="15" s="1"/>
  <c r="AR90" i="15"/>
  <c r="AN164" i="15"/>
  <c r="AO165" i="15"/>
  <c r="AN75" i="15"/>
  <c r="AN236" i="15" s="1"/>
  <c r="AO231" i="15"/>
  <c r="J407" i="17"/>
  <c r="J406" i="17"/>
  <c r="AP90" i="15"/>
  <c r="AP138" i="15" s="1"/>
  <c r="AP201" i="15" s="1"/>
  <c r="P171" i="15"/>
  <c r="P237" i="15"/>
  <c r="AQ188" i="15"/>
  <c r="AP188" i="15"/>
  <c r="P231" i="15"/>
  <c r="P165" i="15"/>
  <c r="P252" i="15"/>
  <c r="P253" i="15"/>
  <c r="P207" i="15"/>
  <c r="P206" i="15"/>
  <c r="AO168" i="15"/>
  <c r="AL143" i="15"/>
  <c r="AP230" i="15"/>
  <c r="AP75" i="15"/>
  <c r="AP164" i="15"/>
  <c r="AN185" i="15"/>
  <c r="AN136" i="15"/>
  <c r="E702" i="17"/>
  <c r="J690" i="17" s="1"/>
  <c r="J691" i="17" s="1"/>
  <c r="AK221" i="15"/>
  <c r="L43" i="15"/>
  <c r="L44" i="15"/>
  <c r="E720" i="17"/>
  <c r="E722" i="17" s="1"/>
  <c r="L141" i="15"/>
  <c r="L204" i="15" s="1"/>
  <c r="M164" i="15"/>
  <c r="M75" i="15"/>
  <c r="M77" i="15" s="1"/>
  <c r="M91" i="15"/>
  <c r="M139" i="15" s="1"/>
  <c r="AJ246" i="15"/>
  <c r="AJ141" i="15"/>
  <c r="AJ204" i="15" s="1"/>
  <c r="AJ119" i="15"/>
  <c r="AK224" i="15"/>
  <c r="E609" i="17"/>
  <c r="J597" i="17" s="1"/>
  <c r="F608" i="17"/>
  <c r="AO89" i="15"/>
  <c r="F606" i="17"/>
  <c r="AN144" i="15"/>
  <c r="AN184" i="15"/>
  <c r="AL144" i="15"/>
  <c r="E562" i="17"/>
  <c r="F557" i="17"/>
  <c r="F559" i="17"/>
  <c r="F561" i="17"/>
  <c r="AL164" i="15"/>
  <c r="AK158" i="15"/>
  <c r="AL227" i="15"/>
  <c r="AL161" i="15"/>
  <c r="D750" i="17"/>
  <c r="AL75" i="15"/>
  <c r="AL77" i="15" s="1"/>
  <c r="AN253" i="15"/>
  <c r="AN252" i="15"/>
  <c r="AN199" i="15"/>
  <c r="AN206" i="15"/>
  <c r="AN207" i="15"/>
  <c r="L119" i="15"/>
  <c r="L246" i="15"/>
  <c r="L187" i="15"/>
  <c r="E606" i="17"/>
  <c r="E608" i="17"/>
  <c r="D697" i="17"/>
  <c r="D704" i="17" s="1"/>
  <c r="L124" i="15"/>
  <c r="L143" i="15" s="1"/>
  <c r="E697" i="17"/>
  <c r="E699" i="17" s="1"/>
  <c r="J820" i="17"/>
  <c r="E854" i="17" s="1"/>
  <c r="AI192" i="15"/>
  <c r="AM185" i="15"/>
  <c r="AM143" i="15"/>
  <c r="AJ177" i="15"/>
  <c r="E655" i="17"/>
  <c r="J643" i="17" s="1"/>
  <c r="F650" i="17"/>
  <c r="F652" i="17"/>
  <c r="F654" i="17"/>
  <c r="AK246" i="15"/>
  <c r="AK253" i="15" s="1"/>
  <c r="AK178" i="15"/>
  <c r="AK141" i="15"/>
  <c r="AK204" i="15" s="1"/>
  <c r="AK124" i="15"/>
  <c r="AK119" i="15"/>
  <c r="AK43" i="15"/>
  <c r="AK44" i="15"/>
  <c r="AK25" i="15"/>
  <c r="AK27" i="15" s="1"/>
  <c r="AN89" i="15" s="1"/>
  <c r="L32" i="15"/>
  <c r="L89" i="15"/>
  <c r="AJ71" i="15"/>
  <c r="AJ166" i="15" s="1"/>
  <c r="AL182" i="15"/>
  <c r="AL250" i="15" s="1"/>
  <c r="AL255" i="15" s="1"/>
  <c r="AL136" i="15"/>
  <c r="AI73" i="15"/>
  <c r="AI168" i="15" s="1"/>
  <c r="AJ74" i="15"/>
  <c r="AJ245" i="15"/>
  <c r="AJ260" i="15" s="1"/>
  <c r="AK142" i="15"/>
  <c r="AK205" i="15" s="1"/>
  <c r="AK131" i="15"/>
  <c r="AK245" i="15"/>
  <c r="AK177" i="15"/>
  <c r="AK123" i="15"/>
  <c r="AH165" i="15"/>
  <c r="AM184" i="15"/>
  <c r="AM144" i="15"/>
  <c r="AI76" i="15"/>
  <c r="AI171" i="15" s="1"/>
  <c r="AJ131" i="15"/>
  <c r="AJ190" i="15" s="1"/>
  <c r="L184" i="15"/>
  <c r="L144" i="15"/>
  <c r="AM136" i="15"/>
  <c r="AM182" i="15"/>
  <c r="AM250" i="15" s="1"/>
  <c r="AM255" i="15" s="1"/>
  <c r="AH46" i="15"/>
  <c r="AJ65" i="15"/>
  <c r="L190" i="15"/>
  <c r="AH243" i="15"/>
  <c r="AM164" i="15"/>
  <c r="AM75" i="15"/>
  <c r="AM230" i="15"/>
  <c r="E654" i="17"/>
  <c r="E652" i="17"/>
  <c r="AI70" i="15"/>
  <c r="AI165" i="15" s="1"/>
  <c r="AH192" i="15"/>
  <c r="AH228" i="15" s="1"/>
  <c r="J730" i="17"/>
  <c r="J863" i="17"/>
  <c r="E898" i="17" s="1"/>
  <c r="AH203" i="15"/>
  <c r="D745" i="17"/>
  <c r="D747" i="17"/>
  <c r="E766" i="17"/>
  <c r="AD30" i="18"/>
  <c r="AI47" i="15"/>
  <c r="AJ51" i="15"/>
  <c r="AI163" i="15"/>
  <c r="AJ68" i="15"/>
  <c r="AJ158" i="15"/>
  <c r="AI159" i="15"/>
  <c r="AJ64" i="15"/>
  <c r="AI166" i="15"/>
  <c r="AI167" i="15"/>
  <c r="AJ72" i="15"/>
  <c r="AJ43" i="15"/>
  <c r="AJ44" i="15"/>
  <c r="AI67" i="15"/>
  <c r="AH168" i="15"/>
  <c r="AH171" i="15"/>
  <c r="J775" i="17"/>
  <c r="AI243" i="15"/>
  <c r="AI17" i="15"/>
  <c r="AI109" i="15"/>
  <c r="D788" i="17" s="1"/>
  <c r="AH109" i="15"/>
  <c r="D833" i="17" s="1"/>
  <c r="D814" i="17"/>
  <c r="D800" i="17"/>
  <c r="D801" i="17" s="1"/>
  <c r="AI203" i="15"/>
  <c r="AI169" i="15"/>
  <c r="AI160" i="15"/>
  <c r="AI157" i="15"/>
  <c r="AI155" i="15"/>
  <c r="D858" i="17"/>
  <c r="AH157" i="15"/>
  <c r="AH155" i="15"/>
  <c r="AH40" i="15"/>
  <c r="AH23" i="15"/>
  <c r="AH50" i="15"/>
  <c r="AH52" i="15" s="1"/>
  <c r="AL53" i="15" s="1"/>
  <c r="AH11" i="15"/>
  <c r="K194" i="15" l="1"/>
  <c r="K248" i="15"/>
  <c r="AM197" i="15"/>
  <c r="AJ216" i="15"/>
  <c r="AN217" i="15" s="1"/>
  <c r="AJ219" i="15"/>
  <c r="AJ223" i="15"/>
  <c r="AJ224" i="15"/>
  <c r="AM198" i="15"/>
  <c r="AU91" i="15"/>
  <c r="AU139" i="15" s="1"/>
  <c r="AU202" i="15" s="1"/>
  <c r="AV91" i="15"/>
  <c r="AV139" i="15" s="1"/>
  <c r="AV202" i="15" s="1"/>
  <c r="AQ128" i="15"/>
  <c r="AQ187" i="15" s="1"/>
  <c r="AK252" i="15"/>
  <c r="AK260" i="15"/>
  <c r="P227" i="15"/>
  <c r="AS164" i="15"/>
  <c r="AS230" i="15"/>
  <c r="AS91" i="15"/>
  <c r="AS139" i="15" s="1"/>
  <c r="AS202" i="15" s="1"/>
  <c r="AS75" i="15"/>
  <c r="AT91" i="15"/>
  <c r="AT139" i="15" s="1"/>
  <c r="AT202" i="15" s="1"/>
  <c r="AP77" i="15"/>
  <c r="AR138" i="15"/>
  <c r="AR201" i="15" s="1"/>
  <c r="AR128" i="15"/>
  <c r="AN170" i="15"/>
  <c r="AP128" i="15"/>
  <c r="P168" i="15"/>
  <c r="P234" i="15"/>
  <c r="P90" i="15"/>
  <c r="P162" i="15"/>
  <c r="P228" i="15"/>
  <c r="P257" i="15" s="1"/>
  <c r="P69" i="15"/>
  <c r="AP170" i="15"/>
  <c r="AP236" i="15"/>
  <c r="G699" i="17"/>
  <c r="AI46" i="15"/>
  <c r="J692" i="17"/>
  <c r="E825" i="17"/>
  <c r="G652" i="17"/>
  <c r="E809" i="17"/>
  <c r="G654" i="17"/>
  <c r="D699" i="17"/>
  <c r="F699" i="17" s="1"/>
  <c r="F697" i="17"/>
  <c r="G608" i="17"/>
  <c r="G606" i="17"/>
  <c r="G604" i="17"/>
  <c r="E835" i="17"/>
  <c r="E845" i="17" s="1"/>
  <c r="E846" i="17" s="1"/>
  <c r="AH225" i="15"/>
  <c r="E832" i="17"/>
  <c r="E808" i="17"/>
  <c r="AK71" i="15"/>
  <c r="AK232" i="15" s="1"/>
  <c r="AM77" i="15"/>
  <c r="AL197" i="15"/>
  <c r="M202" i="15"/>
  <c r="M78" i="15"/>
  <c r="M170" i="15"/>
  <c r="AL236" i="15"/>
  <c r="AJ232" i="15"/>
  <c r="AL170" i="15"/>
  <c r="G557" i="17"/>
  <c r="G559" i="17"/>
  <c r="G561" i="17"/>
  <c r="J550" i="17"/>
  <c r="J598" i="17"/>
  <c r="J599" i="17"/>
  <c r="AI219" i="15"/>
  <c r="AM220" i="15" s="1"/>
  <c r="E830" i="17"/>
  <c r="E807" i="17"/>
  <c r="L185" i="15"/>
  <c r="AK74" i="15"/>
  <c r="AK235" i="15" s="1"/>
  <c r="AJ235" i="15"/>
  <c r="AK72" i="15"/>
  <c r="E701" i="17"/>
  <c r="G701" i="17" s="1"/>
  <c r="AJ47" i="15"/>
  <c r="D701" i="17"/>
  <c r="F701" i="17" s="1"/>
  <c r="G697" i="17"/>
  <c r="E851" i="17"/>
  <c r="E810" i="17"/>
  <c r="E831" i="17"/>
  <c r="E828" i="17"/>
  <c r="E806" i="17"/>
  <c r="E827" i="17"/>
  <c r="E811" i="17"/>
  <c r="E837" i="17"/>
  <c r="E855" i="17"/>
  <c r="E833" i="17"/>
  <c r="E858" i="17"/>
  <c r="E856" i="17"/>
  <c r="E824" i="17"/>
  <c r="E829" i="17"/>
  <c r="E853" i="17"/>
  <c r="E852" i="17"/>
  <c r="E826" i="17"/>
  <c r="G650" i="17"/>
  <c r="AJ73" i="15"/>
  <c r="AJ169" i="15"/>
  <c r="AH234" i="15"/>
  <c r="AH226" i="15"/>
  <c r="AL198" i="15"/>
  <c r="AL207" i="15" s="1"/>
  <c r="AH237" i="15"/>
  <c r="AH219" i="15"/>
  <c r="AL220" i="15" s="1"/>
  <c r="AH229" i="15"/>
  <c r="AH231" i="15"/>
  <c r="AH216" i="15"/>
  <c r="AL217" i="15" s="1"/>
  <c r="AJ76" i="15"/>
  <c r="AJ237" i="15" s="1"/>
  <c r="AH235" i="15"/>
  <c r="AH232" i="15"/>
  <c r="AH113" i="15"/>
  <c r="AH142" i="15" s="1"/>
  <c r="AH205" i="15" s="1"/>
  <c r="AH223" i="15"/>
  <c r="AJ70" i="15"/>
  <c r="AJ160" i="15"/>
  <c r="AK51" i="15"/>
  <c r="AM253" i="15"/>
  <c r="AM252" i="15"/>
  <c r="AK32" i="15"/>
  <c r="AK190" i="15"/>
  <c r="J644" i="17"/>
  <c r="J645" i="17"/>
  <c r="AK64" i="15"/>
  <c r="AJ226" i="15"/>
  <c r="AH233" i="15"/>
  <c r="L192" i="15"/>
  <c r="AK197" i="15"/>
  <c r="AK198" i="15"/>
  <c r="AK68" i="15"/>
  <c r="AK143" i="15"/>
  <c r="AK185" i="15"/>
  <c r="AI23" i="15"/>
  <c r="AI44" i="15" s="1"/>
  <c r="AK85" i="15"/>
  <c r="AL85" i="15"/>
  <c r="AM170" i="15"/>
  <c r="AM236" i="15"/>
  <c r="AK65" i="15"/>
  <c r="AL252" i="15"/>
  <c r="AL253" i="15"/>
  <c r="AK184" i="15"/>
  <c r="AK144" i="15"/>
  <c r="AM89" i="15"/>
  <c r="E867" i="17"/>
  <c r="AL238" i="15"/>
  <c r="AL172" i="15"/>
  <c r="AL78" i="15"/>
  <c r="E875" i="17"/>
  <c r="E871" i="17"/>
  <c r="E872" i="17"/>
  <c r="E899" i="17"/>
  <c r="E874" i="17"/>
  <c r="E897" i="17"/>
  <c r="E894" i="17"/>
  <c r="E873" i="17"/>
  <c r="E896" i="17"/>
  <c r="E870" i="17"/>
  <c r="E868" i="17"/>
  <c r="E895" i="17"/>
  <c r="E869" i="17"/>
  <c r="AI50" i="15"/>
  <c r="AI52" i="15" s="1"/>
  <c r="E754" i="17"/>
  <c r="E755" i="17" s="1"/>
  <c r="E767" i="17"/>
  <c r="E768" i="17" s="1"/>
  <c r="AJ225" i="15"/>
  <c r="AJ159" i="15"/>
  <c r="AH114" i="15"/>
  <c r="AH178" i="15" s="1"/>
  <c r="AI40" i="15"/>
  <c r="AJ163" i="15"/>
  <c r="AJ229" i="15"/>
  <c r="AJ167" i="15"/>
  <c r="AJ233" i="15"/>
  <c r="AJ52" i="15"/>
  <c r="AN53" i="15" s="1"/>
  <c r="AJ66" i="15"/>
  <c r="AI113" i="15"/>
  <c r="AI177" i="15" s="1"/>
  <c r="AI114" i="15"/>
  <c r="AI141" i="15" s="1"/>
  <c r="AI204" i="15" s="1"/>
  <c r="AI162" i="15"/>
  <c r="AJ67" i="15"/>
  <c r="AI229" i="15"/>
  <c r="AI226" i="15"/>
  <c r="AI216" i="15"/>
  <c r="AM217" i="15" s="1"/>
  <c r="E813" i="17"/>
  <c r="E792" i="17"/>
  <c r="E784" i="17"/>
  <c r="E779" i="17"/>
  <c r="E787" i="17"/>
  <c r="E780" i="17"/>
  <c r="E790" i="17"/>
  <c r="E800" i="17" s="1"/>
  <c r="E801" i="17" s="1"/>
  <c r="E786" i="17"/>
  <c r="E782" i="17"/>
  <c r="E781" i="17"/>
  <c r="E785" i="17"/>
  <c r="E783" i="17"/>
  <c r="AI235" i="15"/>
  <c r="AI228" i="15"/>
  <c r="AI231" i="15"/>
  <c r="E788" i="17"/>
  <c r="D789" i="17"/>
  <c r="AI233" i="15"/>
  <c r="AI223" i="15"/>
  <c r="AI225" i="15"/>
  <c r="AI234" i="15"/>
  <c r="AI237" i="15"/>
  <c r="AI232" i="15"/>
  <c r="D859" i="17"/>
  <c r="AI224" i="15"/>
  <c r="AI158" i="15"/>
  <c r="AI66" i="15"/>
  <c r="D834" i="17"/>
  <c r="AH54" i="15"/>
  <c r="AH56" i="15"/>
  <c r="AH44" i="15"/>
  <c r="AH43" i="15"/>
  <c r="AH25" i="15"/>
  <c r="AH27" i="15" s="1"/>
  <c r="K108" i="15"/>
  <c r="AG108" i="15" s="1"/>
  <c r="K107" i="15"/>
  <c r="AG107" i="15" s="1"/>
  <c r="K76" i="15"/>
  <c r="K171" i="15" s="1"/>
  <c r="K73" i="15"/>
  <c r="K168" i="15" s="1"/>
  <c r="K70" i="15"/>
  <c r="K67" i="15"/>
  <c r="K46" i="15" s="1"/>
  <c r="D901" i="17"/>
  <c r="D900" i="17"/>
  <c r="C895" i="17"/>
  <c r="C896" i="17" s="1"/>
  <c r="C897" i="17" s="1"/>
  <c r="C898" i="17" s="1"/>
  <c r="K208" i="15"/>
  <c r="AG111" i="15"/>
  <c r="AG98" i="15"/>
  <c r="AG97" i="15"/>
  <c r="AG103" i="15" s="1"/>
  <c r="AG96" i="15"/>
  <c r="AG95" i="15"/>
  <c r="AG57" i="15"/>
  <c r="AG30" i="15"/>
  <c r="AG29" i="15"/>
  <c r="AG26" i="15"/>
  <c r="AG24" i="15"/>
  <c r="AG22" i="15"/>
  <c r="AG21" i="15"/>
  <c r="AG20" i="15"/>
  <c r="AG19" i="15"/>
  <c r="AG18" i="15"/>
  <c r="AG16" i="15"/>
  <c r="AG15" i="15"/>
  <c r="AG14" i="15"/>
  <c r="AG13" i="15"/>
  <c r="AG12" i="15"/>
  <c r="AG9" i="15"/>
  <c r="AD41" i="18"/>
  <c r="AD37" i="18"/>
  <c r="AD36" i="18"/>
  <c r="AD35" i="18"/>
  <c r="AD28" i="18"/>
  <c r="AD27" i="18"/>
  <c r="AD23" i="18"/>
  <c r="AD19" i="18"/>
  <c r="AD18" i="18"/>
  <c r="AD17" i="18"/>
  <c r="AD14" i="18"/>
  <c r="AD10" i="18"/>
  <c r="AD9" i="18"/>
  <c r="H38" i="18"/>
  <c r="H29" i="18"/>
  <c r="H20" i="18"/>
  <c r="H11" i="18"/>
  <c r="AG196" i="15"/>
  <c r="AG118" i="15"/>
  <c r="AG93" i="15"/>
  <c r="AG121" i="15" s="1"/>
  <c r="AG213" i="15" s="1"/>
  <c r="AG133" i="15" s="1"/>
  <c r="AG84" i="15"/>
  <c r="AG134" i="15" s="1"/>
  <c r="AG49" i="15"/>
  <c r="AG61" i="15" s="1"/>
  <c r="AG83" i="15" s="1"/>
  <c r="AG147" i="15" s="1"/>
  <c r="K196" i="15"/>
  <c r="K175" i="15"/>
  <c r="K169" i="15"/>
  <c r="K167" i="15"/>
  <c r="K166" i="15"/>
  <c r="K163" i="15"/>
  <c r="K160" i="15"/>
  <c r="K159" i="15"/>
  <c r="K153" i="15"/>
  <c r="L154" i="15" s="1"/>
  <c r="K150" i="15"/>
  <c r="L151" i="15" s="1"/>
  <c r="K140" i="15"/>
  <c r="K99" i="15"/>
  <c r="K93" i="15"/>
  <c r="K121" i="15" s="1"/>
  <c r="K213" i="15" s="1"/>
  <c r="K133" i="15" s="1"/>
  <c r="K88" i="15"/>
  <c r="K137" i="15" s="1"/>
  <c r="K87" i="15"/>
  <c r="K84" i="15"/>
  <c r="K134" i="15" s="1"/>
  <c r="K62" i="15"/>
  <c r="K157" i="15" s="1"/>
  <c r="K59" i="15"/>
  <c r="K58" i="15"/>
  <c r="K49" i="15"/>
  <c r="K61" i="15" s="1"/>
  <c r="K83" i="15" s="1"/>
  <c r="K147" i="15" s="1"/>
  <c r="K47" i="15"/>
  <c r="K41" i="15"/>
  <c r="K39" i="15"/>
  <c r="K38" i="15"/>
  <c r="K37" i="15"/>
  <c r="K36" i="15"/>
  <c r="K35" i="15"/>
  <c r="K10" i="15"/>
  <c r="K17" i="15" s="1"/>
  <c r="K8" i="15"/>
  <c r="AF193" i="15"/>
  <c r="AF194" i="15" s="1"/>
  <c r="D984" i="17"/>
  <c r="AN220" i="15" l="1"/>
  <c r="AJ221" i="15"/>
  <c r="AM199" i="15"/>
  <c r="AM206" i="15"/>
  <c r="AM207" i="15"/>
  <c r="D880" i="17"/>
  <c r="E880" i="17" s="1"/>
  <c r="AG248" i="15"/>
  <c r="AG192" i="15"/>
  <c r="AF248" i="15"/>
  <c r="AQ77" i="15"/>
  <c r="AQ172" i="15" s="1"/>
  <c r="AS170" i="15"/>
  <c r="AS236" i="15"/>
  <c r="AR187" i="15"/>
  <c r="AP78" i="15"/>
  <c r="AP173" i="15" s="1"/>
  <c r="AP187" i="15"/>
  <c r="P164" i="15"/>
  <c r="P91" i="15"/>
  <c r="P139" i="15" s="1"/>
  <c r="P202" i="15" s="1"/>
  <c r="P230" i="15"/>
  <c r="P75" i="15"/>
  <c r="P138" i="15"/>
  <c r="P201" i="15" s="1"/>
  <c r="P128" i="15"/>
  <c r="AN77" i="15"/>
  <c r="AP238" i="15"/>
  <c r="AP172" i="15"/>
  <c r="AH245" i="15"/>
  <c r="AH260" i="15" s="1"/>
  <c r="AK169" i="15"/>
  <c r="AM78" i="15"/>
  <c r="AM239" i="15" s="1"/>
  <c r="AK58" i="15"/>
  <c r="AM172" i="15"/>
  <c r="AH177" i="15"/>
  <c r="AM238" i="15"/>
  <c r="AK166" i="15"/>
  <c r="AJ171" i="15"/>
  <c r="AK233" i="15"/>
  <c r="AL199" i="15"/>
  <c r="AI25" i="15"/>
  <c r="AI27" i="15" s="1"/>
  <c r="M173" i="15"/>
  <c r="M239" i="15"/>
  <c r="M232" i="15"/>
  <c r="M235" i="15"/>
  <c r="M234" i="15"/>
  <c r="M225" i="15"/>
  <c r="M216" i="15"/>
  <c r="N217" i="15" s="1"/>
  <c r="M229" i="15"/>
  <c r="M219" i="15"/>
  <c r="N220" i="15" s="1"/>
  <c r="M226" i="15"/>
  <c r="M233" i="15"/>
  <c r="M228" i="15"/>
  <c r="M198" i="15"/>
  <c r="M223" i="15"/>
  <c r="M231" i="15"/>
  <c r="M197" i="15"/>
  <c r="M237" i="15"/>
  <c r="M200" i="15"/>
  <c r="M250" i="15"/>
  <c r="M255" i="15" s="1"/>
  <c r="M201" i="15"/>
  <c r="M224" i="15"/>
  <c r="M227" i="15"/>
  <c r="M230" i="15"/>
  <c r="M172" i="15"/>
  <c r="M238" i="15"/>
  <c r="AK167" i="15"/>
  <c r="M236" i="15"/>
  <c r="AK199" i="15"/>
  <c r="AH131" i="15"/>
  <c r="AH190" i="15" s="1"/>
  <c r="AI43" i="15"/>
  <c r="J552" i="17"/>
  <c r="J551" i="17"/>
  <c r="AH221" i="15"/>
  <c r="E812" i="17"/>
  <c r="E814" i="17" s="1"/>
  <c r="AN88" i="15"/>
  <c r="AL206" i="15"/>
  <c r="E834" i="17"/>
  <c r="E838" i="17" s="1"/>
  <c r="AK73" i="15"/>
  <c r="AK67" i="15"/>
  <c r="AK228" i="15" s="1"/>
  <c r="AK70" i="15"/>
  <c r="AK231" i="15" s="1"/>
  <c r="E857" i="17"/>
  <c r="E859" i="17" s="1"/>
  <c r="AJ168" i="15"/>
  <c r="AG104" i="15"/>
  <c r="AG102" i="15"/>
  <c r="AJ234" i="15"/>
  <c r="AK76" i="15"/>
  <c r="AH141" i="15"/>
  <c r="AH204" i="15" s="1"/>
  <c r="AH119" i="15"/>
  <c r="AI119" i="15"/>
  <c r="AI178" i="15"/>
  <c r="AI246" i="15"/>
  <c r="AJ165" i="15"/>
  <c r="AI131" i="15"/>
  <c r="AJ231" i="15"/>
  <c r="AI245" i="15"/>
  <c r="AI260" i="15" s="1"/>
  <c r="AK163" i="15"/>
  <c r="AK229" i="15"/>
  <c r="AK225" i="15"/>
  <c r="AK159" i="15"/>
  <c r="AK66" i="15"/>
  <c r="L232" i="15"/>
  <c r="L216" i="15"/>
  <c r="L234" i="15"/>
  <c r="L233" i="15"/>
  <c r="L229" i="15"/>
  <c r="L219" i="15"/>
  <c r="L225" i="15"/>
  <c r="L235" i="15"/>
  <c r="L226" i="15"/>
  <c r="L223" i="15"/>
  <c r="L237" i="15"/>
  <c r="L231" i="15"/>
  <c r="L228" i="15"/>
  <c r="L197" i="15"/>
  <c r="L198" i="15"/>
  <c r="L200" i="15"/>
  <c r="L250" i="15"/>
  <c r="L255" i="15" s="1"/>
  <c r="L201" i="15"/>
  <c r="AK207" i="15"/>
  <c r="L224" i="15"/>
  <c r="L158" i="15"/>
  <c r="L66" i="15"/>
  <c r="AI54" i="15"/>
  <c r="AM53" i="15"/>
  <c r="AK206" i="15"/>
  <c r="AK47" i="15"/>
  <c r="AK52" i="15"/>
  <c r="AN86" i="15" s="1"/>
  <c r="AM88" i="15"/>
  <c r="AL88" i="15"/>
  <c r="AK226" i="15"/>
  <c r="AN258" i="15" s="1"/>
  <c r="AK160" i="15"/>
  <c r="AK88" i="15"/>
  <c r="AL239" i="15"/>
  <c r="AL173" i="15"/>
  <c r="AH246" i="15"/>
  <c r="AI56" i="15"/>
  <c r="K109" i="15"/>
  <c r="K113" i="15" s="1"/>
  <c r="E743" i="17"/>
  <c r="AD31" i="18"/>
  <c r="AD13" i="18"/>
  <c r="AD39" i="18"/>
  <c r="AD40" i="18"/>
  <c r="AD29" i="18"/>
  <c r="AD21" i="18"/>
  <c r="AJ84" i="15"/>
  <c r="AJ42" i="15"/>
  <c r="AJ87" i="15"/>
  <c r="D748" i="17" s="1"/>
  <c r="AJ41" i="15"/>
  <c r="AI142" i="15"/>
  <c r="AI205" i="15" s="1"/>
  <c r="AJ46" i="15"/>
  <c r="AJ162" i="15"/>
  <c r="AJ228" i="15"/>
  <c r="AJ69" i="15"/>
  <c r="AJ161" i="15"/>
  <c r="AJ227" i="15"/>
  <c r="E789" i="17"/>
  <c r="E793" i="17" s="1"/>
  <c r="AJ54" i="15"/>
  <c r="AJ56" i="15"/>
  <c r="AH41" i="15"/>
  <c r="AI41" i="15"/>
  <c r="K129" i="15"/>
  <c r="AH84" i="15"/>
  <c r="AI84" i="15"/>
  <c r="AH42" i="15"/>
  <c r="AI42" i="15"/>
  <c r="AG175" i="15"/>
  <c r="AG243" i="15" s="1"/>
  <c r="D878" i="17"/>
  <c r="D796" i="17"/>
  <c r="D793" i="17"/>
  <c r="D791" i="17"/>
  <c r="AG10" i="15"/>
  <c r="AG11" i="15" s="1"/>
  <c r="AG153" i="15"/>
  <c r="AK154" i="15" s="1"/>
  <c r="AI87" i="15"/>
  <c r="AH87" i="15"/>
  <c r="AF192" i="15"/>
  <c r="AI221" i="15"/>
  <c r="K165" i="15"/>
  <c r="D841" i="17"/>
  <c r="AI69" i="15"/>
  <c r="AI227" i="15"/>
  <c r="AI161" i="15"/>
  <c r="D836" i="17"/>
  <c r="D838" i="17"/>
  <c r="AH32" i="15"/>
  <c r="D902" i="17"/>
  <c r="E901" i="17"/>
  <c r="AD38" i="18"/>
  <c r="AD20" i="18"/>
  <c r="AD22" i="18"/>
  <c r="AD11" i="18"/>
  <c r="AG140" i="15"/>
  <c r="AG203" i="15" s="1"/>
  <c r="AG41" i="15"/>
  <c r="K203" i="15"/>
  <c r="K135" i="15"/>
  <c r="K182" i="15" s="1"/>
  <c r="AG38" i="15"/>
  <c r="K11" i="15"/>
  <c r="AG37" i="15"/>
  <c r="K155" i="15"/>
  <c r="AG36" i="15"/>
  <c r="AG39" i="15"/>
  <c r="K243" i="15"/>
  <c r="AG109" i="15"/>
  <c r="D876" i="17" s="1"/>
  <c r="E876" i="17" s="1"/>
  <c r="AG99" i="15"/>
  <c r="AG35" i="15"/>
  <c r="AG59" i="15"/>
  <c r="AG150" i="15"/>
  <c r="AK151" i="15" s="1"/>
  <c r="AG87" i="15"/>
  <c r="D882" i="17" s="1"/>
  <c r="AG62" i="15"/>
  <c r="K23" i="15"/>
  <c r="K85" i="15"/>
  <c r="K50" i="15"/>
  <c r="K52" i="15" s="1"/>
  <c r="L53" i="15" s="1"/>
  <c r="K40" i="15"/>
  <c r="K100" i="15"/>
  <c r="K90" i="15"/>
  <c r="K138" i="15" s="1"/>
  <c r="K162" i="15"/>
  <c r="D917" i="17"/>
  <c r="D915" i="17"/>
  <c r="D914" i="17"/>
  <c r="D913" i="17"/>
  <c r="D912" i="17"/>
  <c r="D911" i="17"/>
  <c r="D910" i="17"/>
  <c r="D909" i="17"/>
  <c r="D922" i="17"/>
  <c r="D920" i="17"/>
  <c r="AG219" i="15" l="1"/>
  <c r="AK220" i="15" s="1"/>
  <c r="AG216" i="15"/>
  <c r="AK217" i="15" s="1"/>
  <c r="AQ78" i="15"/>
  <c r="AQ239" i="15" s="1"/>
  <c r="AQ238" i="15"/>
  <c r="AR77" i="15"/>
  <c r="AR238" i="15" s="1"/>
  <c r="AM257" i="15"/>
  <c r="AL257" i="15"/>
  <c r="AK258" i="15"/>
  <c r="AN257" i="15"/>
  <c r="AL258" i="15"/>
  <c r="AK257" i="15"/>
  <c r="AM258" i="15"/>
  <c r="AR172" i="15"/>
  <c r="L257" i="15"/>
  <c r="L258" i="15"/>
  <c r="M258" i="15"/>
  <c r="M257" i="15"/>
  <c r="AQ173" i="15"/>
  <c r="AP239" i="15"/>
  <c r="AO77" i="15"/>
  <c r="P187" i="15"/>
  <c r="AN78" i="15"/>
  <c r="AN173" i="15" s="1"/>
  <c r="AN172" i="15"/>
  <c r="P170" i="15"/>
  <c r="P236" i="15"/>
  <c r="AN238" i="15"/>
  <c r="AM173" i="15"/>
  <c r="AL89" i="15"/>
  <c r="AI32" i="15"/>
  <c r="AK89" i="15"/>
  <c r="M217" i="15"/>
  <c r="M199" i="15"/>
  <c r="M207" i="15"/>
  <c r="M206" i="15"/>
  <c r="AK165" i="15"/>
  <c r="M253" i="15"/>
  <c r="M252" i="15"/>
  <c r="K42" i="15"/>
  <c r="M221" i="15"/>
  <c r="M220" i="15"/>
  <c r="AL90" i="15"/>
  <c r="AL138" i="15" s="1"/>
  <c r="AL201" i="15" s="1"/>
  <c r="AN90" i="15"/>
  <c r="AN138" i="15" s="1"/>
  <c r="AN201" i="15" s="1"/>
  <c r="AK162" i="15"/>
  <c r="AM90" i="15"/>
  <c r="AM138" i="15" s="1"/>
  <c r="AM201" i="15" s="1"/>
  <c r="AK90" i="15"/>
  <c r="AK128" i="15" s="1"/>
  <c r="AK171" i="15"/>
  <c r="E836" i="17"/>
  <c r="AK46" i="15"/>
  <c r="AN137" i="15"/>
  <c r="AN200" i="15" s="1"/>
  <c r="AN129" i="15"/>
  <c r="K114" i="15"/>
  <c r="K178" i="15" s="1"/>
  <c r="AK168" i="15"/>
  <c r="AK234" i="15"/>
  <c r="AK237" i="15"/>
  <c r="AI190" i="15"/>
  <c r="K136" i="15"/>
  <c r="L199" i="15"/>
  <c r="AL137" i="15"/>
  <c r="AL200" i="15" s="1"/>
  <c r="AL129" i="15"/>
  <c r="L221" i="15"/>
  <c r="AK227" i="15"/>
  <c r="AK161" i="15"/>
  <c r="AK69" i="15"/>
  <c r="AN91" i="15" s="1"/>
  <c r="AN139" i="15" s="1"/>
  <c r="AN202" i="15" s="1"/>
  <c r="AK86" i="15"/>
  <c r="AK56" i="15"/>
  <c r="AK54" i="15"/>
  <c r="AM86" i="15"/>
  <c r="AL86" i="15"/>
  <c r="AM137" i="15"/>
  <c r="AM200" i="15" s="1"/>
  <c r="AM129" i="15"/>
  <c r="AK137" i="15"/>
  <c r="AK200" i="15" s="1"/>
  <c r="AK129" i="15"/>
  <c r="L252" i="15"/>
  <c r="L253" i="15"/>
  <c r="L227" i="15"/>
  <c r="L69" i="15"/>
  <c r="L161" i="15"/>
  <c r="L206" i="15"/>
  <c r="L207" i="15"/>
  <c r="E748" i="17"/>
  <c r="J736" i="17" s="1"/>
  <c r="F743" i="17"/>
  <c r="F747" i="17"/>
  <c r="F745" i="17"/>
  <c r="AG17" i="15"/>
  <c r="E747" i="17"/>
  <c r="E745" i="17"/>
  <c r="AJ134" i="15"/>
  <c r="AJ197" i="15" s="1"/>
  <c r="AJ100" i="15"/>
  <c r="K188" i="15"/>
  <c r="AJ75" i="15"/>
  <c r="AJ230" i="15"/>
  <c r="AJ164" i="15"/>
  <c r="E791" i="17"/>
  <c r="AJ135" i="15"/>
  <c r="AJ123" i="15"/>
  <c r="AJ124" i="15"/>
  <c r="J776" i="17"/>
  <c r="E882" i="17"/>
  <c r="J870" i="17"/>
  <c r="D839" i="17"/>
  <c r="F838" i="17" s="1"/>
  <c r="AH135" i="15"/>
  <c r="AH123" i="15"/>
  <c r="AH124" i="15"/>
  <c r="AG100" i="15"/>
  <c r="AI134" i="15"/>
  <c r="AI197" i="15" s="1"/>
  <c r="AI100" i="15"/>
  <c r="AI135" i="15"/>
  <c r="D794" i="17"/>
  <c r="F791" i="17" s="1"/>
  <c r="AI123" i="15"/>
  <c r="AI124" i="15"/>
  <c r="AH134" i="15"/>
  <c r="AH100" i="15"/>
  <c r="K128" i="15"/>
  <c r="K187" i="15" s="1"/>
  <c r="D877" i="17"/>
  <c r="J864" i="17"/>
  <c r="E878" i="17"/>
  <c r="D888" i="17"/>
  <c r="D889" i="17" s="1"/>
  <c r="AI75" i="15"/>
  <c r="AI230" i="15"/>
  <c r="AI164" i="15"/>
  <c r="AG42" i="15"/>
  <c r="AG114" i="15"/>
  <c r="AG119" i="15" s="1"/>
  <c r="AG113" i="15"/>
  <c r="AG142" i="15" s="1"/>
  <c r="AG205" i="15" s="1"/>
  <c r="AG155" i="15"/>
  <c r="AG223" i="15"/>
  <c r="AG157" i="15"/>
  <c r="AG135" i="15"/>
  <c r="AG221" i="15"/>
  <c r="K142" i="15"/>
  <c r="K205" i="15" s="1"/>
  <c r="K131" i="15"/>
  <c r="K177" i="15"/>
  <c r="K123" i="15"/>
  <c r="K245" i="15"/>
  <c r="K260" i="15" s="1"/>
  <c r="K44" i="15"/>
  <c r="K43" i="15"/>
  <c r="K25" i="15"/>
  <c r="K27" i="15" s="1"/>
  <c r="K54" i="15"/>
  <c r="K56" i="15"/>
  <c r="K86" i="15"/>
  <c r="D942" i="17"/>
  <c r="C937" i="17"/>
  <c r="C938" i="17" s="1"/>
  <c r="C939" i="17" s="1"/>
  <c r="C940" i="17" s="1"/>
  <c r="D930" i="17"/>
  <c r="D931" i="17" s="1"/>
  <c r="D943" i="17"/>
  <c r="AF108" i="15"/>
  <c r="AF107" i="15"/>
  <c r="AS77" i="15" l="1"/>
  <c r="AS172" i="15" s="1"/>
  <c r="AR78" i="15"/>
  <c r="AR239" i="15" s="1"/>
  <c r="AS238" i="15"/>
  <c r="AS78" i="15"/>
  <c r="AN239" i="15"/>
  <c r="AJ85" i="15"/>
  <c r="K246" i="15"/>
  <c r="K124" i="15"/>
  <c r="K185" i="15" s="1"/>
  <c r="K141" i="15"/>
  <c r="K204" i="15" s="1"/>
  <c r="K119" i="15"/>
  <c r="AM128" i="15"/>
  <c r="AM187" i="15" s="1"/>
  <c r="AG23" i="15"/>
  <c r="AG43" i="15" s="1"/>
  <c r="AN128" i="15"/>
  <c r="AG40" i="15"/>
  <c r="AK138" i="15"/>
  <c r="AK201" i="15" s="1"/>
  <c r="AG50" i="15"/>
  <c r="AL128" i="15"/>
  <c r="AN188" i="15"/>
  <c r="AK188" i="15"/>
  <c r="AK187" i="15"/>
  <c r="L91" i="15"/>
  <c r="L139" i="15" s="1"/>
  <c r="L202" i="15" s="1"/>
  <c r="L230" i="15"/>
  <c r="L75" i="15"/>
  <c r="L164" i="15"/>
  <c r="AM188" i="15"/>
  <c r="AK75" i="15"/>
  <c r="AK230" i="15"/>
  <c r="AK164" i="15"/>
  <c r="AL91" i="15"/>
  <c r="AL139" i="15" s="1"/>
  <c r="AL202" i="15" s="1"/>
  <c r="AM91" i="15"/>
  <c r="AM139" i="15" s="1"/>
  <c r="AM202" i="15" s="1"/>
  <c r="AL188" i="15"/>
  <c r="AG177" i="15"/>
  <c r="G743" i="17"/>
  <c r="D879" i="17"/>
  <c r="F879" i="17" s="1"/>
  <c r="D884" i="17"/>
  <c r="J737" i="17"/>
  <c r="J738" i="17"/>
  <c r="G745" i="17"/>
  <c r="G747" i="17"/>
  <c r="AJ136" i="15"/>
  <c r="AJ198" i="15"/>
  <c r="AJ182" i="15"/>
  <c r="AJ250" i="15" s="1"/>
  <c r="F877" i="17"/>
  <c r="D881" i="17"/>
  <c r="F881" i="17" s="1"/>
  <c r="AG131" i="15"/>
  <c r="AJ143" i="15"/>
  <c r="AJ185" i="15"/>
  <c r="AJ170" i="15"/>
  <c r="AJ236" i="15"/>
  <c r="AJ184" i="15"/>
  <c r="AJ144" i="15"/>
  <c r="AH184" i="15"/>
  <c r="AH144" i="15"/>
  <c r="AI185" i="15"/>
  <c r="AI143" i="15"/>
  <c r="AH185" i="15"/>
  <c r="AH143" i="15"/>
  <c r="AI144" i="15"/>
  <c r="AI184" i="15"/>
  <c r="AH182" i="15"/>
  <c r="AH250" i="15" s="1"/>
  <c r="AH136" i="15"/>
  <c r="J827" i="17"/>
  <c r="E839" i="17"/>
  <c r="F834" i="17"/>
  <c r="AH158" i="15"/>
  <c r="AH66" i="15"/>
  <c r="AH224" i="15"/>
  <c r="E794" i="17"/>
  <c r="J782" i="17"/>
  <c r="F789" i="17"/>
  <c r="J871" i="17"/>
  <c r="J872" i="17"/>
  <c r="AI198" i="15"/>
  <c r="AI182" i="15"/>
  <c r="AI250" i="15" s="1"/>
  <c r="AI136" i="15"/>
  <c r="F793" i="17"/>
  <c r="F836" i="17"/>
  <c r="AI170" i="15"/>
  <c r="AI236" i="15"/>
  <c r="AG123" i="15"/>
  <c r="AG184" i="15" s="1"/>
  <c r="AG245" i="15"/>
  <c r="AG260" i="15" s="1"/>
  <c r="AG178" i="15"/>
  <c r="AG124" i="15"/>
  <c r="AG143" i="15" s="1"/>
  <c r="AG141" i="15"/>
  <c r="AG204" i="15" s="1"/>
  <c r="AG246" i="15"/>
  <c r="AG182" i="15"/>
  <c r="AG250" i="15" s="1"/>
  <c r="AG136" i="15"/>
  <c r="K89" i="15"/>
  <c r="K32" i="15"/>
  <c r="K184" i="15"/>
  <c r="K144" i="15"/>
  <c r="K190" i="15"/>
  <c r="D944" i="17"/>
  <c r="AF196" i="15"/>
  <c r="J905" i="17"/>
  <c r="E943" i="17" s="1"/>
  <c r="AF175" i="15"/>
  <c r="AF243" i="15" s="1"/>
  <c r="AF153" i="15"/>
  <c r="AF150" i="15"/>
  <c r="AF140" i="15"/>
  <c r="AF203" i="15" s="1"/>
  <c r="AF109" i="15"/>
  <c r="AF99" i="15"/>
  <c r="AF93" i="15"/>
  <c r="AF121" i="15" s="1"/>
  <c r="AF213" i="15" s="1"/>
  <c r="AF133" i="15" s="1"/>
  <c r="AF62" i="15"/>
  <c r="AF59" i="15"/>
  <c r="AF58" i="15"/>
  <c r="AF49" i="15"/>
  <c r="AF61" i="15" s="1"/>
  <c r="AF83" i="15" s="1"/>
  <c r="AF147" i="15" s="1"/>
  <c r="AF39" i="15"/>
  <c r="AF38" i="15"/>
  <c r="AF37" i="15"/>
  <c r="AF36" i="15"/>
  <c r="AF35" i="15"/>
  <c r="AF10" i="15"/>
  <c r="AF8" i="15"/>
  <c r="AC38" i="18"/>
  <c r="AC29" i="18"/>
  <c r="AC20" i="18"/>
  <c r="AC11" i="18"/>
  <c r="P78" i="15" l="1"/>
  <c r="AR173" i="15"/>
  <c r="AS239" i="15"/>
  <c r="AS173" i="15"/>
  <c r="P172" i="15"/>
  <c r="K143" i="15"/>
  <c r="AG25" i="15"/>
  <c r="AG27" i="15" s="1"/>
  <c r="AG32" i="15" s="1"/>
  <c r="AG44" i="15"/>
  <c r="AJ154" i="15"/>
  <c r="AJ151" i="15"/>
  <c r="AN187" i="15"/>
  <c r="AL187" i="15"/>
  <c r="AG190" i="15"/>
  <c r="AK236" i="15"/>
  <c r="AK170" i="15"/>
  <c r="L77" i="15"/>
  <c r="L78" i="15" s="1"/>
  <c r="L236" i="15"/>
  <c r="L170" i="15"/>
  <c r="AG224" i="15"/>
  <c r="AG144" i="15"/>
  <c r="AJ252" i="15"/>
  <c r="AJ253" i="15"/>
  <c r="AJ199" i="15"/>
  <c r="AJ206" i="15"/>
  <c r="AJ207" i="15"/>
  <c r="G834" i="17"/>
  <c r="G836" i="17"/>
  <c r="G838" i="17"/>
  <c r="G789" i="17"/>
  <c r="G793" i="17"/>
  <c r="G791" i="17"/>
  <c r="J828" i="17"/>
  <c r="J829" i="17"/>
  <c r="AI253" i="15"/>
  <c r="AI252" i="15"/>
  <c r="J784" i="17"/>
  <c r="J783" i="17"/>
  <c r="AH252" i="15"/>
  <c r="AH253" i="15"/>
  <c r="AI199" i="15"/>
  <c r="AI207" i="15"/>
  <c r="AI206" i="15"/>
  <c r="AH161" i="15"/>
  <c r="AH227" i="15"/>
  <c r="AH69" i="15"/>
  <c r="AK91" i="15" s="1"/>
  <c r="AK139" i="15" s="1"/>
  <c r="AK202" i="15" s="1"/>
  <c r="AG158" i="15"/>
  <c r="AG252" i="15"/>
  <c r="AG185" i="15"/>
  <c r="E888" i="17"/>
  <c r="E889" i="17" s="1"/>
  <c r="E900" i="17"/>
  <c r="AG253" i="15"/>
  <c r="D918" i="17"/>
  <c r="E918" i="17" s="1"/>
  <c r="E937" i="17"/>
  <c r="E939" i="17"/>
  <c r="E940" i="17"/>
  <c r="E936" i="17"/>
  <c r="E938" i="17"/>
  <c r="E917" i="17"/>
  <c r="E920" i="17"/>
  <c r="E915" i="17"/>
  <c r="E909" i="17"/>
  <c r="E922" i="17"/>
  <c r="E912" i="17"/>
  <c r="E910" i="17"/>
  <c r="E913" i="17"/>
  <c r="E916" i="17"/>
  <c r="E914" i="17"/>
  <c r="E911" i="17"/>
  <c r="E941" i="17"/>
  <c r="AF157" i="15"/>
  <c r="AF155" i="15"/>
  <c r="AF114" i="15"/>
  <c r="AF113" i="15"/>
  <c r="AF17" i="15"/>
  <c r="AF11" i="15"/>
  <c r="D985" i="17"/>
  <c r="C980" i="17"/>
  <c r="C981" i="17" s="1"/>
  <c r="C982" i="17" s="1"/>
  <c r="C983" i="17" s="1"/>
  <c r="D960" i="17"/>
  <c r="D959" i="17"/>
  <c r="D958" i="17"/>
  <c r="D957" i="17"/>
  <c r="D956" i="17"/>
  <c r="D955" i="17"/>
  <c r="D954" i="17"/>
  <c r="D953" i="17"/>
  <c r="D952" i="17"/>
  <c r="D965" i="17"/>
  <c r="D963" i="17"/>
  <c r="D973" i="17" s="1"/>
  <c r="D974" i="17" s="1"/>
  <c r="J948" i="17"/>
  <c r="AB38" i="18"/>
  <c r="AB29" i="18"/>
  <c r="AB20" i="18"/>
  <c r="AB11" i="18"/>
  <c r="AA38" i="18"/>
  <c r="AA29" i="18"/>
  <c r="AA20" i="18"/>
  <c r="AA11" i="18"/>
  <c r="P239" i="15" l="1"/>
  <c r="P173" i="15"/>
  <c r="P238" i="15"/>
  <c r="AJ89" i="15"/>
  <c r="L239" i="15"/>
  <c r="L173" i="15"/>
  <c r="L238" i="15"/>
  <c r="L172" i="15"/>
  <c r="AI85" i="15"/>
  <c r="AH75" i="15"/>
  <c r="AH164" i="15"/>
  <c r="AH230" i="15"/>
  <c r="E877" i="17"/>
  <c r="E902" i="17"/>
  <c r="D919" i="17"/>
  <c r="D926" i="17" s="1"/>
  <c r="E983" i="17"/>
  <c r="E942" i="17"/>
  <c r="E944" i="17" s="1"/>
  <c r="E930" i="17"/>
  <c r="E931" i="17" s="1"/>
  <c r="E919" i="17"/>
  <c r="E958" i="17"/>
  <c r="AF142" i="15"/>
  <c r="AF205" i="15" s="1"/>
  <c r="AF177" i="15"/>
  <c r="AF131" i="15"/>
  <c r="AF245" i="15"/>
  <c r="AF260" i="15" s="1"/>
  <c r="AF23" i="15"/>
  <c r="AF50" i="15"/>
  <c r="AF40" i="15"/>
  <c r="AF178" i="15"/>
  <c r="AF119" i="15"/>
  <c r="AF141" i="15"/>
  <c r="AF204" i="15" s="1"/>
  <c r="AF246" i="15"/>
  <c r="E960" i="17"/>
  <c r="E980" i="17"/>
  <c r="E984" i="17"/>
  <c r="E959" i="17"/>
  <c r="E953" i="17"/>
  <c r="E957" i="17"/>
  <c r="E963" i="17"/>
  <c r="E981" i="17"/>
  <c r="E954" i="17"/>
  <c r="E952" i="17"/>
  <c r="E965" i="17"/>
  <c r="E982" i="17"/>
  <c r="E955" i="17"/>
  <c r="D986" i="17"/>
  <c r="E986" i="17" s="1"/>
  <c r="E956" i="17"/>
  <c r="E979" i="17"/>
  <c r="AE108" i="15"/>
  <c r="AE107" i="15"/>
  <c r="AH77" i="15" l="1"/>
  <c r="AH78" i="15" s="1"/>
  <c r="AH170" i="15"/>
  <c r="AH236" i="15"/>
  <c r="E881" i="17"/>
  <c r="E879" i="17"/>
  <c r="D923" i="17"/>
  <c r="D921" i="17"/>
  <c r="E921" i="17"/>
  <c r="E923" i="17"/>
  <c r="AF190" i="15"/>
  <c r="AF43" i="15"/>
  <c r="AF44" i="15"/>
  <c r="AF25" i="15"/>
  <c r="AF27" i="15" s="1"/>
  <c r="D987" i="17"/>
  <c r="AE99" i="15"/>
  <c r="AE72" i="15"/>
  <c r="AF72" i="15" s="1"/>
  <c r="AE71" i="15"/>
  <c r="AF71" i="15" s="1"/>
  <c r="AE68" i="15"/>
  <c r="AE65" i="15"/>
  <c r="AF65" i="15" s="1"/>
  <c r="AE64" i="15"/>
  <c r="AF64" i="15" s="1"/>
  <c r="AE51" i="15"/>
  <c r="AE196" i="15"/>
  <c r="AE175" i="15"/>
  <c r="AE153" i="15"/>
  <c r="AI154" i="15" s="1"/>
  <c r="AE150" i="15"/>
  <c r="AI151" i="15" s="1"/>
  <c r="AE140" i="15"/>
  <c r="AE109" i="15"/>
  <c r="AE93" i="15"/>
  <c r="AE121" i="15" s="1"/>
  <c r="AE213" i="15" s="1"/>
  <c r="AE133" i="15" s="1"/>
  <c r="AE74" i="15"/>
  <c r="AF74" i="15" s="1"/>
  <c r="AE62" i="15"/>
  <c r="AE59" i="15"/>
  <c r="AE58" i="15"/>
  <c r="AE49" i="15"/>
  <c r="AE61" i="15" s="1"/>
  <c r="AE83" i="15" s="1"/>
  <c r="AE147" i="15" s="1"/>
  <c r="AE39" i="15"/>
  <c r="AE38" i="15"/>
  <c r="AE37" i="15"/>
  <c r="AE36" i="15"/>
  <c r="AE35" i="15"/>
  <c r="AE10" i="15"/>
  <c r="AE17" i="15" s="1"/>
  <c r="AE8" i="15"/>
  <c r="AG65" i="15" l="1"/>
  <c r="AG71" i="15"/>
  <c r="AG72" i="15"/>
  <c r="AH239" i="15"/>
  <c r="AH173" i="15"/>
  <c r="AH85" i="15"/>
  <c r="AG74" i="15"/>
  <c r="AI89" i="15"/>
  <c r="AG64" i="15"/>
  <c r="AI77" i="15"/>
  <c r="AH238" i="15"/>
  <c r="AH172" i="15"/>
  <c r="AE167" i="15"/>
  <c r="AF51" i="15"/>
  <c r="AG51" i="15" s="1"/>
  <c r="AE47" i="15"/>
  <c r="AE159" i="15"/>
  <c r="AF160" i="15"/>
  <c r="AF158" i="15"/>
  <c r="AF66" i="15"/>
  <c r="AE163" i="15"/>
  <c r="AF68" i="15"/>
  <c r="AE50" i="15"/>
  <c r="AE52" i="15" s="1"/>
  <c r="AF169" i="15"/>
  <c r="AF166" i="15"/>
  <c r="AF159" i="15"/>
  <c r="AF167" i="15"/>
  <c r="AF32" i="15"/>
  <c r="AE114" i="15"/>
  <c r="AE178" i="15" s="1"/>
  <c r="D961" i="17"/>
  <c r="AE160" i="15"/>
  <c r="AE155" i="15"/>
  <c r="AE169" i="15"/>
  <c r="AE243" i="15"/>
  <c r="AE157" i="15"/>
  <c r="AE11" i="15"/>
  <c r="AE23" i="15"/>
  <c r="AE113" i="15"/>
  <c r="AE166" i="15"/>
  <c r="AE40" i="15"/>
  <c r="AE203" i="15"/>
  <c r="R8" i="18"/>
  <c r="R13" i="18" s="1"/>
  <c r="V8" i="18"/>
  <c r="V12" i="18" s="1"/>
  <c r="Z8" i="18"/>
  <c r="R9" i="18"/>
  <c r="V9" i="18"/>
  <c r="Z9" i="18"/>
  <c r="R10" i="18"/>
  <c r="V10" i="18"/>
  <c r="Z10" i="18"/>
  <c r="C11" i="18"/>
  <c r="D11" i="18"/>
  <c r="E11" i="18"/>
  <c r="F11" i="18"/>
  <c r="G11" i="18"/>
  <c r="O11" i="18"/>
  <c r="P11" i="18"/>
  <c r="Q11" i="18"/>
  <c r="S11" i="18"/>
  <c r="T11" i="18"/>
  <c r="U11" i="18"/>
  <c r="W11" i="18"/>
  <c r="X11" i="18"/>
  <c r="Y11" i="18"/>
  <c r="R14" i="18"/>
  <c r="V14" i="18"/>
  <c r="Z14" i="18"/>
  <c r="R17" i="18"/>
  <c r="R22" i="18" s="1"/>
  <c r="V17" i="18"/>
  <c r="V22" i="18" s="1"/>
  <c r="Z17" i="18"/>
  <c r="R18" i="18"/>
  <c r="V18" i="18"/>
  <c r="Z18" i="18"/>
  <c r="R19" i="18"/>
  <c r="V19" i="18"/>
  <c r="Z19" i="18"/>
  <c r="C20" i="18"/>
  <c r="D20" i="18"/>
  <c r="E20" i="18"/>
  <c r="F20" i="18"/>
  <c r="G20" i="18"/>
  <c r="O20" i="18"/>
  <c r="P20" i="18"/>
  <c r="Q20" i="18"/>
  <c r="S20" i="18"/>
  <c r="T20" i="18"/>
  <c r="U20" i="18"/>
  <c r="W20" i="18"/>
  <c r="X20" i="18"/>
  <c r="Y20" i="18"/>
  <c r="R23" i="18"/>
  <c r="V23" i="18"/>
  <c r="Z23" i="18"/>
  <c r="R26" i="18"/>
  <c r="V26" i="18"/>
  <c r="V30" i="18" s="1"/>
  <c r="Z26" i="18"/>
  <c r="R27" i="18"/>
  <c r="V27" i="18"/>
  <c r="Z27" i="18"/>
  <c r="R28" i="18"/>
  <c r="V28" i="18"/>
  <c r="Z28" i="18"/>
  <c r="C29" i="18"/>
  <c r="D29" i="18"/>
  <c r="E29" i="18"/>
  <c r="F29" i="18"/>
  <c r="G29" i="18"/>
  <c r="O29" i="18"/>
  <c r="P29" i="18"/>
  <c r="Q29" i="18"/>
  <c r="S29" i="18"/>
  <c r="T29" i="18"/>
  <c r="U29" i="18"/>
  <c r="W29" i="18"/>
  <c r="X29" i="18"/>
  <c r="Y29" i="18"/>
  <c r="R32" i="18"/>
  <c r="V32" i="18"/>
  <c r="Z32" i="18"/>
  <c r="R35" i="18"/>
  <c r="R39" i="18" s="1"/>
  <c r="V35" i="18"/>
  <c r="Z35" i="18"/>
  <c r="R36" i="18"/>
  <c r="V36" i="18"/>
  <c r="Z36" i="18"/>
  <c r="R37" i="18"/>
  <c r="V37" i="18"/>
  <c r="Z37" i="18"/>
  <c r="C38" i="18"/>
  <c r="D38" i="18"/>
  <c r="E38" i="18"/>
  <c r="F38" i="18"/>
  <c r="G38" i="18"/>
  <c r="O38" i="18"/>
  <c r="P38" i="18"/>
  <c r="Q38" i="18"/>
  <c r="S38" i="18"/>
  <c r="T38" i="18"/>
  <c r="U38" i="18"/>
  <c r="W38" i="18"/>
  <c r="X38" i="18"/>
  <c r="Y38" i="18"/>
  <c r="R41" i="18"/>
  <c r="V41" i="18"/>
  <c r="Z41" i="18"/>
  <c r="AC7" i="15"/>
  <c r="AG8" i="15" s="1"/>
  <c r="U7" i="15"/>
  <c r="W84" i="15" s="1"/>
  <c r="W134" i="15" s="1"/>
  <c r="Y7" i="15"/>
  <c r="Y84" i="15" s="1"/>
  <c r="Y134" i="15" s="1"/>
  <c r="G8" i="15"/>
  <c r="H8" i="15"/>
  <c r="I8" i="15"/>
  <c r="J8" i="15"/>
  <c r="V8" i="15"/>
  <c r="W8" i="15"/>
  <c r="X8" i="15"/>
  <c r="Z8" i="15"/>
  <c r="AA8" i="15"/>
  <c r="AB8" i="15"/>
  <c r="AD8" i="15"/>
  <c r="AC9" i="15"/>
  <c r="U9" i="15"/>
  <c r="Y9" i="15"/>
  <c r="D10" i="15"/>
  <c r="E10" i="15"/>
  <c r="E17" i="15" s="1"/>
  <c r="E40" i="15" s="1"/>
  <c r="F10" i="15"/>
  <c r="F11" i="15" s="1"/>
  <c r="G10" i="15"/>
  <c r="G11" i="15" s="1"/>
  <c r="H10" i="15"/>
  <c r="I10" i="15"/>
  <c r="J10" i="15"/>
  <c r="J11" i="15" s="1"/>
  <c r="R10" i="15"/>
  <c r="S10" i="15"/>
  <c r="S11" i="15" s="1"/>
  <c r="T10" i="15"/>
  <c r="T17" i="15" s="1"/>
  <c r="V10" i="15"/>
  <c r="W10" i="15"/>
  <c r="W17" i="15" s="1"/>
  <c r="W50" i="15" s="1"/>
  <c r="X10" i="15"/>
  <c r="X17" i="15" s="1"/>
  <c r="Z10" i="15"/>
  <c r="AA10" i="15"/>
  <c r="AB10" i="15"/>
  <c r="AB17" i="15" s="1"/>
  <c r="AB23" i="15" s="1"/>
  <c r="AD10" i="15"/>
  <c r="E11" i="15"/>
  <c r="AC12" i="15"/>
  <c r="U12" i="15"/>
  <c r="Y12" i="15"/>
  <c r="AC13" i="15"/>
  <c r="U13" i="15"/>
  <c r="Y13" i="15"/>
  <c r="AC14" i="15"/>
  <c r="U14" i="15"/>
  <c r="Y14" i="15"/>
  <c r="AC15" i="15"/>
  <c r="U15" i="15"/>
  <c r="Y15" i="15"/>
  <c r="AC16" i="15"/>
  <c r="U16" i="15"/>
  <c r="Y16" i="15"/>
  <c r="AC18" i="15"/>
  <c r="U18" i="15"/>
  <c r="U41" i="15" s="1"/>
  <c r="Y18" i="15"/>
  <c r="AA41" i="15" s="1"/>
  <c r="AC19" i="15"/>
  <c r="U19" i="15"/>
  <c r="Y19" i="15"/>
  <c r="AC20" i="15"/>
  <c r="U20" i="15"/>
  <c r="Y20" i="15"/>
  <c r="AC21" i="15"/>
  <c r="U21" i="15"/>
  <c r="Y21" i="15"/>
  <c r="AC22" i="15"/>
  <c r="U22" i="15"/>
  <c r="Y22" i="15"/>
  <c r="AC24" i="15"/>
  <c r="U24" i="15"/>
  <c r="Y24" i="15"/>
  <c r="AC26" i="15"/>
  <c r="U26" i="15"/>
  <c r="Y26" i="15"/>
  <c r="AC29" i="15"/>
  <c r="U29" i="15"/>
  <c r="Y29" i="15"/>
  <c r="AC30" i="15"/>
  <c r="U30" i="15"/>
  <c r="Y30" i="15"/>
  <c r="B35" i="15"/>
  <c r="D35" i="15"/>
  <c r="E35" i="15"/>
  <c r="F35" i="15"/>
  <c r="G35" i="15"/>
  <c r="H35" i="15"/>
  <c r="I35" i="15"/>
  <c r="J35" i="15"/>
  <c r="R35" i="15"/>
  <c r="S35" i="15"/>
  <c r="T35" i="15"/>
  <c r="V35" i="15"/>
  <c r="W35" i="15"/>
  <c r="X35" i="15"/>
  <c r="Z35" i="15"/>
  <c r="AA35" i="15"/>
  <c r="AB35" i="15"/>
  <c r="AD35" i="15"/>
  <c r="B36" i="15"/>
  <c r="D36" i="15"/>
  <c r="E36" i="15"/>
  <c r="F36" i="15"/>
  <c r="G36" i="15"/>
  <c r="H36" i="15"/>
  <c r="I36" i="15"/>
  <c r="J36" i="15"/>
  <c r="R36" i="15"/>
  <c r="S36" i="15"/>
  <c r="T36" i="15"/>
  <c r="V36" i="15"/>
  <c r="W36" i="15"/>
  <c r="X36" i="15"/>
  <c r="Z36" i="15"/>
  <c r="AA36" i="15"/>
  <c r="AB36" i="15"/>
  <c r="AD36" i="15"/>
  <c r="B37" i="15"/>
  <c r="D37" i="15"/>
  <c r="E37" i="15"/>
  <c r="F37" i="15"/>
  <c r="G37" i="15"/>
  <c r="H37" i="15"/>
  <c r="I37" i="15"/>
  <c r="J37" i="15"/>
  <c r="R37" i="15"/>
  <c r="S37" i="15"/>
  <c r="T37" i="15"/>
  <c r="V37" i="15"/>
  <c r="W37" i="15"/>
  <c r="X37" i="15"/>
  <c r="Z37" i="15"/>
  <c r="AA37" i="15"/>
  <c r="AB37" i="15"/>
  <c r="AD37" i="15"/>
  <c r="B38" i="15"/>
  <c r="D38" i="15"/>
  <c r="E38" i="15"/>
  <c r="F38" i="15"/>
  <c r="G38" i="15"/>
  <c r="H38" i="15"/>
  <c r="I38" i="15"/>
  <c r="J38" i="15"/>
  <c r="R38" i="15"/>
  <c r="S38" i="15"/>
  <c r="T38" i="15"/>
  <c r="V38" i="15"/>
  <c r="W38" i="15"/>
  <c r="X38" i="15"/>
  <c r="Z38" i="15"/>
  <c r="AA38" i="15"/>
  <c r="AB38" i="15"/>
  <c r="AD38" i="15"/>
  <c r="B39" i="15"/>
  <c r="D39" i="15"/>
  <c r="E39" i="15"/>
  <c r="F39" i="15"/>
  <c r="G39" i="15"/>
  <c r="H39" i="15"/>
  <c r="I39" i="15"/>
  <c r="J39" i="15"/>
  <c r="R39" i="15"/>
  <c r="S39" i="15"/>
  <c r="T39" i="15"/>
  <c r="V39" i="15"/>
  <c r="W39" i="15"/>
  <c r="X39" i="15"/>
  <c r="Z39" i="15"/>
  <c r="AA39" i="15"/>
  <c r="AB39" i="15"/>
  <c r="AD39" i="15"/>
  <c r="B40" i="15"/>
  <c r="D41" i="15"/>
  <c r="E41" i="15"/>
  <c r="F41" i="15"/>
  <c r="G41" i="15"/>
  <c r="H41" i="15"/>
  <c r="I41" i="15"/>
  <c r="J41" i="15"/>
  <c r="Y111" i="15"/>
  <c r="AC111" i="15"/>
  <c r="D107" i="15"/>
  <c r="D109" i="15" s="1"/>
  <c r="D114" i="15" s="1"/>
  <c r="E107" i="15"/>
  <c r="E109" i="15" s="1"/>
  <c r="F107" i="15"/>
  <c r="F109" i="15" s="1"/>
  <c r="G107" i="15"/>
  <c r="G109" i="15" s="1"/>
  <c r="G42" i="15" s="1"/>
  <c r="H107" i="15"/>
  <c r="H108" i="15"/>
  <c r="U108" i="15" s="1"/>
  <c r="I107" i="15"/>
  <c r="I108" i="15"/>
  <c r="Y108" i="15" s="1"/>
  <c r="J107" i="15"/>
  <c r="J108" i="15"/>
  <c r="AC108" i="15" s="1"/>
  <c r="AD107" i="15"/>
  <c r="AD108" i="15"/>
  <c r="V107" i="15"/>
  <c r="W107" i="15"/>
  <c r="W108" i="15"/>
  <c r="X107" i="15"/>
  <c r="X108" i="15"/>
  <c r="Z107" i="15"/>
  <c r="Z108" i="15"/>
  <c r="AA107" i="15"/>
  <c r="AA108" i="15"/>
  <c r="AB107" i="15"/>
  <c r="AB108" i="15"/>
  <c r="B43" i="15"/>
  <c r="D67" i="15"/>
  <c r="E46" i="15"/>
  <c r="F67" i="15"/>
  <c r="F46" i="15" s="1"/>
  <c r="G67" i="15"/>
  <c r="G90" i="15" s="1"/>
  <c r="G138" i="15" s="1"/>
  <c r="H67" i="15"/>
  <c r="H46" i="15" s="1"/>
  <c r="I67" i="15"/>
  <c r="I46" i="15" s="1"/>
  <c r="J67" i="15"/>
  <c r="J46" i="15" s="1"/>
  <c r="AA67" i="15"/>
  <c r="AB67" i="15" s="1"/>
  <c r="AE67" i="15"/>
  <c r="AF67" i="15" s="1"/>
  <c r="R67" i="15"/>
  <c r="V67" i="15"/>
  <c r="Z46" i="15"/>
  <c r="D47" i="15"/>
  <c r="E47" i="15"/>
  <c r="F47" i="15"/>
  <c r="G47" i="15"/>
  <c r="H47" i="15"/>
  <c r="I47" i="15"/>
  <c r="J47" i="15"/>
  <c r="AA51" i="15"/>
  <c r="AB51" i="15" s="1"/>
  <c r="R47" i="15"/>
  <c r="S51" i="15"/>
  <c r="V47" i="15"/>
  <c r="W51" i="15"/>
  <c r="Z47" i="15"/>
  <c r="AD47" i="15"/>
  <c r="D49" i="15"/>
  <c r="D61" i="15" s="1"/>
  <c r="D83" i="15" s="1"/>
  <c r="E49" i="15"/>
  <c r="E61" i="15" s="1"/>
  <c r="E83" i="15" s="1"/>
  <c r="F49" i="15"/>
  <c r="F61" i="15" s="1"/>
  <c r="F83" i="15" s="1"/>
  <c r="F147" i="15" s="1"/>
  <c r="G49" i="15"/>
  <c r="G61" i="15" s="1"/>
  <c r="G83" i="15" s="1"/>
  <c r="H49" i="15"/>
  <c r="H61" i="15" s="1"/>
  <c r="H83" i="15" s="1"/>
  <c r="H147" i="15" s="1"/>
  <c r="I49" i="15"/>
  <c r="I61" i="15" s="1"/>
  <c r="I83" i="15" s="1"/>
  <c r="I147" i="15" s="1"/>
  <c r="J49" i="15"/>
  <c r="J61" i="15" s="1"/>
  <c r="J83" i="15" s="1"/>
  <c r="J147" i="15" s="1"/>
  <c r="R49" i="15"/>
  <c r="R61" i="15" s="1"/>
  <c r="R83" i="15" s="1"/>
  <c r="R147" i="15" s="1"/>
  <c r="S49" i="15"/>
  <c r="S61" i="15" s="1"/>
  <c r="S83" i="15" s="1"/>
  <c r="S147" i="15" s="1"/>
  <c r="T49" i="15"/>
  <c r="T61" i="15" s="1"/>
  <c r="T83" i="15" s="1"/>
  <c r="T147" i="15" s="1"/>
  <c r="U49" i="15"/>
  <c r="U61" i="15" s="1"/>
  <c r="U83" i="15" s="1"/>
  <c r="U147" i="15" s="1"/>
  <c r="V49" i="15"/>
  <c r="V61" i="15" s="1"/>
  <c r="V83" i="15" s="1"/>
  <c r="V147" i="15" s="1"/>
  <c r="W49" i="15"/>
  <c r="W61" i="15" s="1"/>
  <c r="W83" i="15" s="1"/>
  <c r="W147" i="15" s="1"/>
  <c r="X49" i="15"/>
  <c r="X61" i="15" s="1"/>
  <c r="X83" i="15" s="1"/>
  <c r="X147" i="15" s="1"/>
  <c r="Y49" i="15"/>
  <c r="Y61" i="15" s="1"/>
  <c r="Y83" i="15" s="1"/>
  <c r="Y147" i="15" s="1"/>
  <c r="Z49" i="15"/>
  <c r="Z61" i="15" s="1"/>
  <c r="Z83" i="15" s="1"/>
  <c r="Z147" i="15" s="1"/>
  <c r="AA49" i="15"/>
  <c r="AA61" i="15" s="1"/>
  <c r="AA83" i="15" s="1"/>
  <c r="AA147" i="15" s="1"/>
  <c r="AB49" i="15"/>
  <c r="AB61" i="15" s="1"/>
  <c r="AB83" i="15" s="1"/>
  <c r="AB147" i="15" s="1"/>
  <c r="AC49" i="15"/>
  <c r="AC61" i="15" s="1"/>
  <c r="AC83" i="15" s="1"/>
  <c r="AC147" i="15" s="1"/>
  <c r="AD49" i="15"/>
  <c r="AD61" i="15" s="1"/>
  <c r="AD83" i="15" s="1"/>
  <c r="AD147" i="15" s="1"/>
  <c r="AC57" i="15"/>
  <c r="AD87" i="15" s="1"/>
  <c r="D1010" i="17" s="1"/>
  <c r="U57" i="15"/>
  <c r="U62" i="15" s="1"/>
  <c r="U157" i="15" s="1"/>
  <c r="Y57" i="15"/>
  <c r="Y87" i="15" s="1"/>
  <c r="E58" i="15"/>
  <c r="F58" i="15"/>
  <c r="G58" i="15"/>
  <c r="H58" i="15"/>
  <c r="I58" i="15"/>
  <c r="J58" i="15"/>
  <c r="V58" i="15"/>
  <c r="W58" i="15"/>
  <c r="X58" i="15"/>
  <c r="Z58" i="15"/>
  <c r="AA58" i="15"/>
  <c r="AB58" i="15"/>
  <c r="AD58" i="15"/>
  <c r="D59" i="15"/>
  <c r="E59" i="15"/>
  <c r="F59" i="15"/>
  <c r="G59" i="15"/>
  <c r="H59" i="15"/>
  <c r="I59" i="15"/>
  <c r="J59" i="15"/>
  <c r="R59" i="15"/>
  <c r="S59" i="15"/>
  <c r="T59" i="15"/>
  <c r="V59" i="15"/>
  <c r="W59" i="15"/>
  <c r="X59" i="15"/>
  <c r="Z59" i="15"/>
  <c r="AA59" i="15"/>
  <c r="AB59" i="15"/>
  <c r="AD59" i="15"/>
  <c r="D62" i="15"/>
  <c r="D157" i="15" s="1"/>
  <c r="E62" i="15"/>
  <c r="E157" i="15" s="1"/>
  <c r="F62" i="15"/>
  <c r="F157" i="15" s="1"/>
  <c r="G62" i="15"/>
  <c r="G157" i="15" s="1"/>
  <c r="H62" i="15"/>
  <c r="H157" i="15" s="1"/>
  <c r="I62" i="15"/>
  <c r="I157" i="15" s="1"/>
  <c r="J62" i="15"/>
  <c r="J157" i="15" s="1"/>
  <c r="R62" i="15"/>
  <c r="R157" i="15" s="1"/>
  <c r="S62" i="15"/>
  <c r="S157" i="15" s="1"/>
  <c r="T62" i="15"/>
  <c r="T157" i="15" s="1"/>
  <c r="V62" i="15"/>
  <c r="V157" i="15" s="1"/>
  <c r="W62" i="15"/>
  <c r="W157" i="15" s="1"/>
  <c r="X62" i="15"/>
  <c r="X157" i="15" s="1"/>
  <c r="Z62" i="15"/>
  <c r="Z157" i="15" s="1"/>
  <c r="AA62" i="15"/>
  <c r="AA157" i="15" s="1"/>
  <c r="AB62" i="15"/>
  <c r="AB157" i="15" s="1"/>
  <c r="AD62" i="15"/>
  <c r="AD157" i="15" s="1"/>
  <c r="C99" i="15"/>
  <c r="D99" i="15"/>
  <c r="E99" i="15"/>
  <c r="F99" i="15"/>
  <c r="G99" i="15"/>
  <c r="H99" i="15"/>
  <c r="I99" i="15"/>
  <c r="J99" i="15"/>
  <c r="Z99" i="15"/>
  <c r="AA99" i="15"/>
  <c r="AB99" i="15"/>
  <c r="AC96" i="15"/>
  <c r="AC97" i="15"/>
  <c r="AC98" i="15"/>
  <c r="AD99" i="15"/>
  <c r="R99" i="15"/>
  <c r="S99" i="15"/>
  <c r="T99" i="15"/>
  <c r="U96" i="15"/>
  <c r="U97" i="15"/>
  <c r="U98" i="15"/>
  <c r="V99" i="15"/>
  <c r="W99" i="15"/>
  <c r="X99" i="15"/>
  <c r="Y96" i="15"/>
  <c r="Y97" i="15"/>
  <c r="Y98" i="15"/>
  <c r="AA64" i="15"/>
  <c r="AA159" i="15" s="1"/>
  <c r="S64" i="15"/>
  <c r="W64" i="15"/>
  <c r="X64" i="15" s="1"/>
  <c r="AA65" i="15"/>
  <c r="AA160" i="15" s="1"/>
  <c r="S65" i="15"/>
  <c r="W65" i="15"/>
  <c r="X65" i="15" s="1"/>
  <c r="AA68" i="15"/>
  <c r="AB68" i="15" s="1"/>
  <c r="AB163" i="15" s="1"/>
  <c r="U68" i="15"/>
  <c r="U163" i="15" s="1"/>
  <c r="W68" i="15"/>
  <c r="H70" i="15"/>
  <c r="U70" i="15" s="1"/>
  <c r="U165" i="15" s="1"/>
  <c r="J70" i="15"/>
  <c r="J165" i="15" s="1"/>
  <c r="Z70" i="15"/>
  <c r="AA70" i="15" s="1"/>
  <c r="AA165" i="15" s="1"/>
  <c r="AD70" i="15"/>
  <c r="AE70" i="15" s="1"/>
  <c r="AF70" i="15" s="1"/>
  <c r="W70" i="15"/>
  <c r="Y70" i="15" s="1"/>
  <c r="AA71" i="15"/>
  <c r="AB71" i="15" s="1"/>
  <c r="S71" i="15"/>
  <c r="W71" i="15"/>
  <c r="X71" i="15" s="1"/>
  <c r="Y71" i="15" s="1"/>
  <c r="Y166" i="15" s="1"/>
  <c r="AA72" i="15"/>
  <c r="AA167" i="15" s="1"/>
  <c r="T72" i="15"/>
  <c r="U72" i="15" s="1"/>
  <c r="U167" i="15" s="1"/>
  <c r="W72" i="15"/>
  <c r="W167" i="15" s="1"/>
  <c r="D73" i="15"/>
  <c r="D168" i="15" s="1"/>
  <c r="E73" i="15"/>
  <c r="E168" i="15" s="1"/>
  <c r="F73" i="15"/>
  <c r="G73" i="15"/>
  <c r="G168" i="15" s="1"/>
  <c r="H73" i="15"/>
  <c r="H168" i="15" s="1"/>
  <c r="I73" i="15"/>
  <c r="I168" i="15" s="1"/>
  <c r="J73" i="15"/>
  <c r="J168" i="15" s="1"/>
  <c r="Z73" i="15"/>
  <c r="AA73" i="15" s="1"/>
  <c r="AA168" i="15" s="1"/>
  <c r="AD73" i="15"/>
  <c r="AE73" i="15" s="1"/>
  <c r="AF73" i="15" s="1"/>
  <c r="R73" i="15"/>
  <c r="V73" i="15"/>
  <c r="AA74" i="15"/>
  <c r="AC74" i="15" s="1"/>
  <c r="U74" i="15"/>
  <c r="U169" i="15" s="1"/>
  <c r="W74" i="15"/>
  <c r="Y74" i="15" s="1"/>
  <c r="H76" i="15"/>
  <c r="I76" i="15"/>
  <c r="I171" i="15" s="1"/>
  <c r="J76" i="15"/>
  <c r="J171" i="15" s="1"/>
  <c r="Z76" i="15"/>
  <c r="AD76" i="15"/>
  <c r="AE76" i="15" s="1"/>
  <c r="AF76" i="15" s="1"/>
  <c r="R76" i="15"/>
  <c r="V76" i="15"/>
  <c r="B84" i="15"/>
  <c r="B134" i="15" s="1"/>
  <c r="D84" i="15"/>
  <c r="D134" i="15" s="1"/>
  <c r="E84" i="15"/>
  <c r="E134" i="15" s="1"/>
  <c r="F84" i="15"/>
  <c r="F134" i="15" s="1"/>
  <c r="G84" i="15"/>
  <c r="H84" i="15"/>
  <c r="I84" i="15"/>
  <c r="I134" i="15" s="1"/>
  <c r="J84" i="15"/>
  <c r="J134" i="15" s="1"/>
  <c r="D87" i="15"/>
  <c r="E87" i="15"/>
  <c r="F87" i="15"/>
  <c r="G87" i="15"/>
  <c r="G135" i="15" s="1"/>
  <c r="H87" i="15"/>
  <c r="I87" i="15"/>
  <c r="J87" i="15"/>
  <c r="J135" i="15" s="1"/>
  <c r="J182" i="15" s="1"/>
  <c r="D88" i="15"/>
  <c r="D137" i="15" s="1"/>
  <c r="E88" i="15"/>
  <c r="E137" i="15" s="1"/>
  <c r="F88" i="15"/>
  <c r="F137" i="15" s="1"/>
  <c r="G88" i="15"/>
  <c r="H88" i="15"/>
  <c r="H137" i="15" s="1"/>
  <c r="I88" i="15"/>
  <c r="I137" i="15" s="1"/>
  <c r="J88" i="15"/>
  <c r="J137" i="15" s="1"/>
  <c r="E90" i="15"/>
  <c r="E138" i="15" s="1"/>
  <c r="H93" i="15"/>
  <c r="H121" i="15" s="1"/>
  <c r="H213" i="15" s="1"/>
  <c r="H133" i="15" s="1"/>
  <c r="I93" i="15"/>
  <c r="I121" i="15" s="1"/>
  <c r="I213" i="15" s="1"/>
  <c r="I133" i="15" s="1"/>
  <c r="J93" i="15"/>
  <c r="J121" i="15" s="1"/>
  <c r="J213" i="15" s="1"/>
  <c r="J133" i="15" s="1"/>
  <c r="R93" i="15"/>
  <c r="R121" i="15" s="1"/>
  <c r="R213" i="15" s="1"/>
  <c r="R133" i="15" s="1"/>
  <c r="S93" i="15"/>
  <c r="S121" i="15" s="1"/>
  <c r="S213" i="15" s="1"/>
  <c r="S133" i="15" s="1"/>
  <c r="T93" i="15"/>
  <c r="T121" i="15" s="1"/>
  <c r="T213" i="15" s="1"/>
  <c r="T133" i="15" s="1"/>
  <c r="U93" i="15"/>
  <c r="U121" i="15" s="1"/>
  <c r="U213" i="15" s="1"/>
  <c r="U133" i="15" s="1"/>
  <c r="V93" i="15"/>
  <c r="V121" i="15" s="1"/>
  <c r="V213" i="15" s="1"/>
  <c r="V133" i="15" s="1"/>
  <c r="W93" i="15"/>
  <c r="W121" i="15" s="1"/>
  <c r="W213" i="15" s="1"/>
  <c r="W133" i="15" s="1"/>
  <c r="X93" i="15"/>
  <c r="X121" i="15" s="1"/>
  <c r="X213" i="15" s="1"/>
  <c r="X133" i="15" s="1"/>
  <c r="Y93" i="15"/>
  <c r="Y121" i="15" s="1"/>
  <c r="Y213" i="15" s="1"/>
  <c r="Y133" i="15" s="1"/>
  <c r="Z93" i="15"/>
  <c r="Z121" i="15" s="1"/>
  <c r="Z213" i="15" s="1"/>
  <c r="Z133" i="15" s="1"/>
  <c r="AA93" i="15"/>
  <c r="AA121" i="15" s="1"/>
  <c r="AA213" i="15" s="1"/>
  <c r="AA133" i="15" s="1"/>
  <c r="AB93" i="15"/>
  <c r="AB121" i="15" s="1"/>
  <c r="AB213" i="15" s="1"/>
  <c r="AB133" i="15" s="1"/>
  <c r="AC93" i="15"/>
  <c r="AC121" i="15" s="1"/>
  <c r="AC213" i="15" s="1"/>
  <c r="AC133" i="15" s="1"/>
  <c r="AD93" i="15"/>
  <c r="AD121" i="15" s="1"/>
  <c r="AD213" i="15" s="1"/>
  <c r="AD133" i="15" s="1"/>
  <c r="U95" i="15"/>
  <c r="Y95" i="15"/>
  <c r="AC95" i="15"/>
  <c r="R107" i="15"/>
  <c r="S107" i="15"/>
  <c r="T107" i="15"/>
  <c r="T109" i="15" s="1"/>
  <c r="U118" i="15"/>
  <c r="Y118" i="15"/>
  <c r="AC118" i="15"/>
  <c r="B135" i="15"/>
  <c r="B137" i="15"/>
  <c r="B138" i="15"/>
  <c r="B139" i="15"/>
  <c r="D140" i="15"/>
  <c r="E140" i="15"/>
  <c r="F140" i="15"/>
  <c r="G140" i="15"/>
  <c r="H140" i="15"/>
  <c r="I140" i="15"/>
  <c r="J140" i="15"/>
  <c r="R140" i="15"/>
  <c r="S140" i="15"/>
  <c r="T140" i="15"/>
  <c r="U140" i="15"/>
  <c r="V140" i="15"/>
  <c r="W140" i="15"/>
  <c r="X140" i="15"/>
  <c r="Z140" i="15"/>
  <c r="AA140" i="15"/>
  <c r="AB140" i="15"/>
  <c r="AD140" i="15"/>
  <c r="B150" i="15"/>
  <c r="D150" i="15"/>
  <c r="E150" i="15"/>
  <c r="F150" i="15"/>
  <c r="G150" i="15"/>
  <c r="H150" i="15"/>
  <c r="I150" i="15"/>
  <c r="J150" i="15"/>
  <c r="K151" i="15" s="1"/>
  <c r="R150" i="15"/>
  <c r="S150" i="15"/>
  <c r="T150" i="15"/>
  <c r="V150" i="15"/>
  <c r="W150" i="15"/>
  <c r="X150" i="15"/>
  <c r="Z150" i="15"/>
  <c r="AA150" i="15"/>
  <c r="AE151" i="15" s="1"/>
  <c r="AB150" i="15"/>
  <c r="AF151" i="15" s="1"/>
  <c r="AD150" i="15"/>
  <c r="AH151" i="15" s="1"/>
  <c r="B153" i="15"/>
  <c r="D153" i="15"/>
  <c r="E153" i="15"/>
  <c r="F153" i="15"/>
  <c r="G153" i="15"/>
  <c r="H153" i="15"/>
  <c r="I153" i="15"/>
  <c r="J153" i="15"/>
  <c r="K154" i="15" s="1"/>
  <c r="R153" i="15"/>
  <c r="S153" i="15"/>
  <c r="T153" i="15"/>
  <c r="V153" i="15"/>
  <c r="W153" i="15"/>
  <c r="X153" i="15"/>
  <c r="Z153" i="15"/>
  <c r="AA153" i="15"/>
  <c r="AE154" i="15" s="1"/>
  <c r="AB153" i="15"/>
  <c r="AD153" i="15"/>
  <c r="AH154" i="15" s="1"/>
  <c r="B157" i="15"/>
  <c r="B158" i="15"/>
  <c r="B159" i="15"/>
  <c r="D159" i="15"/>
  <c r="E159" i="15"/>
  <c r="F159" i="15"/>
  <c r="G159" i="15"/>
  <c r="H159" i="15"/>
  <c r="I159" i="15"/>
  <c r="J159" i="15"/>
  <c r="R159" i="15"/>
  <c r="V159" i="15"/>
  <c r="Z159" i="15"/>
  <c r="AD159" i="15"/>
  <c r="B160" i="15"/>
  <c r="D160" i="15"/>
  <c r="E160" i="15"/>
  <c r="F160" i="15"/>
  <c r="G160" i="15"/>
  <c r="H160" i="15"/>
  <c r="I160" i="15"/>
  <c r="J160" i="15"/>
  <c r="R160" i="15"/>
  <c r="V160" i="15"/>
  <c r="Z160" i="15"/>
  <c r="AD160" i="15"/>
  <c r="B161" i="15"/>
  <c r="B162" i="15"/>
  <c r="E162" i="15"/>
  <c r="Z162" i="15"/>
  <c r="B163" i="15"/>
  <c r="D163" i="15"/>
  <c r="E163" i="15"/>
  <c r="F163" i="15"/>
  <c r="G163" i="15"/>
  <c r="H163" i="15"/>
  <c r="I163" i="15"/>
  <c r="J163" i="15"/>
  <c r="R163" i="15"/>
  <c r="S163" i="15"/>
  <c r="T163" i="15"/>
  <c r="V163" i="15"/>
  <c r="Z163" i="15"/>
  <c r="AD163" i="15"/>
  <c r="B164" i="15"/>
  <c r="B165" i="15"/>
  <c r="D165" i="15"/>
  <c r="E165" i="15"/>
  <c r="F165" i="15"/>
  <c r="G165" i="15"/>
  <c r="I165" i="15"/>
  <c r="R165" i="15"/>
  <c r="S165" i="15"/>
  <c r="T165" i="15"/>
  <c r="V165" i="15"/>
  <c r="X165" i="15"/>
  <c r="AB165" i="15"/>
  <c r="B166" i="15"/>
  <c r="D166" i="15"/>
  <c r="E166" i="15"/>
  <c r="F166" i="15"/>
  <c r="G166" i="15"/>
  <c r="H166" i="15"/>
  <c r="I166" i="15"/>
  <c r="J166" i="15"/>
  <c r="R166" i="15"/>
  <c r="V166" i="15"/>
  <c r="Z166" i="15"/>
  <c r="AD166" i="15"/>
  <c r="B167" i="15"/>
  <c r="D167" i="15"/>
  <c r="E167" i="15"/>
  <c r="F167" i="15"/>
  <c r="G167" i="15"/>
  <c r="H167" i="15"/>
  <c r="I167" i="15"/>
  <c r="J167" i="15"/>
  <c r="R167" i="15"/>
  <c r="S167" i="15"/>
  <c r="V167" i="15"/>
  <c r="Z167" i="15"/>
  <c r="AD167" i="15"/>
  <c r="B168" i="15"/>
  <c r="S168" i="15"/>
  <c r="B169" i="15"/>
  <c r="D169" i="15"/>
  <c r="E169" i="15"/>
  <c r="F169" i="15"/>
  <c r="G169" i="15"/>
  <c r="H169" i="15"/>
  <c r="I169" i="15"/>
  <c r="J169" i="15"/>
  <c r="R169" i="15"/>
  <c r="S169" i="15"/>
  <c r="T169" i="15"/>
  <c r="V169" i="15"/>
  <c r="X169" i="15"/>
  <c r="Z169" i="15"/>
  <c r="AB169" i="15"/>
  <c r="AD169" i="15"/>
  <c r="B170" i="15"/>
  <c r="B171" i="15"/>
  <c r="D171" i="15"/>
  <c r="E171" i="15"/>
  <c r="F171" i="15"/>
  <c r="G171" i="15"/>
  <c r="B172" i="15"/>
  <c r="B173" i="15"/>
  <c r="D175" i="15"/>
  <c r="E175" i="15"/>
  <c r="F175" i="15"/>
  <c r="G175" i="15"/>
  <c r="H175" i="15"/>
  <c r="I175" i="15"/>
  <c r="J175" i="15"/>
  <c r="R175" i="15"/>
  <c r="S175" i="15"/>
  <c r="T175" i="15"/>
  <c r="U175" i="15"/>
  <c r="V175" i="15"/>
  <c r="W175" i="15"/>
  <c r="X175" i="15"/>
  <c r="Z175" i="15"/>
  <c r="AA175" i="15"/>
  <c r="AB175" i="15"/>
  <c r="AD175" i="15"/>
  <c r="D192" i="15"/>
  <c r="D226" i="15" s="1"/>
  <c r="E192" i="15"/>
  <c r="F192" i="15"/>
  <c r="G192" i="15"/>
  <c r="G219" i="15" s="1"/>
  <c r="H192" i="15"/>
  <c r="H226" i="15" s="1"/>
  <c r="V192" i="15"/>
  <c r="V216" i="15" s="1"/>
  <c r="W192" i="15"/>
  <c r="X192" i="15"/>
  <c r="X231" i="15" s="1"/>
  <c r="Y192" i="15"/>
  <c r="Z192" i="15"/>
  <c r="Z216" i="15" s="1"/>
  <c r="AA192" i="15"/>
  <c r="AB192" i="15"/>
  <c r="AB219" i="15" s="1"/>
  <c r="AC192" i="15"/>
  <c r="AD192" i="15"/>
  <c r="AD235" i="15" s="1"/>
  <c r="R192" i="15"/>
  <c r="R226" i="15" s="1"/>
  <c r="S192" i="15"/>
  <c r="S216" i="15" s="1"/>
  <c r="T192" i="15"/>
  <c r="T235" i="15" s="1"/>
  <c r="U192" i="15"/>
  <c r="D193" i="15"/>
  <c r="E193" i="15"/>
  <c r="F193" i="15"/>
  <c r="G193" i="15"/>
  <c r="H193" i="15"/>
  <c r="H194" i="15" s="1"/>
  <c r="I193" i="15"/>
  <c r="J193" i="15"/>
  <c r="AD193" i="15"/>
  <c r="AD194" i="15" s="1"/>
  <c r="R193" i="15"/>
  <c r="R194" i="15" s="1"/>
  <c r="S193" i="15"/>
  <c r="S194" i="15" s="1"/>
  <c r="T193" i="15"/>
  <c r="T194" i="15" s="1"/>
  <c r="V193" i="15"/>
  <c r="V194" i="15" s="1"/>
  <c r="W193" i="15"/>
  <c r="W194" i="15" s="1"/>
  <c r="X193" i="15"/>
  <c r="X194" i="15" s="1"/>
  <c r="Y193" i="15"/>
  <c r="Y194" i="15" s="1"/>
  <c r="Z193" i="15"/>
  <c r="AA193" i="15"/>
  <c r="AB193" i="15"/>
  <c r="AC193" i="15"/>
  <c r="D196" i="15"/>
  <c r="E196" i="15"/>
  <c r="F196" i="15"/>
  <c r="G196" i="15"/>
  <c r="H196" i="15"/>
  <c r="I196" i="15"/>
  <c r="J196" i="15"/>
  <c r="R196" i="15"/>
  <c r="S196" i="15"/>
  <c r="T196" i="15"/>
  <c r="U196" i="15"/>
  <c r="V196" i="15"/>
  <c r="W196" i="15"/>
  <c r="X196" i="15"/>
  <c r="Y196" i="15"/>
  <c r="Z196" i="15"/>
  <c r="AA196" i="15"/>
  <c r="AB196" i="15"/>
  <c r="AC196" i="15"/>
  <c r="AD196" i="15"/>
  <c r="U208" i="15"/>
  <c r="Y208" i="15"/>
  <c r="B216" i="15"/>
  <c r="B217" i="15"/>
  <c r="B219" i="15"/>
  <c r="B223" i="15"/>
  <c r="B224" i="15"/>
  <c r="B225" i="15"/>
  <c r="B226" i="15"/>
  <c r="B227" i="15"/>
  <c r="B228" i="15"/>
  <c r="B229" i="15"/>
  <c r="B230" i="15"/>
  <c r="B231" i="15"/>
  <c r="B232" i="15"/>
  <c r="B233" i="15"/>
  <c r="B234" i="15"/>
  <c r="B235" i="15"/>
  <c r="B236" i="15"/>
  <c r="B237" i="15"/>
  <c r="B238" i="15"/>
  <c r="B239" i="15"/>
  <c r="B252" i="15"/>
  <c r="B253" i="15"/>
  <c r="B257" i="15"/>
  <c r="B258" i="15"/>
  <c r="B260" i="15"/>
  <c r="D995" i="17"/>
  <c r="D996" i="17"/>
  <c r="D997" i="17"/>
  <c r="D998" i="17"/>
  <c r="D999" i="17"/>
  <c r="D1000" i="17"/>
  <c r="D1001" i="17"/>
  <c r="D1002" i="17"/>
  <c r="D1003" i="17"/>
  <c r="D1006" i="17"/>
  <c r="D1008" i="17"/>
  <c r="C1023" i="17"/>
  <c r="C1024" i="17" s="1"/>
  <c r="C1025" i="17" s="1"/>
  <c r="C1026" i="17" s="1"/>
  <c r="D1028" i="17"/>
  <c r="D1030" i="17" s="1"/>
  <c r="D1037" i="17"/>
  <c r="D1038" i="17"/>
  <c r="D1039" i="17"/>
  <c r="D1040" i="17"/>
  <c r="D1042" i="17"/>
  <c r="D1043" i="17"/>
  <c r="D1044" i="17"/>
  <c r="D1045" i="17"/>
  <c r="D1046" i="17"/>
  <c r="C1066" i="17"/>
  <c r="C1067" i="17" s="1"/>
  <c r="C1068" i="17" s="1"/>
  <c r="C1069" i="17" s="1"/>
  <c r="D1071" i="17"/>
  <c r="D1073" i="17" s="1"/>
  <c r="D1080" i="17"/>
  <c r="D1081" i="17"/>
  <c r="D1082" i="17"/>
  <c r="D1083" i="17"/>
  <c r="D1085" i="17"/>
  <c r="D1086" i="17"/>
  <c r="D1087" i="17"/>
  <c r="D1088" i="17"/>
  <c r="D1089" i="17"/>
  <c r="D1092" i="17"/>
  <c r="D1102" i="17" s="1"/>
  <c r="D1103" i="17" s="1"/>
  <c r="D1094" i="17"/>
  <c r="C1109" i="17"/>
  <c r="C1110" i="17" s="1"/>
  <c r="C1111" i="17" s="1"/>
  <c r="C1112" i="17" s="1"/>
  <c r="D1113" i="17"/>
  <c r="D1114" i="17" s="1"/>
  <c r="D1123" i="17"/>
  <c r="D1124" i="17"/>
  <c r="D1125" i="17"/>
  <c r="D1126" i="17"/>
  <c r="D1128" i="17"/>
  <c r="D1129" i="17"/>
  <c r="D1130" i="17"/>
  <c r="D1131" i="17"/>
  <c r="D1132" i="17"/>
  <c r="D1135" i="17"/>
  <c r="D1137" i="17"/>
  <c r="C1152" i="17"/>
  <c r="C1153" i="17" s="1"/>
  <c r="C1154" i="17" s="1"/>
  <c r="C1155" i="17" s="1"/>
  <c r="D1156" i="17"/>
  <c r="D1157" i="17" s="1"/>
  <c r="D1167" i="17"/>
  <c r="D1168" i="17"/>
  <c r="D1169" i="17"/>
  <c r="D1170" i="17"/>
  <c r="D1172" i="17"/>
  <c r="D1173" i="17"/>
  <c r="D1174" i="17"/>
  <c r="D1178" i="17"/>
  <c r="D1188" i="17" s="1"/>
  <c r="D1189" i="17" s="1"/>
  <c r="D1180" i="17"/>
  <c r="C1195" i="17"/>
  <c r="C1196" i="17" s="1"/>
  <c r="C1197" i="17" s="1"/>
  <c r="C1198" i="17" s="1"/>
  <c r="D1199" i="17"/>
  <c r="D248" i="15" l="1"/>
  <c r="D194" i="15"/>
  <c r="E248" i="15"/>
  <c r="E194" i="15"/>
  <c r="F248" i="15"/>
  <c r="F194" i="15"/>
  <c r="G248" i="15"/>
  <c r="G194" i="15"/>
  <c r="I248" i="15"/>
  <c r="I194" i="15"/>
  <c r="J248" i="15"/>
  <c r="J194" i="15"/>
  <c r="Z248" i="15"/>
  <c r="Z194" i="15"/>
  <c r="AA248" i="15"/>
  <c r="AA194" i="15"/>
  <c r="AB248" i="15"/>
  <c r="AB194" i="15"/>
  <c r="J1034" i="17"/>
  <c r="AC194" i="15"/>
  <c r="R109" i="15"/>
  <c r="AW109" i="15"/>
  <c r="D124" i="17" s="1"/>
  <c r="S76" i="15"/>
  <c r="T76" i="15" s="1"/>
  <c r="T171" i="15" s="1"/>
  <c r="AW162" i="15"/>
  <c r="AW90" i="15"/>
  <c r="AW46" i="15"/>
  <c r="AW228" i="15"/>
  <c r="AW69" i="15"/>
  <c r="AX91" i="15" s="1"/>
  <c r="AX139" i="15" s="1"/>
  <c r="AX202" i="15" s="1"/>
  <c r="T73" i="15"/>
  <c r="AF233" i="15"/>
  <c r="AD248" i="15"/>
  <c r="D1051" i="17"/>
  <c r="E1051" i="17" s="1"/>
  <c r="AC248" i="15"/>
  <c r="U193" i="15"/>
  <c r="H248" i="15"/>
  <c r="AD84" i="15"/>
  <c r="AD134" i="15" s="1"/>
  <c r="AD197" i="15" s="1"/>
  <c r="Z84" i="15"/>
  <c r="Z134" i="15" s="1"/>
  <c r="Z197" i="15" s="1"/>
  <c r="Y150" i="15"/>
  <c r="AB84" i="15"/>
  <c r="AB134" i="15" s="1"/>
  <c r="AB197" i="15" s="1"/>
  <c r="U35" i="15"/>
  <c r="AB50" i="15"/>
  <c r="AB52" i="15" s="1"/>
  <c r="AB54" i="15" s="1"/>
  <c r="E197" i="15"/>
  <c r="Z165" i="15"/>
  <c r="V109" i="15"/>
  <c r="V113" i="15" s="1"/>
  <c r="V177" i="15" s="1"/>
  <c r="W73" i="15"/>
  <c r="X73" i="15" s="1"/>
  <c r="X168" i="15" s="1"/>
  <c r="V46" i="15"/>
  <c r="T229" i="15"/>
  <c r="S109" i="15"/>
  <c r="S113" i="15" s="1"/>
  <c r="AO109" i="15"/>
  <c r="T64" i="15"/>
  <c r="T159" i="15" s="1"/>
  <c r="T51" i="15"/>
  <c r="T47" i="15" s="1"/>
  <c r="T71" i="15"/>
  <c r="U71" i="15" s="1"/>
  <c r="U232" i="15" s="1"/>
  <c r="S160" i="15"/>
  <c r="Z168" i="15"/>
  <c r="AA225" i="15"/>
  <c r="J162" i="15"/>
  <c r="J90" i="15"/>
  <c r="J138" i="15" s="1"/>
  <c r="H225" i="15"/>
  <c r="V237" i="15"/>
  <c r="AD216" i="15"/>
  <c r="AH217" i="15" s="1"/>
  <c r="AD229" i="15"/>
  <c r="H235" i="15"/>
  <c r="E23" i="15"/>
  <c r="E25" i="15" s="1"/>
  <c r="E27" i="15" s="1"/>
  <c r="H90" i="15"/>
  <c r="H138" i="15" s="1"/>
  <c r="H201" i="15" s="1"/>
  <c r="AA234" i="15"/>
  <c r="H162" i="15"/>
  <c r="AD234" i="15"/>
  <c r="AD165" i="15"/>
  <c r="F90" i="15"/>
  <c r="F138" i="15" s="1"/>
  <c r="F201" i="15" s="1"/>
  <c r="J1121" i="17"/>
  <c r="F162" i="15"/>
  <c r="G162" i="15"/>
  <c r="D232" i="15"/>
  <c r="Z203" i="15"/>
  <c r="G114" i="15"/>
  <c r="G119" i="15" s="1"/>
  <c r="V228" i="15"/>
  <c r="V162" i="15"/>
  <c r="G113" i="15"/>
  <c r="G142" i="15" s="1"/>
  <c r="G205" i="15" s="1"/>
  <c r="Y37" i="15"/>
  <c r="V229" i="15"/>
  <c r="AC219" i="15"/>
  <c r="AG220" i="15" s="1"/>
  <c r="Z41" i="15"/>
  <c r="V232" i="15"/>
  <c r="H100" i="15"/>
  <c r="AJ77" i="15"/>
  <c r="V235" i="15"/>
  <c r="AD233" i="15"/>
  <c r="G243" i="15"/>
  <c r="V13" i="18"/>
  <c r="R12" i="18"/>
  <c r="D235" i="15"/>
  <c r="H234" i="15"/>
  <c r="D225" i="15"/>
  <c r="V84" i="15"/>
  <c r="V100" i="15" s="1"/>
  <c r="Y231" i="15"/>
  <c r="T231" i="15"/>
  <c r="T219" i="15"/>
  <c r="D237" i="15"/>
  <c r="D233" i="15"/>
  <c r="H232" i="15"/>
  <c r="D231" i="15"/>
  <c r="H228" i="15"/>
  <c r="T216" i="15"/>
  <c r="U219" i="15"/>
  <c r="H134" i="15"/>
  <c r="H197" i="15" s="1"/>
  <c r="V87" i="15"/>
  <c r="U84" i="15"/>
  <c r="U134" i="15" s="1"/>
  <c r="U150" i="15"/>
  <c r="U87" i="15"/>
  <c r="U135" i="15" s="1"/>
  <c r="U182" i="15" s="1"/>
  <c r="U250" i="15" s="1"/>
  <c r="T233" i="15"/>
  <c r="U39" i="15"/>
  <c r="U153" i="15"/>
  <c r="X84" i="15"/>
  <c r="X134" i="15" s="1"/>
  <c r="X197" i="15" s="1"/>
  <c r="U37" i="15"/>
  <c r="F223" i="15"/>
  <c r="T167" i="15"/>
  <c r="F129" i="15"/>
  <c r="F188" i="15" s="1"/>
  <c r="AJ88" i="15"/>
  <c r="AI88" i="15"/>
  <c r="AG73" i="15"/>
  <c r="D234" i="15"/>
  <c r="AG70" i="15"/>
  <c r="K66" i="15"/>
  <c r="K158" i="15"/>
  <c r="W40" i="15"/>
  <c r="E201" i="15"/>
  <c r="W23" i="15"/>
  <c r="W25" i="15" s="1"/>
  <c r="W27" i="15" s="1"/>
  <c r="AE56" i="15"/>
  <c r="AI53" i="15"/>
  <c r="AF47" i="15"/>
  <c r="AG167" i="15"/>
  <c r="AG233" i="15"/>
  <c r="W160" i="15"/>
  <c r="H237" i="15"/>
  <c r="AG68" i="15"/>
  <c r="V151" i="15"/>
  <c r="AG169" i="15"/>
  <c r="AG235" i="15"/>
  <c r="AG88" i="15"/>
  <c r="AH88" i="15"/>
  <c r="AG160" i="15"/>
  <c r="AG226" i="15"/>
  <c r="AJ258" i="15" s="1"/>
  <c r="S243" i="15"/>
  <c r="AC153" i="15"/>
  <c r="AG154" i="15" s="1"/>
  <c r="AG58" i="15"/>
  <c r="AG67" i="15"/>
  <c r="D228" i="15"/>
  <c r="AF52" i="15"/>
  <c r="AD219" i="15"/>
  <c r="AH220" i="15" s="1"/>
  <c r="X154" i="15"/>
  <c r="AI238" i="15"/>
  <c r="AI172" i="15"/>
  <c r="AI78" i="15"/>
  <c r="AG232" i="15"/>
  <c r="AG166" i="15"/>
  <c r="AD232" i="15"/>
  <c r="AG76" i="15"/>
  <c r="F234" i="15"/>
  <c r="AB41" i="15"/>
  <c r="AG159" i="15"/>
  <c r="AG225" i="15"/>
  <c r="AG66" i="15"/>
  <c r="V21" i="18"/>
  <c r="D141" i="15"/>
  <c r="D204" i="15" s="1"/>
  <c r="D246" i="15"/>
  <c r="AD162" i="15"/>
  <c r="G17" i="15"/>
  <c r="G23" i="15" s="1"/>
  <c r="W11" i="15"/>
  <c r="AD237" i="15"/>
  <c r="S235" i="15"/>
  <c r="G233" i="15"/>
  <c r="F232" i="15"/>
  <c r="V168" i="15"/>
  <c r="AA163" i="15"/>
  <c r="D100" i="15"/>
  <c r="AC62" i="15"/>
  <c r="AC157" i="15" s="1"/>
  <c r="V234" i="15"/>
  <c r="Y165" i="15"/>
  <c r="V154" i="15"/>
  <c r="R168" i="15"/>
  <c r="Y235" i="15"/>
  <c r="R243" i="15"/>
  <c r="F168" i="15"/>
  <c r="AC87" i="15"/>
  <c r="W243" i="15"/>
  <c r="W225" i="15"/>
  <c r="T223" i="15"/>
  <c r="V223" i="15"/>
  <c r="W41" i="15"/>
  <c r="Y38" i="15"/>
  <c r="AD171" i="15"/>
  <c r="AA166" i="15"/>
  <c r="F235" i="15"/>
  <c r="AD154" i="15"/>
  <c r="AD231" i="15"/>
  <c r="F226" i="15"/>
  <c r="AD168" i="15"/>
  <c r="I162" i="15"/>
  <c r="W159" i="15"/>
  <c r="AA232" i="15"/>
  <c r="D229" i="15"/>
  <c r="AD243" i="15"/>
  <c r="Y169" i="15"/>
  <c r="G234" i="15"/>
  <c r="AB40" i="15"/>
  <c r="U38" i="15"/>
  <c r="J991" i="17"/>
  <c r="E1025" i="17" s="1"/>
  <c r="Z237" i="15"/>
  <c r="AC235" i="15"/>
  <c r="R235" i="15"/>
  <c r="Z234" i="15"/>
  <c r="E234" i="15"/>
  <c r="R232" i="15"/>
  <c r="W229" i="15"/>
  <c r="AA223" i="15"/>
  <c r="AA154" i="15"/>
  <c r="E203" i="15"/>
  <c r="X11" i="15"/>
  <c r="W52" i="15"/>
  <c r="W56" i="15" s="1"/>
  <c r="R40" i="18"/>
  <c r="AF232" i="15"/>
  <c r="AF235" i="15"/>
  <c r="AF226" i="15"/>
  <c r="J1035" i="17"/>
  <c r="Z235" i="15"/>
  <c r="W169" i="15"/>
  <c r="AF224" i="15"/>
  <c r="H231" i="15"/>
  <c r="H223" i="15"/>
  <c r="H243" i="15"/>
  <c r="G237" i="15"/>
  <c r="W235" i="15"/>
  <c r="E235" i="15"/>
  <c r="E232" i="15"/>
  <c r="G231" i="15"/>
  <c r="H229" i="15"/>
  <c r="Z151" i="15"/>
  <c r="V31" i="18"/>
  <c r="G100" i="15"/>
  <c r="S234" i="15"/>
  <c r="U233" i="15"/>
  <c r="Z232" i="15"/>
  <c r="Z226" i="15"/>
  <c r="Z30" i="18"/>
  <c r="AF219" i="15"/>
  <c r="AF223" i="15"/>
  <c r="AF216" i="15"/>
  <c r="W100" i="15"/>
  <c r="Y36" i="15"/>
  <c r="R29" i="18"/>
  <c r="V11" i="18"/>
  <c r="U235" i="15"/>
  <c r="W232" i="15"/>
  <c r="S226" i="15"/>
  <c r="H233" i="15"/>
  <c r="Z228" i="15"/>
  <c r="AA203" i="15"/>
  <c r="D243" i="15"/>
  <c r="AA228" i="15"/>
  <c r="AA151" i="15"/>
  <c r="W151" i="15"/>
  <c r="I90" i="15"/>
  <c r="I138" i="15" s="1"/>
  <c r="J129" i="15"/>
  <c r="J188" i="15" s="1"/>
  <c r="AF225" i="15"/>
  <c r="E93" i="15"/>
  <c r="E121" i="15" s="1"/>
  <c r="E213" i="15" s="1"/>
  <c r="E133" i="15" s="1"/>
  <c r="E147" i="15"/>
  <c r="G93" i="15"/>
  <c r="G121" i="15" s="1"/>
  <c r="G213" i="15" s="1"/>
  <c r="G133" i="15" s="1"/>
  <c r="G147" i="15"/>
  <c r="AA235" i="15"/>
  <c r="D223" i="15"/>
  <c r="AA169" i="15"/>
  <c r="W87" i="15"/>
  <c r="W135" i="15" s="1"/>
  <c r="W182" i="15" s="1"/>
  <c r="W250" i="15" s="1"/>
  <c r="T224" i="15"/>
  <c r="J17" i="15"/>
  <c r="J23" i="15" s="1"/>
  <c r="J43" i="15" s="1"/>
  <c r="AE54" i="15"/>
  <c r="W203" i="15"/>
  <c r="W154" i="15"/>
  <c r="S166" i="15"/>
  <c r="F17" i="15"/>
  <c r="F23" i="15" s="1"/>
  <c r="F43" i="15" s="1"/>
  <c r="Y8" i="15"/>
  <c r="R11" i="18"/>
  <c r="AB158" i="15"/>
  <c r="T11" i="15"/>
  <c r="AD151" i="15"/>
  <c r="F155" i="15"/>
  <c r="Z21" i="18"/>
  <c r="R155" i="15"/>
  <c r="I155" i="15"/>
  <c r="S47" i="15"/>
  <c r="AB109" i="15"/>
  <c r="AB113" i="15" s="1"/>
  <c r="Z109" i="15"/>
  <c r="Z42" i="15" s="1"/>
  <c r="H151" i="15"/>
  <c r="S158" i="15"/>
  <c r="AA224" i="15"/>
  <c r="H224" i="15"/>
  <c r="D224" i="15"/>
  <c r="AB11" i="15"/>
  <c r="U10" i="15"/>
  <c r="U11" i="15" s="1"/>
  <c r="D1158" i="17"/>
  <c r="D1159" i="17" s="1"/>
  <c r="W219" i="15"/>
  <c r="T234" i="15"/>
  <c r="Y65" i="15"/>
  <c r="Z88" i="15" s="1"/>
  <c r="Z137" i="15" s="1"/>
  <c r="Z200" i="15" s="1"/>
  <c r="X160" i="15"/>
  <c r="Y64" i="15"/>
  <c r="X159" i="15"/>
  <c r="AA229" i="15"/>
  <c r="R228" i="15"/>
  <c r="E226" i="15"/>
  <c r="H203" i="15"/>
  <c r="W155" i="15"/>
  <c r="S155" i="15"/>
  <c r="G134" i="15"/>
  <c r="G197" i="15" s="1"/>
  <c r="D129" i="15"/>
  <c r="X158" i="15"/>
  <c r="Z229" i="15"/>
  <c r="R229" i="15"/>
  <c r="I154" i="15"/>
  <c r="E155" i="15"/>
  <c r="F135" i="15"/>
  <c r="F198" i="15" s="1"/>
  <c r="R158" i="15"/>
  <c r="AC99" i="15"/>
  <c r="AA109" i="15"/>
  <c r="AA113" i="15" s="1"/>
  <c r="Z217" i="15"/>
  <c r="U99" i="15"/>
  <c r="AA47" i="15"/>
  <c r="AE246" i="15"/>
  <c r="T114" i="15"/>
  <c r="T119" i="15" s="1"/>
  <c r="T113" i="15"/>
  <c r="T131" i="15" s="1"/>
  <c r="AB228" i="15"/>
  <c r="AB162" i="15"/>
  <c r="U231" i="15"/>
  <c r="U229" i="15"/>
  <c r="E229" i="15"/>
  <c r="AD225" i="15"/>
  <c r="AB154" i="15"/>
  <c r="AF154" i="15"/>
  <c r="T155" i="15"/>
  <c r="I100" i="15"/>
  <c r="X72" i="15"/>
  <c r="Y232" i="15"/>
  <c r="AF87" i="15"/>
  <c r="AD46" i="15"/>
  <c r="AF42" i="15"/>
  <c r="S17" i="15"/>
  <c r="V38" i="18"/>
  <c r="Z22" i="18"/>
  <c r="AF227" i="15"/>
  <c r="AF69" i="15"/>
  <c r="AF161" i="15"/>
  <c r="J203" i="15"/>
  <c r="F203" i="15"/>
  <c r="F200" i="15"/>
  <c r="AF165" i="15"/>
  <c r="AF231" i="15"/>
  <c r="AF162" i="15"/>
  <c r="AF46" i="15"/>
  <c r="AF228" i="15"/>
  <c r="D1201" i="17"/>
  <c r="E228" i="15"/>
  <c r="E223" i="15"/>
  <c r="J243" i="15"/>
  <c r="F243" i="15"/>
  <c r="AA155" i="15"/>
  <c r="Z154" i="15"/>
  <c r="J154" i="15"/>
  <c r="I151" i="15"/>
  <c r="D135" i="15"/>
  <c r="D198" i="15" s="1"/>
  <c r="J100" i="15"/>
  <c r="W67" i="15"/>
  <c r="W228" i="15" s="1"/>
  <c r="G46" i="15"/>
  <c r="Y39" i="15"/>
  <c r="Y35" i="15"/>
  <c r="Z13" i="18"/>
  <c r="AE162" i="15"/>
  <c r="AF163" i="15"/>
  <c r="AF229" i="15"/>
  <c r="E200" i="15"/>
  <c r="J136" i="15"/>
  <c r="AF237" i="15"/>
  <c r="AF171" i="15"/>
  <c r="AF168" i="15"/>
  <c r="AF234" i="15"/>
  <c r="Y99" i="15"/>
  <c r="AF41" i="15"/>
  <c r="AF84" i="15"/>
  <c r="AE46" i="15"/>
  <c r="V243" i="15"/>
  <c r="AE41" i="15"/>
  <c r="AD41" i="15"/>
  <c r="F93" i="15"/>
  <c r="F121" i="15" s="1"/>
  <c r="F213" i="15" s="1"/>
  <c r="F133" i="15" s="1"/>
  <c r="AE42" i="15"/>
  <c r="Z243" i="15"/>
  <c r="S223" i="15"/>
  <c r="S231" i="15"/>
  <c r="S233" i="15"/>
  <c r="AB216" i="15"/>
  <c r="AB232" i="15"/>
  <c r="AB235" i="15"/>
  <c r="X225" i="15"/>
  <c r="X235" i="15"/>
  <c r="X223" i="15"/>
  <c r="X226" i="15"/>
  <c r="G223" i="15"/>
  <c r="G226" i="15"/>
  <c r="G232" i="15"/>
  <c r="G235" i="15"/>
  <c r="G228" i="15"/>
  <c r="D119" i="15"/>
  <c r="D178" i="15"/>
  <c r="D124" i="15"/>
  <c r="Y135" i="15"/>
  <c r="Y198" i="15" s="1"/>
  <c r="Y58" i="15"/>
  <c r="Y59" i="15"/>
  <c r="AB87" i="15"/>
  <c r="Z87" i="15"/>
  <c r="Z135" i="15" s="1"/>
  <c r="AA87" i="15"/>
  <c r="Y219" i="15"/>
  <c r="Y62" i="15"/>
  <c r="Y157" i="15" s="1"/>
  <c r="W47" i="15"/>
  <c r="X51" i="15"/>
  <c r="X47" i="15" s="1"/>
  <c r="D46" i="15"/>
  <c r="D162" i="15"/>
  <c r="F113" i="15"/>
  <c r="F114" i="15"/>
  <c r="F42" i="15"/>
  <c r="AC41" i="15"/>
  <c r="AC175" i="15"/>
  <c r="AC243" i="15" s="1"/>
  <c r="AC140" i="15"/>
  <c r="AC203" i="15" s="1"/>
  <c r="D1049" i="17"/>
  <c r="X23" i="15"/>
  <c r="X43" i="15" s="1"/>
  <c r="X40" i="15"/>
  <c r="X50" i="15"/>
  <c r="D1115" i="17"/>
  <c r="D1116" i="17" s="1"/>
  <c r="J992" i="17"/>
  <c r="E1010" i="17" s="1"/>
  <c r="S232" i="15"/>
  <c r="AB231" i="15"/>
  <c r="S229" i="15"/>
  <c r="G225" i="15"/>
  <c r="X219" i="15"/>
  <c r="S219" i="15"/>
  <c r="S221" i="15" s="1"/>
  <c r="X216" i="15"/>
  <c r="G216" i="15"/>
  <c r="G221" i="15" s="1"/>
  <c r="AA243" i="15"/>
  <c r="J1120" i="17"/>
  <c r="E1131" i="17" s="1"/>
  <c r="R216" i="15"/>
  <c r="V217" i="15" s="1"/>
  <c r="R219" i="15"/>
  <c r="R223" i="15"/>
  <c r="R225" i="15"/>
  <c r="R231" i="15"/>
  <c r="R233" i="15"/>
  <c r="R234" i="15"/>
  <c r="AA226" i="15"/>
  <c r="AA216" i="15"/>
  <c r="AA219" i="15"/>
  <c r="AA231" i="15"/>
  <c r="AA233" i="15"/>
  <c r="J1078" i="17"/>
  <c r="W216" i="15"/>
  <c r="W217" i="15" s="1"/>
  <c r="W226" i="15"/>
  <c r="W223" i="15"/>
  <c r="W233" i="15"/>
  <c r="F228" i="15"/>
  <c r="F229" i="15"/>
  <c r="F216" i="15"/>
  <c r="F219" i="15"/>
  <c r="F225" i="15"/>
  <c r="F231" i="15"/>
  <c r="F233" i="15"/>
  <c r="F237" i="15"/>
  <c r="I243" i="15"/>
  <c r="E243" i="15"/>
  <c r="Y153" i="15"/>
  <c r="V203" i="15"/>
  <c r="D203" i="15"/>
  <c r="G201" i="15"/>
  <c r="D90" i="15"/>
  <c r="W76" i="15"/>
  <c r="V171" i="15"/>
  <c r="D147" i="15"/>
  <c r="D93" i="15"/>
  <c r="D121" i="15" s="1"/>
  <c r="D213" i="15" s="1"/>
  <c r="D133" i="15" s="1"/>
  <c r="R46" i="15"/>
  <c r="S67" i="15"/>
  <c r="R162" i="15"/>
  <c r="E100" i="15"/>
  <c r="I11" i="15"/>
  <c r="I17" i="15"/>
  <c r="E50" i="15"/>
  <c r="E52" i="15" s="1"/>
  <c r="E85" i="15"/>
  <c r="AE84" i="15"/>
  <c r="AC84" i="15"/>
  <c r="AC134" i="15" s="1"/>
  <c r="AC216" i="15"/>
  <c r="Z31" i="18"/>
  <c r="Z20" i="18"/>
  <c r="S237" i="15"/>
  <c r="W231" i="15"/>
  <c r="S225" i="15"/>
  <c r="AE192" i="15"/>
  <c r="K192" i="15" s="1"/>
  <c r="Z219" i="15"/>
  <c r="Z223" i="15"/>
  <c r="Z225" i="15"/>
  <c r="Y197" i="15"/>
  <c r="V219" i="15"/>
  <c r="V225" i="15"/>
  <c r="R171" i="15"/>
  <c r="X166" i="15"/>
  <c r="S159" i="15"/>
  <c r="H129" i="15"/>
  <c r="H135" i="15"/>
  <c r="U73" i="15"/>
  <c r="T168" i="15"/>
  <c r="AE165" i="15"/>
  <c r="AE87" i="15"/>
  <c r="AE124" i="15" s="1"/>
  <c r="AE185" i="15" s="1"/>
  <c r="AC58" i="15"/>
  <c r="AC59" i="15"/>
  <c r="W109" i="15"/>
  <c r="V41" i="15"/>
  <c r="X41" i="15"/>
  <c r="R21" i="18"/>
  <c r="AE141" i="15"/>
  <c r="AE204" i="15" s="1"/>
  <c r="R237" i="15"/>
  <c r="E237" i="15"/>
  <c r="Z233" i="15"/>
  <c r="V233" i="15"/>
  <c r="E233" i="15"/>
  <c r="X232" i="15"/>
  <c r="Z231" i="15"/>
  <c r="V231" i="15"/>
  <c r="E231" i="15"/>
  <c r="AB229" i="15"/>
  <c r="AD228" i="15"/>
  <c r="AD226" i="15"/>
  <c r="V226" i="15"/>
  <c r="E225" i="15"/>
  <c r="AD223" i="15"/>
  <c r="E219" i="15"/>
  <c r="E216" i="15"/>
  <c r="W166" i="15"/>
  <c r="W165" i="15"/>
  <c r="H165" i="15"/>
  <c r="AC150" i="15"/>
  <c r="G151" i="15"/>
  <c r="I203" i="15"/>
  <c r="G182" i="15"/>
  <c r="G250" i="15" s="1"/>
  <c r="F197" i="15"/>
  <c r="AA76" i="15"/>
  <c r="AA237" i="15" s="1"/>
  <c r="Z171" i="15"/>
  <c r="AC169" i="15"/>
  <c r="X68" i="15"/>
  <c r="W163" i="15"/>
  <c r="AA46" i="15"/>
  <c r="AA162" i="15"/>
  <c r="G128" i="15"/>
  <c r="D42" i="15"/>
  <c r="D113" i="15"/>
  <c r="AC39" i="15"/>
  <c r="AC38" i="15"/>
  <c r="AC37" i="15"/>
  <c r="AC36" i="15"/>
  <c r="AA11" i="15"/>
  <c r="AA17" i="15"/>
  <c r="AC8" i="15"/>
  <c r="Y10" i="15"/>
  <c r="AA84" i="15"/>
  <c r="R38" i="18"/>
  <c r="Z39" i="18"/>
  <c r="Z12" i="18"/>
  <c r="AE119" i="15"/>
  <c r="H154" i="15"/>
  <c r="D155" i="15"/>
  <c r="F100" i="15"/>
  <c r="U59" i="15"/>
  <c r="X87" i="15"/>
  <c r="X109" i="15"/>
  <c r="Z38" i="18"/>
  <c r="V20" i="18"/>
  <c r="R20" i="18"/>
  <c r="AE171" i="15"/>
  <c r="AE168" i="15"/>
  <c r="Z40" i="18"/>
  <c r="Z29" i="18"/>
  <c r="V29" i="18"/>
  <c r="E961" i="17"/>
  <c r="E962" i="17" s="1"/>
  <c r="D962" i="17"/>
  <c r="D1016" i="17"/>
  <c r="D1017" i="17" s="1"/>
  <c r="D1145" i="17"/>
  <c r="D1146" i="17" s="1"/>
  <c r="E973" i="17"/>
  <c r="E974" i="17" s="1"/>
  <c r="Z11" i="18"/>
  <c r="AE142" i="15"/>
  <c r="AE205" i="15" s="1"/>
  <c r="AE177" i="15"/>
  <c r="AE245" i="15"/>
  <c r="AE260" i="15" s="1"/>
  <c r="AE131" i="15"/>
  <c r="AE44" i="15"/>
  <c r="AE25" i="15"/>
  <c r="AE27" i="15" s="1"/>
  <c r="AE43" i="15"/>
  <c r="X243" i="15"/>
  <c r="T243" i="15"/>
  <c r="D1200" i="17"/>
  <c r="J998" i="17"/>
  <c r="AB203" i="15"/>
  <c r="AB243" i="15"/>
  <c r="J1077" i="17"/>
  <c r="J1164" i="17"/>
  <c r="E1199" i="17" s="1"/>
  <c r="AD203" i="15"/>
  <c r="G198" i="15"/>
  <c r="I192" i="15"/>
  <c r="Y216" i="15"/>
  <c r="H200" i="15"/>
  <c r="H216" i="15"/>
  <c r="H219" i="15"/>
  <c r="D200" i="15"/>
  <c r="D216" i="15"/>
  <c r="D219" i="15"/>
  <c r="D197" i="15"/>
  <c r="AB151" i="15"/>
  <c r="AB155" i="15"/>
  <c r="X151" i="15"/>
  <c r="X155" i="15"/>
  <c r="J155" i="15"/>
  <c r="J151" i="15"/>
  <c r="X203" i="15"/>
  <c r="E42" i="15"/>
  <c r="E113" i="15"/>
  <c r="E114" i="15"/>
  <c r="Y41" i="15"/>
  <c r="Y140" i="15"/>
  <c r="Y203" i="15" s="1"/>
  <c r="Y175" i="15"/>
  <c r="Y243" i="15" s="1"/>
  <c r="H11" i="15"/>
  <c r="H17" i="15"/>
  <c r="J192" i="15"/>
  <c r="AB223" i="15"/>
  <c r="D11" i="15"/>
  <c r="D17" i="15"/>
  <c r="V40" i="18"/>
  <c r="V39" i="18"/>
  <c r="R31" i="18"/>
  <c r="R30" i="18"/>
  <c r="G203" i="15"/>
  <c r="W197" i="15"/>
  <c r="U216" i="15"/>
  <c r="U223" i="15"/>
  <c r="G154" i="15"/>
  <c r="G155" i="15"/>
  <c r="H171" i="15"/>
  <c r="AC71" i="15"/>
  <c r="AB166" i="15"/>
  <c r="AD155" i="15"/>
  <c r="Z155" i="15"/>
  <c r="V155" i="15"/>
  <c r="H155" i="15"/>
  <c r="I129" i="15"/>
  <c r="I135" i="15"/>
  <c r="E129" i="15"/>
  <c r="E135" i="15"/>
  <c r="E128" i="15"/>
  <c r="G137" i="15"/>
  <c r="G200" i="15" s="1"/>
  <c r="G129" i="15"/>
  <c r="AD135" i="15"/>
  <c r="AB65" i="15"/>
  <c r="AC70" i="15"/>
  <c r="T23" i="15"/>
  <c r="T40" i="15"/>
  <c r="T50" i="15"/>
  <c r="U36" i="15"/>
  <c r="AC68" i="15"/>
  <c r="AB73" i="15"/>
  <c r="AB72" i="15"/>
  <c r="T65" i="15"/>
  <c r="AB64" i="15"/>
  <c r="AB47" i="15"/>
  <c r="AC51" i="15"/>
  <c r="AC107" i="15"/>
  <c r="AC109" i="15" s="1"/>
  <c r="J109" i="15"/>
  <c r="H109" i="15"/>
  <c r="U107" i="15"/>
  <c r="U109" i="15" s="1"/>
  <c r="Z11" i="15"/>
  <c r="Z17" i="15"/>
  <c r="V11" i="15"/>
  <c r="V17" i="15"/>
  <c r="R11" i="15"/>
  <c r="R17" i="15"/>
  <c r="AC67" i="15"/>
  <c r="AB46" i="15"/>
  <c r="AD11" i="15"/>
  <c r="AD17" i="15"/>
  <c r="AG85" i="15" s="1"/>
  <c r="AD109" i="15"/>
  <c r="Y107" i="15"/>
  <c r="Y109" i="15" s="1"/>
  <c r="I109" i="15"/>
  <c r="AB25" i="15"/>
  <c r="AB27" i="15" s="1"/>
  <c r="AB43" i="15"/>
  <c r="AB44" i="15"/>
  <c r="AC10" i="15"/>
  <c r="AC35" i="15"/>
  <c r="E1066" i="17" l="1"/>
  <c r="E1042" i="17"/>
  <c r="E1043" i="17"/>
  <c r="E1069" i="17"/>
  <c r="E1038" i="17"/>
  <c r="E1045" i="17"/>
  <c r="E1065" i="17"/>
  <c r="E1044" i="17"/>
  <c r="E1040" i="17"/>
  <c r="E1067" i="17"/>
  <c r="E1070" i="17"/>
  <c r="E1068" i="17"/>
  <c r="E1071" i="17" s="1"/>
  <c r="E1046" i="17"/>
  <c r="E1039" i="17"/>
  <c r="E1037" i="17"/>
  <c r="E1041" i="17"/>
  <c r="E1072" i="17"/>
  <c r="R113" i="15"/>
  <c r="R114" i="15"/>
  <c r="J1165" i="17"/>
  <c r="U194" i="15"/>
  <c r="AW257" i="15"/>
  <c r="AX257" i="15"/>
  <c r="U243" i="15"/>
  <c r="S171" i="15"/>
  <c r="E124" i="17"/>
  <c r="E125" i="17" s="1"/>
  <c r="D148" i="17"/>
  <c r="D125" i="17"/>
  <c r="AW138" i="15"/>
  <c r="AW201" i="15" s="1"/>
  <c r="AW128" i="15"/>
  <c r="AW187" i="15" s="1"/>
  <c r="AW171" i="15"/>
  <c r="AW237" i="15"/>
  <c r="AW234" i="15"/>
  <c r="AW168" i="15"/>
  <c r="AW113" i="15"/>
  <c r="AW114" i="15"/>
  <c r="AW42" i="15"/>
  <c r="AW164" i="15"/>
  <c r="AW75" i="15"/>
  <c r="AW230" i="15"/>
  <c r="AW91" i="15"/>
  <c r="AW139" i="15" s="1"/>
  <c r="AW202" i="15" s="1"/>
  <c r="U203" i="15"/>
  <c r="AI258" i="15"/>
  <c r="G257" i="15"/>
  <c r="G258" i="15"/>
  <c r="AD100" i="15"/>
  <c r="D508" i="17"/>
  <c r="E508" i="17" s="1"/>
  <c r="E509" i="17" s="1"/>
  <c r="Z100" i="15"/>
  <c r="V245" i="15"/>
  <c r="Y155" i="15"/>
  <c r="U51" i="15"/>
  <c r="U47" i="15" s="1"/>
  <c r="V131" i="15"/>
  <c r="V190" i="15" s="1"/>
  <c r="V42" i="15"/>
  <c r="Y151" i="15"/>
  <c r="E44" i="15"/>
  <c r="AB100" i="15"/>
  <c r="U198" i="15"/>
  <c r="Y73" i="15"/>
  <c r="Y234" i="15" s="1"/>
  <c r="W234" i="15"/>
  <c r="T52" i="15"/>
  <c r="T54" i="15" s="1"/>
  <c r="S114" i="15"/>
  <c r="S178" i="15" s="1"/>
  <c r="AJ53" i="15"/>
  <c r="AG228" i="15"/>
  <c r="AJ257" i="15" s="1"/>
  <c r="AJ217" i="15"/>
  <c r="J40" i="15"/>
  <c r="W168" i="15"/>
  <c r="X234" i="15"/>
  <c r="V142" i="15"/>
  <c r="V205" i="15" s="1"/>
  <c r="T225" i="15"/>
  <c r="E43" i="15"/>
  <c r="V114" i="15"/>
  <c r="J128" i="15"/>
  <c r="Z114" i="15"/>
  <c r="Z246" i="15" s="1"/>
  <c r="T166" i="15"/>
  <c r="AC158" i="15"/>
  <c r="H128" i="15"/>
  <c r="H187" i="15" s="1"/>
  <c r="G131" i="15"/>
  <c r="G190" i="15" s="1"/>
  <c r="U166" i="15"/>
  <c r="X217" i="15"/>
  <c r="U100" i="15"/>
  <c r="U64" i="15"/>
  <c r="U225" i="15" s="1"/>
  <c r="X66" i="15"/>
  <c r="X227" i="15" s="1"/>
  <c r="G245" i="15"/>
  <c r="V134" i="15"/>
  <c r="V197" i="15" s="1"/>
  <c r="G177" i="15"/>
  <c r="AO47" i="15"/>
  <c r="AO52" i="15"/>
  <c r="U76" i="15"/>
  <c r="U171" i="15" s="1"/>
  <c r="AO228" i="15"/>
  <c r="AO162" i="15"/>
  <c r="AO46" i="15"/>
  <c r="AO90" i="15"/>
  <c r="G246" i="15"/>
  <c r="G253" i="15" s="1"/>
  <c r="AO88" i="15"/>
  <c r="AO226" i="15"/>
  <c r="AO160" i="15"/>
  <c r="AO114" i="15"/>
  <c r="AO113" i="15"/>
  <c r="AO42" i="15"/>
  <c r="AO171" i="15"/>
  <c r="AO237" i="15"/>
  <c r="T237" i="15"/>
  <c r="T232" i="15"/>
  <c r="AO159" i="15"/>
  <c r="AO225" i="15"/>
  <c r="AO66" i="15"/>
  <c r="T245" i="15"/>
  <c r="D1090" i="17"/>
  <c r="D1091" i="17" s="1"/>
  <c r="D1095" i="17" s="1"/>
  <c r="G123" i="15"/>
  <c r="G184" i="15" s="1"/>
  <c r="AO232" i="15"/>
  <c r="AO166" i="15"/>
  <c r="X220" i="15"/>
  <c r="T66" i="15"/>
  <c r="G141" i="15"/>
  <c r="G204" i="15" s="1"/>
  <c r="G206" i="15" s="1"/>
  <c r="U17" i="15"/>
  <c r="V85" i="15" s="1"/>
  <c r="I128" i="15"/>
  <c r="I187" i="15" s="1"/>
  <c r="Z113" i="15"/>
  <c r="Z131" i="15" s="1"/>
  <c r="AD217" i="15"/>
  <c r="T158" i="15"/>
  <c r="T177" i="15"/>
  <c r="G124" i="15"/>
  <c r="G185" i="15" s="1"/>
  <c r="AC223" i="15"/>
  <c r="AG162" i="15"/>
  <c r="T142" i="15"/>
  <c r="T205" i="15" s="1"/>
  <c r="AD221" i="15"/>
  <c r="G178" i="15"/>
  <c r="AH90" i="15"/>
  <c r="AH138" i="15" s="1"/>
  <c r="AH201" i="15" s="1"/>
  <c r="J85" i="15"/>
  <c r="F128" i="15"/>
  <c r="AJ238" i="15"/>
  <c r="S224" i="15"/>
  <c r="S66" i="15"/>
  <c r="S161" i="15" s="1"/>
  <c r="U158" i="15"/>
  <c r="U155" i="15"/>
  <c r="X67" i="15"/>
  <c r="X46" i="15" s="1"/>
  <c r="T221" i="15"/>
  <c r="Y220" i="15"/>
  <c r="AC155" i="15"/>
  <c r="U221" i="15"/>
  <c r="W46" i="15"/>
  <c r="AJ172" i="15"/>
  <c r="AA171" i="15"/>
  <c r="AC217" i="15"/>
  <c r="AK77" i="15"/>
  <c r="W44" i="15"/>
  <c r="V123" i="15"/>
  <c r="V144" i="15" s="1"/>
  <c r="AB76" i="15"/>
  <c r="AC76" i="15" s="1"/>
  <c r="AG90" i="15"/>
  <c r="AG138" i="15" s="1"/>
  <c r="AG201" i="15" s="1"/>
  <c r="W43" i="15"/>
  <c r="V135" i="15"/>
  <c r="V198" i="15" s="1"/>
  <c r="AJ78" i="15"/>
  <c r="AJ239" i="15" s="1"/>
  <c r="E1000" i="17"/>
  <c r="J50" i="15"/>
  <c r="J52" i="15" s="1"/>
  <c r="J86" i="15" s="1"/>
  <c r="AF56" i="15"/>
  <c r="AB56" i="15"/>
  <c r="F50" i="15"/>
  <c r="F52" i="15" s="1"/>
  <c r="F54" i="15" s="1"/>
  <c r="AF53" i="15"/>
  <c r="X100" i="15"/>
  <c r="U136" i="15"/>
  <c r="AF54" i="15"/>
  <c r="V66" i="15"/>
  <c r="D1133" i="17"/>
  <c r="E1133" i="17" s="1"/>
  <c r="AJ137" i="15"/>
  <c r="AJ200" i="15" s="1"/>
  <c r="AJ129" i="15"/>
  <c r="E1024" i="17"/>
  <c r="AI90" i="15"/>
  <c r="AI128" i="15" s="1"/>
  <c r="AJ90" i="15"/>
  <c r="X52" i="15"/>
  <c r="X54" i="15" s="1"/>
  <c r="U197" i="15"/>
  <c r="E1026" i="17"/>
  <c r="E999" i="17"/>
  <c r="E995" i="17"/>
  <c r="W54" i="15"/>
  <c r="AF220" i="15"/>
  <c r="AJ220" i="15"/>
  <c r="AG46" i="15"/>
  <c r="K223" i="15"/>
  <c r="K231" i="15"/>
  <c r="K234" i="15"/>
  <c r="K228" i="15"/>
  <c r="K219" i="15"/>
  <c r="L220" i="15" s="1"/>
  <c r="K233" i="15"/>
  <c r="K232" i="15"/>
  <c r="K225" i="15"/>
  <c r="K229" i="15"/>
  <c r="K237" i="15"/>
  <c r="K200" i="15"/>
  <c r="K198" i="15"/>
  <c r="K197" i="15"/>
  <c r="K216" i="15"/>
  <c r="L217" i="15" s="1"/>
  <c r="K226" i="15"/>
  <c r="K235" i="15"/>
  <c r="K250" i="15"/>
  <c r="K201" i="15"/>
  <c r="K224" i="15"/>
  <c r="AI173" i="15"/>
  <c r="AI239" i="15"/>
  <c r="AG47" i="15"/>
  <c r="AG52" i="15"/>
  <c r="AG163" i="15"/>
  <c r="AG229" i="15"/>
  <c r="K161" i="15"/>
  <c r="K227" i="15"/>
  <c r="K69" i="15"/>
  <c r="AG171" i="15"/>
  <c r="AG237" i="15"/>
  <c r="AI137" i="15"/>
  <c r="AI200" i="15" s="1"/>
  <c r="AI129" i="15"/>
  <c r="AG231" i="15"/>
  <c r="AG165" i="15"/>
  <c r="AH89" i="15"/>
  <c r="AC151" i="15"/>
  <c r="AG151" i="15"/>
  <c r="AG198" i="15"/>
  <c r="AH137" i="15"/>
  <c r="AH200" i="15" s="1"/>
  <c r="AH129" i="15"/>
  <c r="D206" i="15"/>
  <c r="AG137" i="15"/>
  <c r="AG200" i="15" s="1"/>
  <c r="AG129" i="15"/>
  <c r="J906" i="17"/>
  <c r="J821" i="17"/>
  <c r="AH197" i="15"/>
  <c r="AH198" i="15"/>
  <c r="AC221" i="15"/>
  <c r="AG217" i="15"/>
  <c r="AG227" i="15"/>
  <c r="AG161" i="15"/>
  <c r="AG197" i="15"/>
  <c r="AG234" i="15"/>
  <c r="AG168" i="15"/>
  <c r="AG69" i="15"/>
  <c r="H217" i="15"/>
  <c r="E998" i="17"/>
  <c r="E1002" i="17"/>
  <c r="E996" i="17"/>
  <c r="E1006" i="17"/>
  <c r="E1016" i="17" s="1"/>
  <c r="E1017" i="17" s="1"/>
  <c r="E1029" i="17"/>
  <c r="D1202" i="17"/>
  <c r="E1008" i="17"/>
  <c r="G877" i="17"/>
  <c r="G879" i="17"/>
  <c r="G881" i="17"/>
  <c r="E1022" i="17"/>
  <c r="X221" i="15"/>
  <c r="AF217" i="15"/>
  <c r="AA158" i="15"/>
  <c r="G40" i="15"/>
  <c r="G85" i="15"/>
  <c r="G50" i="15"/>
  <c r="G52" i="15" s="1"/>
  <c r="AA66" i="15"/>
  <c r="AA69" i="15" s="1"/>
  <c r="F25" i="15"/>
  <c r="F27" i="15" s="1"/>
  <c r="F32" i="15" s="1"/>
  <c r="E997" i="17"/>
  <c r="F44" i="15"/>
  <c r="F220" i="15"/>
  <c r="E1001" i="17"/>
  <c r="H158" i="15"/>
  <c r="H66" i="15"/>
  <c r="H161" i="15" s="1"/>
  <c r="J25" i="15"/>
  <c r="J27" i="15" s="1"/>
  <c r="J32" i="15" s="1"/>
  <c r="AE234" i="15"/>
  <c r="E1003" i="17"/>
  <c r="E1023" i="17"/>
  <c r="E1027" i="17"/>
  <c r="AC135" i="15"/>
  <c r="AC136" i="15" s="1"/>
  <c r="D1053" i="17"/>
  <c r="AB131" i="15"/>
  <c r="AB142" i="15"/>
  <c r="AB205" i="15" s="1"/>
  <c r="AB177" i="15"/>
  <c r="AB245" i="15"/>
  <c r="AB260" i="15" s="1"/>
  <c r="AA42" i="15"/>
  <c r="AF221" i="15"/>
  <c r="X44" i="15"/>
  <c r="AA88" i="15"/>
  <c r="AA129" i="15" s="1"/>
  <c r="R224" i="15"/>
  <c r="T246" i="15"/>
  <c r="R66" i="15"/>
  <c r="R69" i="15" s="1"/>
  <c r="E1135" i="17"/>
  <c r="E1145" i="17" s="1"/>
  <c r="E1146" i="17" s="1"/>
  <c r="X25" i="15"/>
  <c r="X27" i="15" s="1"/>
  <c r="X32" i="15" s="1"/>
  <c r="W198" i="15"/>
  <c r="W199" i="15" s="1"/>
  <c r="E1151" i="17"/>
  <c r="T178" i="15"/>
  <c r="AB42" i="15"/>
  <c r="X224" i="15"/>
  <c r="E1124" i="17"/>
  <c r="W136" i="15"/>
  <c r="Y160" i="15"/>
  <c r="AB114" i="15"/>
  <c r="AB141" i="15" s="1"/>
  <c r="AB204" i="15" s="1"/>
  <c r="T141" i="15"/>
  <c r="T204" i="15" s="1"/>
  <c r="W162" i="15"/>
  <c r="Y154" i="15"/>
  <c r="G199" i="15"/>
  <c r="F136" i="15"/>
  <c r="AB224" i="15"/>
  <c r="F85" i="15"/>
  <c r="F40" i="15"/>
  <c r="J44" i="15"/>
  <c r="F182" i="15"/>
  <c r="F250" i="15" s="1"/>
  <c r="AB221" i="15"/>
  <c r="G136" i="15"/>
  <c r="D188" i="15"/>
  <c r="AA114" i="15"/>
  <c r="D66" i="15"/>
  <c r="D158" i="15"/>
  <c r="AA131" i="15"/>
  <c r="AA190" i="15" s="1"/>
  <c r="AA123" i="15"/>
  <c r="AA144" i="15" s="1"/>
  <c r="AA177" i="15"/>
  <c r="AA142" i="15"/>
  <c r="AA205" i="15" s="1"/>
  <c r="AA245" i="15"/>
  <c r="AA260" i="15" s="1"/>
  <c r="F221" i="15"/>
  <c r="R221" i="15"/>
  <c r="Y159" i="15"/>
  <c r="Y225" i="15"/>
  <c r="Y226" i="15"/>
  <c r="Y88" i="15"/>
  <c r="AE90" i="15"/>
  <c r="AE138" i="15" s="1"/>
  <c r="AE201" i="15" s="1"/>
  <c r="AE231" i="15"/>
  <c r="AF90" i="15"/>
  <c r="AF138" i="15" s="1"/>
  <c r="AF201" i="15" s="1"/>
  <c r="AF75" i="15"/>
  <c r="AF164" i="15"/>
  <c r="AF230" i="15"/>
  <c r="S23" i="15"/>
  <c r="S40" i="15"/>
  <c r="S50" i="15"/>
  <c r="S52" i="15" s="1"/>
  <c r="D924" i="17"/>
  <c r="AF135" i="15"/>
  <c r="AF198" i="15" s="1"/>
  <c r="AF123" i="15"/>
  <c r="AF124" i="15"/>
  <c r="AC100" i="15"/>
  <c r="D136" i="15"/>
  <c r="D182" i="15"/>
  <c r="D250" i="15" s="1"/>
  <c r="E221" i="15"/>
  <c r="G217" i="15"/>
  <c r="T190" i="15"/>
  <c r="T260" i="15"/>
  <c r="AF134" i="15"/>
  <c r="AF197" i="15" s="1"/>
  <c r="AF100" i="15"/>
  <c r="Y100" i="15"/>
  <c r="Y72" i="15"/>
  <c r="X167" i="15"/>
  <c r="X233" i="15"/>
  <c r="E1152" i="17"/>
  <c r="E1137" i="17"/>
  <c r="E1126" i="17"/>
  <c r="E1123" i="17"/>
  <c r="E1155" i="17"/>
  <c r="AB217" i="15"/>
  <c r="E1129" i="17"/>
  <c r="E1125" i="17"/>
  <c r="E1156" i="17"/>
  <c r="AE228" i="15"/>
  <c r="E1130" i="17"/>
  <c r="E1153" i="17"/>
  <c r="E1128" i="17"/>
  <c r="E1132" i="17"/>
  <c r="AC220" i="15"/>
  <c r="X113" i="15"/>
  <c r="X114" i="15"/>
  <c r="X42" i="15"/>
  <c r="G66" i="15"/>
  <c r="G158" i="15"/>
  <c r="G224" i="15"/>
  <c r="AA23" i="15"/>
  <c r="AA40" i="15"/>
  <c r="AA50" i="15"/>
  <c r="AA52" i="15" s="1"/>
  <c r="G187" i="15"/>
  <c r="H136" i="15"/>
  <c r="H182" i="15"/>
  <c r="H250" i="15" s="1"/>
  <c r="T67" i="15"/>
  <c r="S228" i="15"/>
  <c r="S46" i="15"/>
  <c r="S162" i="15"/>
  <c r="AA221" i="15"/>
  <c r="AA220" i="15"/>
  <c r="E1049" i="17"/>
  <c r="E1059" i="17" s="1"/>
  <c r="E1060" i="17" s="1"/>
  <c r="D1059" i="17"/>
  <c r="D1060" i="17" s="1"/>
  <c r="Z129" i="15"/>
  <c r="Z188" i="15" s="1"/>
  <c r="Y199" i="15"/>
  <c r="D969" i="17"/>
  <c r="D966" i="17"/>
  <c r="D964" i="17"/>
  <c r="X135" i="15"/>
  <c r="D1182" i="17"/>
  <c r="J1171" i="17" s="1"/>
  <c r="AA134" i="15"/>
  <c r="AA100" i="15"/>
  <c r="G44" i="15"/>
  <c r="G25" i="15"/>
  <c r="G27" i="15" s="1"/>
  <c r="G43" i="15"/>
  <c r="H188" i="15"/>
  <c r="AE219" i="15"/>
  <c r="AI220" i="15" s="1"/>
  <c r="AE216" i="15"/>
  <c r="AE229" i="15"/>
  <c r="AE225" i="15"/>
  <c r="AE232" i="15"/>
  <c r="AE226" i="15"/>
  <c r="AH258" i="15" s="1"/>
  <c r="AE223" i="15"/>
  <c r="AE233" i="15"/>
  <c r="AE235" i="15"/>
  <c r="X76" i="15"/>
  <c r="W171" i="15"/>
  <c r="W237" i="15"/>
  <c r="AA217" i="15"/>
  <c r="F141" i="15"/>
  <c r="F204" i="15" s="1"/>
  <c r="F206" i="15" s="1"/>
  <c r="F119" i="15"/>
  <c r="F178" i="15"/>
  <c r="F124" i="15"/>
  <c r="F246" i="15"/>
  <c r="D1096" i="17"/>
  <c r="AB135" i="15"/>
  <c r="D185" i="15"/>
  <c r="D143" i="15"/>
  <c r="F199" i="15"/>
  <c r="AC154" i="15"/>
  <c r="Y51" i="15"/>
  <c r="Y47" i="15" s="1"/>
  <c r="H198" i="15"/>
  <c r="H199" i="15" s="1"/>
  <c r="AE143" i="15"/>
  <c r="E66" i="15"/>
  <c r="E158" i="15"/>
  <c r="E224" i="15"/>
  <c r="AE224" i="15"/>
  <c r="AE66" i="15"/>
  <c r="AE158" i="15"/>
  <c r="Y17" i="15"/>
  <c r="Z85" i="15" s="1"/>
  <c r="Y11" i="15"/>
  <c r="D123" i="15"/>
  <c r="D177" i="15"/>
  <c r="D131" i="15"/>
  <c r="D142" i="15"/>
  <c r="D205" i="15" s="1"/>
  <c r="D207" i="15" s="1"/>
  <c r="D245" i="15"/>
  <c r="D260" i="15" s="1"/>
  <c r="W113" i="15"/>
  <c r="W114" i="15"/>
  <c r="W42" i="15"/>
  <c r="AE135" i="15"/>
  <c r="D967" i="17"/>
  <c r="E54" i="15"/>
  <c r="E56" i="15"/>
  <c r="E86" i="15"/>
  <c r="D138" i="15"/>
  <c r="D201" i="15" s="1"/>
  <c r="D128" i="15"/>
  <c r="F131" i="15"/>
  <c r="F245" i="15"/>
  <c r="F260" i="15" s="1"/>
  <c r="F142" i="15"/>
  <c r="F205" i="15" s="1"/>
  <c r="F207" i="15" s="1"/>
  <c r="F123" i="15"/>
  <c r="F177" i="15"/>
  <c r="AB220" i="15"/>
  <c r="W220" i="15"/>
  <c r="AB123" i="15"/>
  <c r="AB184" i="15" s="1"/>
  <c r="G207" i="15"/>
  <c r="AC197" i="15"/>
  <c r="Y223" i="15"/>
  <c r="E1172" i="17"/>
  <c r="G220" i="15"/>
  <c r="D1176" i="17"/>
  <c r="D1177" i="17" s="1"/>
  <c r="D1181" i="17" s="1"/>
  <c r="AE123" i="15"/>
  <c r="AE184" i="15" s="1"/>
  <c r="I66" i="15"/>
  <c r="I227" i="15" s="1"/>
  <c r="I158" i="15"/>
  <c r="AE237" i="15"/>
  <c r="Y68" i="15"/>
  <c r="X229" i="15"/>
  <c r="X163" i="15"/>
  <c r="U168" i="15"/>
  <c r="U234" i="15"/>
  <c r="V220" i="15"/>
  <c r="V221" i="15"/>
  <c r="Z220" i="15"/>
  <c r="Z221" i="15"/>
  <c r="AD220" i="15"/>
  <c r="AE134" i="15"/>
  <c r="AE197" i="15" s="1"/>
  <c r="AE100" i="15"/>
  <c r="I40" i="15"/>
  <c r="I85" i="15"/>
  <c r="I23" i="15"/>
  <c r="I50" i="15"/>
  <c r="I52" i="15" s="1"/>
  <c r="E1127" i="17"/>
  <c r="E1154" i="17"/>
  <c r="AA135" i="15"/>
  <c r="D1139" i="17"/>
  <c r="Y136" i="15"/>
  <c r="Y182" i="15"/>
  <c r="Y250" i="15" s="1"/>
  <c r="J949" i="17"/>
  <c r="W221" i="15"/>
  <c r="E966" i="17"/>
  <c r="E964" i="17"/>
  <c r="E985" i="17"/>
  <c r="E987" i="17" s="1"/>
  <c r="E1201" i="17"/>
  <c r="AE190" i="15"/>
  <c r="AE32" i="15"/>
  <c r="Z40" i="15"/>
  <c r="Z50" i="15"/>
  <c r="Z52" i="15" s="1"/>
  <c r="Z23" i="15"/>
  <c r="J42" i="15"/>
  <c r="J114" i="15"/>
  <c r="J113" i="15"/>
  <c r="T25" i="15"/>
  <c r="T27" i="15" s="1"/>
  <c r="T32" i="15" s="1"/>
  <c r="T43" i="15"/>
  <c r="T44" i="15"/>
  <c r="AC165" i="15"/>
  <c r="AC231" i="15"/>
  <c r="D40" i="15"/>
  <c r="D50" i="15"/>
  <c r="D52" i="15" s="1"/>
  <c r="D23" i="15"/>
  <c r="D85" i="15"/>
  <c r="H40" i="15"/>
  <c r="H50" i="15"/>
  <c r="H52" i="15" s="1"/>
  <c r="H23" i="15"/>
  <c r="H85" i="15"/>
  <c r="AC42" i="15"/>
  <c r="AC113" i="15"/>
  <c r="AC114" i="15"/>
  <c r="D1047" i="17"/>
  <c r="E187" i="15"/>
  <c r="I136" i="15"/>
  <c r="I182" i="15"/>
  <c r="I250" i="15" s="1"/>
  <c r="I198" i="15"/>
  <c r="AC166" i="15"/>
  <c r="AC232" i="15"/>
  <c r="S131" i="15"/>
  <c r="S245" i="15"/>
  <c r="S177" i="15"/>
  <c r="S142" i="15"/>
  <c r="S205" i="15" s="1"/>
  <c r="E119" i="15"/>
  <c r="E124" i="15"/>
  <c r="E178" i="15"/>
  <c r="E141" i="15"/>
  <c r="E204" i="15" s="1"/>
  <c r="E246" i="15"/>
  <c r="H220" i="15"/>
  <c r="H221" i="15"/>
  <c r="Y217" i="15"/>
  <c r="Y221" i="15"/>
  <c r="I200" i="15"/>
  <c r="I216" i="15"/>
  <c r="I217" i="15" s="1"/>
  <c r="I219" i="15"/>
  <c r="I224" i="15"/>
  <c r="I232" i="15"/>
  <c r="I234" i="15"/>
  <c r="I197" i="15"/>
  <c r="I226" i="15"/>
  <c r="I228" i="15"/>
  <c r="I223" i="15"/>
  <c r="I229" i="15"/>
  <c r="I231" i="15"/>
  <c r="I233" i="15"/>
  <c r="I235" i="15"/>
  <c r="I237" i="15"/>
  <c r="I225" i="15"/>
  <c r="I201" i="15"/>
  <c r="AD42" i="15"/>
  <c r="AD113" i="15"/>
  <c r="AD114" i="15"/>
  <c r="D1004" i="17"/>
  <c r="AC64" i="15"/>
  <c r="AB66" i="15"/>
  <c r="AB159" i="15"/>
  <c r="AB225" i="15"/>
  <c r="AC65" i="15"/>
  <c r="AF88" i="15" s="1"/>
  <c r="AB160" i="15"/>
  <c r="AB88" i="15"/>
  <c r="AB226" i="15"/>
  <c r="AD182" i="15"/>
  <c r="AD250" i="15" s="1"/>
  <c r="AD198" i="15"/>
  <c r="AD199" i="15" s="1"/>
  <c r="AD136" i="15"/>
  <c r="AC17" i="15"/>
  <c r="AE85" i="15" s="1"/>
  <c r="AC11" i="15"/>
  <c r="AB32" i="15"/>
  <c r="I42" i="15"/>
  <c r="I113" i="15"/>
  <c r="I114" i="15"/>
  <c r="AD40" i="15"/>
  <c r="AD50" i="15"/>
  <c r="AD52" i="15" s="1"/>
  <c r="AH53" i="15" s="1"/>
  <c r="AD23" i="15"/>
  <c r="AC46" i="15"/>
  <c r="AC90" i="15"/>
  <c r="AD90" i="15"/>
  <c r="AC162" i="15"/>
  <c r="AC228" i="15"/>
  <c r="V40" i="15"/>
  <c r="V50" i="15"/>
  <c r="V52" i="15" s="1"/>
  <c r="V23" i="15"/>
  <c r="U42" i="15"/>
  <c r="U113" i="15"/>
  <c r="U114" i="15"/>
  <c r="AC47" i="15"/>
  <c r="Y66" i="15"/>
  <c r="Y158" i="15"/>
  <c r="Y224" i="15"/>
  <c r="AC72" i="15"/>
  <c r="AB167" i="15"/>
  <c r="AB233" i="15"/>
  <c r="F158" i="15"/>
  <c r="F66" i="15"/>
  <c r="F224" i="15"/>
  <c r="R119" i="15"/>
  <c r="R141" i="15"/>
  <c r="R204" i="15" s="1"/>
  <c r="R246" i="15"/>
  <c r="R178" i="15"/>
  <c r="G188" i="15"/>
  <c r="E182" i="15"/>
  <c r="E250" i="15" s="1"/>
  <c r="E198" i="15"/>
  <c r="E199" i="15" s="1"/>
  <c r="E136" i="15"/>
  <c r="I188" i="15"/>
  <c r="J197" i="15"/>
  <c r="J201" i="15"/>
  <c r="J223" i="15"/>
  <c r="J198" i="15"/>
  <c r="J200" i="15"/>
  <c r="J225" i="15"/>
  <c r="J216" i="15"/>
  <c r="J219" i="15"/>
  <c r="J232" i="15"/>
  <c r="J234" i="15"/>
  <c r="J226" i="15"/>
  <c r="J228" i="15"/>
  <c r="J233" i="15"/>
  <c r="J235" i="15"/>
  <c r="J237" i="15"/>
  <c r="J250" i="15"/>
  <c r="J231" i="15"/>
  <c r="J229" i="15"/>
  <c r="E123" i="15"/>
  <c r="E131" i="15"/>
  <c r="E245" i="15"/>
  <c r="E260" i="15" s="1"/>
  <c r="E177" i="15"/>
  <c r="E142" i="15"/>
  <c r="E205" i="15" s="1"/>
  <c r="D199" i="15"/>
  <c r="E1195" i="17"/>
  <c r="E1197" i="17"/>
  <c r="E1168" i="17"/>
  <c r="E1170" i="17"/>
  <c r="E1173" i="17"/>
  <c r="E1175" i="17"/>
  <c r="E1158" i="17"/>
  <c r="E1171" i="17"/>
  <c r="E1194" i="17"/>
  <c r="E1196" i="17"/>
  <c r="E1198" i="17"/>
  <c r="E1169" i="17"/>
  <c r="E1167" i="17"/>
  <c r="E1081" i="17"/>
  <c r="E1083" i="17"/>
  <c r="E1086" i="17"/>
  <c r="E1092" i="17"/>
  <c r="E1102" i="17" s="1"/>
  <c r="E1103" i="17" s="1"/>
  <c r="E1108" i="17"/>
  <c r="E1110" i="17"/>
  <c r="E1112" i="17"/>
  <c r="E1084" i="17"/>
  <c r="E1088" i="17"/>
  <c r="E1080" i="17"/>
  <c r="E1082" i="17"/>
  <c r="E1094" i="17"/>
  <c r="E1113" i="17"/>
  <c r="E1115" i="17"/>
  <c r="E1109" i="17"/>
  <c r="E1111" i="17"/>
  <c r="E1085" i="17"/>
  <c r="E1180" i="17"/>
  <c r="E32" i="15"/>
  <c r="E89" i="15"/>
  <c r="R40" i="15"/>
  <c r="R50" i="15"/>
  <c r="R52" i="15" s="1"/>
  <c r="R23" i="15"/>
  <c r="U65" i="15"/>
  <c r="T160" i="15"/>
  <c r="T226" i="15"/>
  <c r="Z136" i="15"/>
  <c r="Z182" i="15"/>
  <c r="Z250" i="15" s="1"/>
  <c r="Z198" i="15"/>
  <c r="Y42" i="15"/>
  <c r="Y113" i="15"/>
  <c r="Y114" i="15"/>
  <c r="W32" i="15"/>
  <c r="H42" i="15"/>
  <c r="H113" i="15"/>
  <c r="H114" i="15"/>
  <c r="AC73" i="15"/>
  <c r="AB168" i="15"/>
  <c r="AB234" i="15"/>
  <c r="J66" i="15"/>
  <c r="J158" i="15"/>
  <c r="J224" i="15"/>
  <c r="AD66" i="15"/>
  <c r="AD158" i="15"/>
  <c r="AD224" i="15"/>
  <c r="AC229" i="15"/>
  <c r="AC163" i="15"/>
  <c r="W66" i="15"/>
  <c r="W158" i="15"/>
  <c r="W224" i="15"/>
  <c r="R131" i="15"/>
  <c r="R142" i="15"/>
  <c r="R205" i="15" s="1"/>
  <c r="R177" i="15"/>
  <c r="R245" i="15"/>
  <c r="E188" i="15"/>
  <c r="D221" i="15"/>
  <c r="E220" i="15"/>
  <c r="E1178" i="17"/>
  <c r="E1188" i="17" s="1"/>
  <c r="E1189" i="17" s="1"/>
  <c r="E1089" i="17"/>
  <c r="E1087" i="17"/>
  <c r="E1174" i="17"/>
  <c r="E1073" i="17" l="1"/>
  <c r="D127" i="17"/>
  <c r="F127" i="17" s="1"/>
  <c r="F125" i="17"/>
  <c r="D132" i="17"/>
  <c r="D129" i="17"/>
  <c r="F129" i="17" s="1"/>
  <c r="E148" i="17"/>
  <c r="E149" i="17" s="1"/>
  <c r="E151" i="17" s="1"/>
  <c r="D149" i="17"/>
  <c r="D151" i="17" s="1"/>
  <c r="G125" i="17"/>
  <c r="E127" i="17"/>
  <c r="G127" i="17" s="1"/>
  <c r="E129" i="17"/>
  <c r="G129" i="17" s="1"/>
  <c r="AW246" i="15"/>
  <c r="AW253" i="15" s="1"/>
  <c r="AW124" i="15"/>
  <c r="AW141" i="15"/>
  <c r="AW204" i="15" s="1"/>
  <c r="AW206" i="15" s="1"/>
  <c r="AW119" i="15"/>
  <c r="AW178" i="15"/>
  <c r="AW245" i="15"/>
  <c r="AW123" i="15"/>
  <c r="AW142" i="15"/>
  <c r="AW205" i="15" s="1"/>
  <c r="AW207" i="15" s="1"/>
  <c r="AW131" i="15"/>
  <c r="AW190" i="15" s="1"/>
  <c r="AW177" i="15"/>
  <c r="AW170" i="15"/>
  <c r="AW236" i="15"/>
  <c r="AP258" i="15"/>
  <c r="AQ258" i="15"/>
  <c r="AR258" i="15"/>
  <c r="AO258" i="15"/>
  <c r="AH257" i="15"/>
  <c r="G252" i="15"/>
  <c r="G260" i="15"/>
  <c r="AI257" i="15"/>
  <c r="AG257" i="15"/>
  <c r="AR257" i="15"/>
  <c r="AO257" i="15"/>
  <c r="AP257" i="15"/>
  <c r="AQ257" i="15"/>
  <c r="AG258" i="15"/>
  <c r="J257" i="15"/>
  <c r="J258" i="15"/>
  <c r="D253" i="15"/>
  <c r="D258" i="15"/>
  <c r="D257" i="15"/>
  <c r="K257" i="15"/>
  <c r="K258" i="15"/>
  <c r="H257" i="15"/>
  <c r="H258" i="15"/>
  <c r="F258" i="15"/>
  <c r="F257" i="15"/>
  <c r="E258" i="15"/>
  <c r="E257" i="15"/>
  <c r="I257" i="15"/>
  <c r="I258" i="15"/>
  <c r="AR86" i="15"/>
  <c r="AS53" i="15"/>
  <c r="D532" i="17"/>
  <c r="E532" i="17" s="1"/>
  <c r="E533" i="17" s="1"/>
  <c r="E535" i="17" s="1"/>
  <c r="D509" i="17"/>
  <c r="D516" i="17" s="1"/>
  <c r="AP86" i="15"/>
  <c r="AQ86" i="15"/>
  <c r="D461" i="17"/>
  <c r="D468" i="17" s="1"/>
  <c r="E460" i="17"/>
  <c r="E461" i="17" s="1"/>
  <c r="D484" i="17"/>
  <c r="U237" i="15"/>
  <c r="S141" i="15"/>
  <c r="S204" i="15" s="1"/>
  <c r="S119" i="15"/>
  <c r="U199" i="15"/>
  <c r="V260" i="15"/>
  <c r="S246" i="15"/>
  <c r="T56" i="15"/>
  <c r="X85" i="15"/>
  <c r="AC224" i="15"/>
  <c r="W85" i="15"/>
  <c r="U85" i="15"/>
  <c r="U50" i="15"/>
  <c r="U52" i="15" s="1"/>
  <c r="U86" i="15" s="1"/>
  <c r="Y168" i="15"/>
  <c r="J187" i="15"/>
  <c r="Z124" i="15"/>
  <c r="Z185" i="15" s="1"/>
  <c r="V182" i="15"/>
  <c r="V250" i="15" s="1"/>
  <c r="V252" i="15" s="1"/>
  <c r="AJ91" i="15"/>
  <c r="AJ139" i="15" s="1"/>
  <c r="AJ202" i="15" s="1"/>
  <c r="U159" i="15"/>
  <c r="U23" i="15"/>
  <c r="U25" i="15" s="1"/>
  <c r="U27" i="15" s="1"/>
  <c r="U40" i="15"/>
  <c r="U66" i="15"/>
  <c r="U161" i="15" s="1"/>
  <c r="Z178" i="15"/>
  <c r="V141" i="15"/>
  <c r="V204" i="15" s="1"/>
  <c r="V206" i="15" s="1"/>
  <c r="V246" i="15"/>
  <c r="V119" i="15"/>
  <c r="V178" i="15"/>
  <c r="E1090" i="17"/>
  <c r="E1091" i="17" s="1"/>
  <c r="Z141" i="15"/>
  <c r="Z204" i="15" s="1"/>
  <c r="Z206" i="15" s="1"/>
  <c r="V124" i="15"/>
  <c r="Z119" i="15"/>
  <c r="E511" i="17"/>
  <c r="G511" i="17" s="1"/>
  <c r="E513" i="17"/>
  <c r="G513" i="17" s="1"/>
  <c r="G509" i="17"/>
  <c r="D1098" i="17"/>
  <c r="D1093" i="17"/>
  <c r="F1093" i="17" s="1"/>
  <c r="AB178" i="15"/>
  <c r="AB124" i="15"/>
  <c r="AB185" i="15" s="1"/>
  <c r="AB119" i="15"/>
  <c r="AB246" i="15"/>
  <c r="F1091" i="17"/>
  <c r="T69" i="15"/>
  <c r="T75" i="15" s="1"/>
  <c r="X161" i="15"/>
  <c r="AI138" i="15"/>
  <c r="AI201" i="15" s="1"/>
  <c r="F89" i="15"/>
  <c r="AJ173" i="15"/>
  <c r="T227" i="15"/>
  <c r="G143" i="15"/>
  <c r="F187" i="15"/>
  <c r="T161" i="15"/>
  <c r="S69" i="15"/>
  <c r="S230" i="15" s="1"/>
  <c r="AH128" i="15"/>
  <c r="AH187" i="15" s="1"/>
  <c r="Z245" i="15"/>
  <c r="G144" i="15"/>
  <c r="AO53" i="15"/>
  <c r="AO54" i="15"/>
  <c r="AO86" i="15"/>
  <c r="AO56" i="15"/>
  <c r="AO137" i="15"/>
  <c r="AO200" i="15" s="1"/>
  <c r="AO129" i="15"/>
  <c r="AO138" i="15"/>
  <c r="AO201" i="15" s="1"/>
  <c r="AO128" i="15"/>
  <c r="AO161" i="15"/>
  <c r="AO227" i="15"/>
  <c r="AO69" i="15"/>
  <c r="AR91" i="15" s="1"/>
  <c r="AR139" i="15" s="1"/>
  <c r="AR202" i="15" s="1"/>
  <c r="AO142" i="15"/>
  <c r="AO205" i="15" s="1"/>
  <c r="AO207" i="15" s="1"/>
  <c r="AO131" i="15"/>
  <c r="AO177" i="15"/>
  <c r="AO123" i="15"/>
  <c r="AO245" i="15"/>
  <c r="S227" i="15"/>
  <c r="AB144" i="15"/>
  <c r="AO119" i="15"/>
  <c r="AO178" i="15"/>
  <c r="AO141" i="15"/>
  <c r="AO204" i="15" s="1"/>
  <c r="AO206" i="15" s="1"/>
  <c r="AO124" i="15"/>
  <c r="AO246" i="15"/>
  <c r="AO253" i="15" s="1"/>
  <c r="Z142" i="15"/>
  <c r="Z205" i="15" s="1"/>
  <c r="Z207" i="15" s="1"/>
  <c r="U224" i="15"/>
  <c r="Z177" i="15"/>
  <c r="Z123" i="15"/>
  <c r="Z184" i="15" s="1"/>
  <c r="J89" i="15"/>
  <c r="AA85" i="15"/>
  <c r="V136" i="15"/>
  <c r="Y67" i="15"/>
  <c r="AA90" i="15" s="1"/>
  <c r="AA138" i="15" s="1"/>
  <c r="AA201" i="15" s="1"/>
  <c r="X69" i="15"/>
  <c r="X164" i="15" s="1"/>
  <c r="X162" i="15"/>
  <c r="X228" i="15"/>
  <c r="J56" i="15"/>
  <c r="R227" i="15"/>
  <c r="AG128" i="15"/>
  <c r="D1134" i="17"/>
  <c r="D1138" i="17" s="1"/>
  <c r="F1138" i="17" s="1"/>
  <c r="AB237" i="15"/>
  <c r="AB171" i="15"/>
  <c r="AK238" i="15"/>
  <c r="AK172" i="15"/>
  <c r="AK78" i="15"/>
  <c r="V184" i="15"/>
  <c r="H69" i="15"/>
  <c r="H75" i="15" s="1"/>
  <c r="X56" i="15"/>
  <c r="AJ86" i="15"/>
  <c r="AK53" i="15"/>
  <c r="V158" i="15"/>
  <c r="X53" i="15"/>
  <c r="AB53" i="15"/>
  <c r="V224" i="15"/>
  <c r="AA227" i="15"/>
  <c r="Y85" i="15"/>
  <c r="F86" i="15"/>
  <c r="F53" i="15"/>
  <c r="AA161" i="15"/>
  <c r="AB85" i="15"/>
  <c r="F56" i="15"/>
  <c r="K53" i="15"/>
  <c r="J54" i="15"/>
  <c r="AJ138" i="15"/>
  <c r="AJ201" i="15" s="1"/>
  <c r="AJ128" i="15"/>
  <c r="AJ188" i="15"/>
  <c r="AG75" i="15"/>
  <c r="AG236" i="15" s="1"/>
  <c r="AI91" i="15"/>
  <c r="AI139" i="15" s="1"/>
  <c r="AI202" i="15" s="1"/>
  <c r="AI187" i="15"/>
  <c r="AH86" i="15"/>
  <c r="AI86" i="15"/>
  <c r="AG86" i="15"/>
  <c r="AG56" i="15"/>
  <c r="AG54" i="15"/>
  <c r="AH199" i="15"/>
  <c r="AH207" i="15"/>
  <c r="AH206" i="15"/>
  <c r="K75" i="15"/>
  <c r="K230" i="15"/>
  <c r="K91" i="15"/>
  <c r="K139" i="15" s="1"/>
  <c r="K202" i="15" s="1"/>
  <c r="K164" i="15"/>
  <c r="K217" i="15"/>
  <c r="K220" i="15"/>
  <c r="K221" i="15"/>
  <c r="AH188" i="15"/>
  <c r="K199" i="15"/>
  <c r="K206" i="15"/>
  <c r="K207" i="15"/>
  <c r="AE217" i="15"/>
  <c r="AI217" i="15"/>
  <c r="AG164" i="15"/>
  <c r="AG188" i="15"/>
  <c r="AG199" i="15"/>
  <c r="AG206" i="15"/>
  <c r="AG207" i="15"/>
  <c r="AI188" i="15"/>
  <c r="AG230" i="15"/>
  <c r="K253" i="15"/>
  <c r="K252" i="15"/>
  <c r="E1028" i="17"/>
  <c r="E1030" i="17" s="1"/>
  <c r="G56" i="15"/>
  <c r="G86" i="15"/>
  <c r="G54" i="15"/>
  <c r="G53" i="15"/>
  <c r="H227" i="15"/>
  <c r="R161" i="15"/>
  <c r="F1181" i="17"/>
  <c r="J1041" i="17"/>
  <c r="E1053" i="17"/>
  <c r="AC66" i="15"/>
  <c r="AC161" i="15" s="1"/>
  <c r="AC182" i="15"/>
  <c r="AC250" i="15" s="1"/>
  <c r="AC198" i="15"/>
  <c r="AC199" i="15" s="1"/>
  <c r="AA137" i="15"/>
  <c r="AA200" i="15" s="1"/>
  <c r="AB190" i="15"/>
  <c r="F253" i="15"/>
  <c r="F252" i="15"/>
  <c r="AA184" i="15"/>
  <c r="D227" i="15"/>
  <c r="D161" i="15"/>
  <c r="D69" i="15"/>
  <c r="AA141" i="15"/>
  <c r="AA204" i="15" s="1"/>
  <c r="AA246" i="15"/>
  <c r="AA119" i="15"/>
  <c r="AA124" i="15"/>
  <c r="AA178" i="15"/>
  <c r="Y137" i="15"/>
  <c r="Y200" i="15" s="1"/>
  <c r="Y129" i="15"/>
  <c r="D1184" i="17"/>
  <c r="AF185" i="15"/>
  <c r="AF143" i="15"/>
  <c r="AF136" i="15"/>
  <c r="AF182" i="15"/>
  <c r="AF250" i="15" s="1"/>
  <c r="S25" i="15"/>
  <c r="S27" i="15" s="1"/>
  <c r="S32" i="15" s="1"/>
  <c r="S43" i="15"/>
  <c r="S44" i="15"/>
  <c r="AF236" i="15"/>
  <c r="AF170" i="15"/>
  <c r="AF85" i="15"/>
  <c r="AE88" i="15"/>
  <c r="AE128" i="15" s="1"/>
  <c r="Y167" i="15"/>
  <c r="Y233" i="15"/>
  <c r="J912" i="17"/>
  <c r="F919" i="17"/>
  <c r="F923" i="17"/>
  <c r="F921" i="17"/>
  <c r="E207" i="15"/>
  <c r="D252" i="15"/>
  <c r="AF144" i="15"/>
  <c r="AF184" i="15"/>
  <c r="S56" i="15"/>
  <c r="S54" i="15"/>
  <c r="W53" i="15"/>
  <c r="Z158" i="15"/>
  <c r="Z66" i="15"/>
  <c r="Z224" i="15"/>
  <c r="E924" i="17"/>
  <c r="G919" i="17" s="1"/>
  <c r="E1176" i="17"/>
  <c r="E1177" i="17" s="1"/>
  <c r="E1157" i="17"/>
  <c r="E1159" i="17" s="1"/>
  <c r="E1182" i="17"/>
  <c r="F1177" i="17"/>
  <c r="F1095" i="17"/>
  <c r="E1134" i="17"/>
  <c r="E1136" i="17" s="1"/>
  <c r="AF199" i="15"/>
  <c r="AF206" i="15"/>
  <c r="AF207" i="15"/>
  <c r="J1127" i="17"/>
  <c r="E1139" i="17"/>
  <c r="W131" i="15"/>
  <c r="W123" i="15"/>
  <c r="W177" i="15"/>
  <c r="W245" i="15"/>
  <c r="W252" i="15" s="1"/>
  <c r="W142" i="15"/>
  <c r="W205" i="15" s="1"/>
  <c r="W207" i="15" s="1"/>
  <c r="D190" i="15"/>
  <c r="AE161" i="15"/>
  <c r="AE227" i="15"/>
  <c r="AE69" i="15"/>
  <c r="F964" i="17"/>
  <c r="G69" i="15"/>
  <c r="G161" i="15"/>
  <c r="G227" i="15"/>
  <c r="D1179" i="17"/>
  <c r="F1179" i="17" s="1"/>
  <c r="AE144" i="15"/>
  <c r="AA182" i="15"/>
  <c r="AA250" i="15" s="1"/>
  <c r="AA198" i="15"/>
  <c r="I69" i="15"/>
  <c r="I161" i="15"/>
  <c r="AE198" i="15"/>
  <c r="AE136" i="15"/>
  <c r="AE182" i="15"/>
  <c r="AE250" i="15" s="1"/>
  <c r="E1096" i="17"/>
  <c r="J1084" i="17"/>
  <c r="R75" i="15"/>
  <c r="R164" i="15"/>
  <c r="R230" i="15"/>
  <c r="AA136" i="15"/>
  <c r="AA197" i="15"/>
  <c r="F966" i="17"/>
  <c r="T228" i="15"/>
  <c r="T162" i="15"/>
  <c r="T46" i="15"/>
  <c r="U67" i="15"/>
  <c r="AA44" i="15"/>
  <c r="AA25" i="15"/>
  <c r="AA27" i="15" s="1"/>
  <c r="AA32" i="15" s="1"/>
  <c r="AA43" i="15"/>
  <c r="I56" i="15"/>
  <c r="I86" i="15"/>
  <c r="I54" i="15"/>
  <c r="J53" i="15"/>
  <c r="F144" i="15"/>
  <c r="F184" i="15"/>
  <c r="D187" i="15"/>
  <c r="Z190" i="15"/>
  <c r="W178" i="15"/>
  <c r="W246" i="15"/>
  <c r="W253" i="15" s="1"/>
  <c r="W141" i="15"/>
  <c r="W204" i="15" s="1"/>
  <c r="W206" i="15" s="1"/>
  <c r="W119" i="15"/>
  <c r="W124" i="15"/>
  <c r="F143" i="15"/>
  <c r="F185" i="15"/>
  <c r="X136" i="15"/>
  <c r="X182" i="15"/>
  <c r="X250" i="15" s="1"/>
  <c r="X198" i="15"/>
  <c r="X199" i="15" s="1"/>
  <c r="AA53" i="15"/>
  <c r="AA56" i="15"/>
  <c r="AE53" i="15"/>
  <c r="AA54" i="15"/>
  <c r="X123" i="15"/>
  <c r="X142" i="15"/>
  <c r="X205" i="15" s="1"/>
  <c r="X131" i="15"/>
  <c r="X177" i="15"/>
  <c r="X245" i="15"/>
  <c r="I25" i="15"/>
  <c r="I27" i="15" s="1"/>
  <c r="I43" i="15"/>
  <c r="I44" i="15"/>
  <c r="E967" i="17"/>
  <c r="G962" i="17" s="1"/>
  <c r="J955" i="17"/>
  <c r="E69" i="15"/>
  <c r="E161" i="15"/>
  <c r="E227" i="15"/>
  <c r="AB136" i="15"/>
  <c r="AB182" i="15"/>
  <c r="AB250" i="15" s="1"/>
  <c r="AB252" i="15" s="1"/>
  <c r="AB198" i="15"/>
  <c r="AB206" i="15" s="1"/>
  <c r="Y229" i="15"/>
  <c r="Y163" i="15"/>
  <c r="F190" i="15"/>
  <c r="D144" i="15"/>
  <c r="D184" i="15"/>
  <c r="Y50" i="15"/>
  <c r="Y52" i="15" s="1"/>
  <c r="Y40" i="15"/>
  <c r="Y23" i="15"/>
  <c r="Y76" i="15"/>
  <c r="X171" i="15"/>
  <c r="X237" i="15"/>
  <c r="AE220" i="15"/>
  <c r="AE221" i="15"/>
  <c r="G32" i="15"/>
  <c r="G89" i="15"/>
  <c r="J1173" i="17"/>
  <c r="J1172" i="17"/>
  <c r="F962" i="17"/>
  <c r="X124" i="15"/>
  <c r="X141" i="15"/>
  <c r="X204" i="15" s="1"/>
  <c r="X178" i="15"/>
  <c r="X119" i="15"/>
  <c r="X246" i="15"/>
  <c r="AD69" i="15"/>
  <c r="AD161" i="15"/>
  <c r="AD227" i="15"/>
  <c r="Z253" i="15"/>
  <c r="E1114" i="17"/>
  <c r="E1116" i="17" s="1"/>
  <c r="AD44" i="15"/>
  <c r="AD43" i="15"/>
  <c r="AD25" i="15"/>
  <c r="AD27" i="15" s="1"/>
  <c r="AG89" i="15" s="1"/>
  <c r="E1004" i="17"/>
  <c r="E1005" i="17" s="1"/>
  <c r="D1005" i="17"/>
  <c r="E253" i="15"/>
  <c r="J141" i="15"/>
  <c r="J204" i="15" s="1"/>
  <c r="J206" i="15" s="1"/>
  <c r="J119" i="15"/>
  <c r="J124" i="15"/>
  <c r="J178" i="15"/>
  <c r="J246" i="15"/>
  <c r="J253" i="15" s="1"/>
  <c r="V207" i="15"/>
  <c r="V199" i="15"/>
  <c r="R56" i="15"/>
  <c r="R54" i="15"/>
  <c r="E1200" i="17"/>
  <c r="E1202" i="17" s="1"/>
  <c r="E144" i="15"/>
  <c r="E184" i="15"/>
  <c r="J221" i="15"/>
  <c r="J220" i="15"/>
  <c r="J199" i="15"/>
  <c r="V44" i="15"/>
  <c r="V43" i="15"/>
  <c r="V25" i="15"/>
  <c r="V27" i="15" s="1"/>
  <c r="AD53" i="15"/>
  <c r="AD54" i="15"/>
  <c r="AD56" i="15"/>
  <c r="AC40" i="15"/>
  <c r="AC50" i="15"/>
  <c r="AC52" i="15" s="1"/>
  <c r="AD86" i="15" s="1"/>
  <c r="AC23" i="15"/>
  <c r="AC85" i="15"/>
  <c r="AB137" i="15"/>
  <c r="AB200" i="15" s="1"/>
  <c r="AB129" i="15"/>
  <c r="AC159" i="15"/>
  <c r="AC225" i="15"/>
  <c r="AD124" i="15"/>
  <c r="AD141" i="15"/>
  <c r="AD204" i="15" s="1"/>
  <c r="AD206" i="15" s="1"/>
  <c r="AD178" i="15"/>
  <c r="AD246" i="15"/>
  <c r="AD253" i="15" s="1"/>
  <c r="AD119" i="15"/>
  <c r="E206" i="15"/>
  <c r="AC119" i="15"/>
  <c r="AC141" i="15"/>
  <c r="AC204" i="15" s="1"/>
  <c r="AC178" i="15"/>
  <c r="AC124" i="15"/>
  <c r="AC246" i="15"/>
  <c r="Z44" i="15"/>
  <c r="Z43" i="15"/>
  <c r="Z25" i="15"/>
  <c r="Z27" i="15" s="1"/>
  <c r="R44" i="15"/>
  <c r="R43" i="15"/>
  <c r="R25" i="15"/>
  <c r="R27" i="15" s="1"/>
  <c r="R32" i="15" s="1"/>
  <c r="E190" i="15"/>
  <c r="AC167" i="15"/>
  <c r="AC233" i="15"/>
  <c r="S260" i="15"/>
  <c r="S190" i="15"/>
  <c r="E1047" i="17"/>
  <c r="E1048" i="17" s="1"/>
  <c r="D1048" i="17"/>
  <c r="W69" i="15"/>
  <c r="W161" i="15"/>
  <c r="W227" i="15"/>
  <c r="AC168" i="15"/>
  <c r="AC234" i="15"/>
  <c r="H141" i="15"/>
  <c r="H204" i="15" s="1"/>
  <c r="H206" i="15" s="1"/>
  <c r="H119" i="15"/>
  <c r="H124" i="15"/>
  <c r="H178" i="15"/>
  <c r="H246" i="15"/>
  <c r="H253" i="15" s="1"/>
  <c r="Y119" i="15"/>
  <c r="Y141" i="15"/>
  <c r="Y204" i="15" s="1"/>
  <c r="Y206" i="15" s="1"/>
  <c r="Y124" i="15"/>
  <c r="Y178" i="15"/>
  <c r="Y246" i="15"/>
  <c r="Y253" i="15" s="1"/>
  <c r="J217" i="15"/>
  <c r="AA188" i="15"/>
  <c r="U141" i="15"/>
  <c r="U204" i="15" s="1"/>
  <c r="U206" i="15" s="1"/>
  <c r="U119" i="15"/>
  <c r="U178" i="15"/>
  <c r="U124" i="15"/>
  <c r="U246" i="15"/>
  <c r="U253" i="15" s="1"/>
  <c r="V53" i="15"/>
  <c r="V54" i="15"/>
  <c r="V56" i="15"/>
  <c r="AD138" i="15"/>
  <c r="AD201" i="15" s="1"/>
  <c r="AD131" i="15"/>
  <c r="AD123" i="15"/>
  <c r="AD142" i="15"/>
  <c r="AD205" i="15" s="1"/>
  <c r="AD207" i="15" s="1"/>
  <c r="AD177" i="15"/>
  <c r="AD245" i="15"/>
  <c r="AC131" i="15"/>
  <c r="AC123" i="15"/>
  <c r="AC142" i="15"/>
  <c r="AC205" i="15" s="1"/>
  <c r="AC177" i="15"/>
  <c r="AC245" i="15"/>
  <c r="AC260" i="15" s="1"/>
  <c r="H44" i="15"/>
  <c r="H43" i="15"/>
  <c r="H25" i="15"/>
  <c r="H27" i="15" s="1"/>
  <c r="D44" i="15"/>
  <c r="D43" i="15"/>
  <c r="D25" i="15"/>
  <c r="D27" i="15" s="1"/>
  <c r="Z53" i="15"/>
  <c r="Z54" i="15"/>
  <c r="Z56" i="15"/>
  <c r="AC237" i="15"/>
  <c r="AC171" i="15"/>
  <c r="AA75" i="15"/>
  <c r="AA230" i="15"/>
  <c r="AA164" i="15"/>
  <c r="F69" i="15"/>
  <c r="F161" i="15"/>
  <c r="F227" i="15"/>
  <c r="I123" i="15"/>
  <c r="I131" i="15"/>
  <c r="I245" i="15"/>
  <c r="I177" i="15"/>
  <c r="I142" i="15"/>
  <c r="I205" i="15" s="1"/>
  <c r="I207" i="15" s="1"/>
  <c r="AB69" i="15"/>
  <c r="AB161" i="15"/>
  <c r="AB227" i="15"/>
  <c r="R190" i="15"/>
  <c r="R260" i="15"/>
  <c r="J69" i="15"/>
  <c r="J161" i="15"/>
  <c r="J227" i="15"/>
  <c r="H123" i="15"/>
  <c r="H131" i="15"/>
  <c r="H142" i="15"/>
  <c r="H205" i="15" s="1"/>
  <c r="H207" i="15" s="1"/>
  <c r="H177" i="15"/>
  <c r="H245" i="15"/>
  <c r="Y131" i="15"/>
  <c r="Y123" i="15"/>
  <c r="Y142" i="15"/>
  <c r="Y205" i="15" s="1"/>
  <c r="Y207" i="15" s="1"/>
  <c r="Y177" i="15"/>
  <c r="Y245" i="15"/>
  <c r="Y252" i="15" s="1"/>
  <c r="Z199" i="15"/>
  <c r="U88" i="15"/>
  <c r="V88" i="15"/>
  <c r="W88" i="15"/>
  <c r="U160" i="15"/>
  <c r="X88" i="15"/>
  <c r="U226" i="15"/>
  <c r="E252" i="15"/>
  <c r="V69" i="15"/>
  <c r="V161" i="15"/>
  <c r="V227" i="15"/>
  <c r="Y161" i="15"/>
  <c r="Y227" i="15"/>
  <c r="U131" i="15"/>
  <c r="U123" i="15"/>
  <c r="U142" i="15"/>
  <c r="U205" i="15" s="1"/>
  <c r="U207" i="15" s="1"/>
  <c r="U177" i="15"/>
  <c r="U245" i="15"/>
  <c r="U252" i="15" s="1"/>
  <c r="AC138" i="15"/>
  <c r="AC201" i="15" s="1"/>
  <c r="AD85" i="15"/>
  <c r="I119" i="15"/>
  <c r="I124" i="15"/>
  <c r="I178" i="15"/>
  <c r="I141" i="15"/>
  <c r="I204" i="15" s="1"/>
  <c r="I206" i="15" s="1"/>
  <c r="I246" i="15"/>
  <c r="I253" i="15" s="1"/>
  <c r="AC88" i="15"/>
  <c r="AD88" i="15"/>
  <c r="AC160" i="15"/>
  <c r="AC226" i="15"/>
  <c r="AD258" i="15" s="1"/>
  <c r="I220" i="15"/>
  <c r="I221" i="15"/>
  <c r="E143" i="15"/>
  <c r="E185" i="15"/>
  <c r="I199" i="15"/>
  <c r="H53" i="15"/>
  <c r="H54" i="15"/>
  <c r="H86" i="15"/>
  <c r="H56" i="15"/>
  <c r="I53" i="15"/>
  <c r="D54" i="15"/>
  <c r="E53" i="15"/>
  <c r="D86" i="15"/>
  <c r="D56" i="15"/>
  <c r="J123" i="15"/>
  <c r="J131" i="15"/>
  <c r="J142" i="15"/>
  <c r="J205" i="15" s="1"/>
  <c r="J207" i="15" s="1"/>
  <c r="J177" i="15"/>
  <c r="J245" i="15"/>
  <c r="AW144" i="15" l="1"/>
  <c r="AW184" i="15"/>
  <c r="AW260" i="15"/>
  <c r="AW252" i="15"/>
  <c r="AW143" i="15"/>
  <c r="AW185" i="15"/>
  <c r="D533" i="17"/>
  <c r="D535" i="17" s="1"/>
  <c r="I252" i="15"/>
  <c r="I260" i="15"/>
  <c r="AO252" i="15"/>
  <c r="AO260" i="15"/>
  <c r="Z252" i="15"/>
  <c r="Z260" i="15"/>
  <c r="AD257" i="15"/>
  <c r="AC258" i="15"/>
  <c r="AC257" i="15"/>
  <c r="H252" i="15"/>
  <c r="H260" i="15"/>
  <c r="AD252" i="15"/>
  <c r="AD260" i="15"/>
  <c r="J252" i="15"/>
  <c r="J260" i="15"/>
  <c r="AE257" i="15"/>
  <c r="AE258" i="15"/>
  <c r="AB143" i="15"/>
  <c r="AF258" i="15"/>
  <c r="AF257" i="15"/>
  <c r="D513" i="17"/>
  <c r="F513" i="17" s="1"/>
  <c r="D511" i="17"/>
  <c r="F511" i="17" s="1"/>
  <c r="F509" i="17"/>
  <c r="AP91" i="15"/>
  <c r="AP139" i="15" s="1"/>
  <c r="AP202" i="15" s="1"/>
  <c r="AQ91" i="15"/>
  <c r="AQ139" i="15" s="1"/>
  <c r="AQ202" i="15" s="1"/>
  <c r="U56" i="15"/>
  <c r="U44" i="15"/>
  <c r="U43" i="15"/>
  <c r="E484" i="17"/>
  <c r="E485" i="17" s="1"/>
  <c r="E487" i="17" s="1"/>
  <c r="D485" i="17"/>
  <c r="D487" i="17" s="1"/>
  <c r="E463" i="17"/>
  <c r="G463" i="17" s="1"/>
  <c r="E465" i="17"/>
  <c r="G465" i="17" s="1"/>
  <c r="G461" i="17"/>
  <c r="F461" i="17"/>
  <c r="D463" i="17"/>
  <c r="F463" i="17" s="1"/>
  <c r="D465" i="17"/>
  <c r="F465" i="17" s="1"/>
  <c r="Z143" i="15"/>
  <c r="V253" i="15"/>
  <c r="X86" i="15"/>
  <c r="U54" i="15"/>
  <c r="Y53" i="15"/>
  <c r="W86" i="15"/>
  <c r="V86" i="15"/>
  <c r="U227" i="15"/>
  <c r="T230" i="15"/>
  <c r="T164" i="15"/>
  <c r="U69" i="15"/>
  <c r="U75" i="15" s="1"/>
  <c r="V143" i="15"/>
  <c r="V185" i="15"/>
  <c r="H164" i="15"/>
  <c r="Y90" i="15"/>
  <c r="Y128" i="15" s="1"/>
  <c r="Y187" i="15" s="1"/>
  <c r="Y69" i="15"/>
  <c r="Y91" i="15" s="1"/>
  <c r="Y139" i="15" s="1"/>
  <c r="Y202" i="15" s="1"/>
  <c r="Y162" i="15"/>
  <c r="Y46" i="15"/>
  <c r="AA128" i="15"/>
  <c r="AB90" i="15"/>
  <c r="AB128" i="15" s="1"/>
  <c r="Z90" i="15"/>
  <c r="Z128" i="15" s="1"/>
  <c r="Z187" i="15" s="1"/>
  <c r="S164" i="15"/>
  <c r="S75" i="15"/>
  <c r="S236" i="15" s="1"/>
  <c r="AG170" i="15"/>
  <c r="X230" i="15"/>
  <c r="Z144" i="15"/>
  <c r="AO188" i="15"/>
  <c r="AO164" i="15"/>
  <c r="AO75" i="15"/>
  <c r="AO230" i="15"/>
  <c r="AO91" i="15"/>
  <c r="AO139" i="15" s="1"/>
  <c r="AO202" i="15" s="1"/>
  <c r="AO185" i="15"/>
  <c r="AO143" i="15"/>
  <c r="AO190" i="15"/>
  <c r="AO187" i="15"/>
  <c r="AO184" i="15"/>
  <c r="AO144" i="15"/>
  <c r="AG187" i="15"/>
  <c r="D1141" i="17"/>
  <c r="Y228" i="15"/>
  <c r="X75" i="15"/>
  <c r="X236" i="15" s="1"/>
  <c r="D1136" i="17"/>
  <c r="F1136" i="17" s="1"/>
  <c r="F1134" i="17"/>
  <c r="AC252" i="15"/>
  <c r="AC227" i="15"/>
  <c r="AC69" i="15"/>
  <c r="AC75" i="15" s="1"/>
  <c r="H230" i="15"/>
  <c r="AK239" i="15"/>
  <c r="AK173" i="15"/>
  <c r="H91" i="15"/>
  <c r="H139" i="15" s="1"/>
  <c r="H202" i="15" s="1"/>
  <c r="AC253" i="15"/>
  <c r="AC206" i="15"/>
  <c r="AJ187" i="15"/>
  <c r="AG53" i="15"/>
  <c r="K77" i="15"/>
  <c r="K78" i="15" s="1"/>
  <c r="K236" i="15"/>
  <c r="K170" i="15"/>
  <c r="AH91" i="15"/>
  <c r="AH139" i="15" s="1"/>
  <c r="AH202" i="15" s="1"/>
  <c r="AG91" i="15"/>
  <c r="AG139" i="15" s="1"/>
  <c r="AG202" i="15" s="1"/>
  <c r="AC207" i="15"/>
  <c r="AB86" i="15"/>
  <c r="AA86" i="15"/>
  <c r="E1138" i="17"/>
  <c r="G1138" i="17" s="1"/>
  <c r="Z86" i="15"/>
  <c r="Y56" i="15"/>
  <c r="Y86" i="15"/>
  <c r="Y54" i="15"/>
  <c r="J956" i="17"/>
  <c r="J957" i="17"/>
  <c r="G923" i="17"/>
  <c r="G921" i="17"/>
  <c r="X253" i="15"/>
  <c r="AA185" i="15"/>
  <c r="AA143" i="15"/>
  <c r="D91" i="15"/>
  <c r="D139" i="15" s="1"/>
  <c r="D202" i="15" s="1"/>
  <c r="D164" i="15"/>
  <c r="D230" i="15"/>
  <c r="D75" i="15"/>
  <c r="X252" i="15"/>
  <c r="Y188" i="15"/>
  <c r="Y258" i="15"/>
  <c r="Z69" i="15"/>
  <c r="Z161" i="15"/>
  <c r="Z227" i="15"/>
  <c r="AF137" i="15"/>
  <c r="AF200" i="15" s="1"/>
  <c r="AF128" i="15"/>
  <c r="AF129" i="15"/>
  <c r="AF86" i="15"/>
  <c r="AE137" i="15"/>
  <c r="AE200" i="15" s="1"/>
  <c r="AE129" i="15"/>
  <c r="AF252" i="15"/>
  <c r="AF253" i="15"/>
  <c r="G1134" i="17"/>
  <c r="Y25" i="15"/>
  <c r="Y27" i="15" s="1"/>
  <c r="Y32" i="15" s="1"/>
  <c r="Y43" i="15"/>
  <c r="Y44" i="15"/>
  <c r="AE187" i="15"/>
  <c r="X144" i="15"/>
  <c r="X184" i="15"/>
  <c r="W143" i="15"/>
  <c r="W185" i="15"/>
  <c r="AE199" i="15"/>
  <c r="AE206" i="15"/>
  <c r="AE207" i="15"/>
  <c r="G964" i="17"/>
  <c r="G91" i="15"/>
  <c r="G139" i="15" s="1"/>
  <c r="G202" i="15" s="1"/>
  <c r="G230" i="15"/>
  <c r="G164" i="15"/>
  <c r="G75" i="15"/>
  <c r="AB199" i="15"/>
  <c r="AB207" i="15"/>
  <c r="G966" i="17"/>
  <c r="W90" i="15"/>
  <c r="W138" i="15" s="1"/>
  <c r="W201" i="15" s="1"/>
  <c r="U90" i="15"/>
  <c r="U138" i="15" s="1"/>
  <c r="U201" i="15" s="1"/>
  <c r="U162" i="15"/>
  <c r="V90" i="15"/>
  <c r="V138" i="15" s="1"/>
  <c r="V201" i="15" s="1"/>
  <c r="U228" i="15"/>
  <c r="U46" i="15"/>
  <c r="X90" i="15"/>
  <c r="AE86" i="15"/>
  <c r="J1129" i="17"/>
  <c r="J1128" i="17"/>
  <c r="X206" i="15"/>
  <c r="Y237" i="15"/>
  <c r="Y171" i="15"/>
  <c r="E91" i="15"/>
  <c r="E139" i="15" s="1"/>
  <c r="E202" i="15" s="1"/>
  <c r="E230" i="15"/>
  <c r="E164" i="15"/>
  <c r="E75" i="15"/>
  <c r="X190" i="15"/>
  <c r="X260" i="15"/>
  <c r="R236" i="15"/>
  <c r="R170" i="15"/>
  <c r="R77" i="15"/>
  <c r="AE253" i="15"/>
  <c r="AE252" i="15"/>
  <c r="I91" i="15"/>
  <c r="I139" i="15" s="1"/>
  <c r="I202" i="15" s="1"/>
  <c r="I164" i="15"/>
  <c r="I75" i="15"/>
  <c r="I230" i="15"/>
  <c r="AA207" i="15"/>
  <c r="AA206" i="15"/>
  <c r="AA199" i="15"/>
  <c r="AE164" i="15"/>
  <c r="AE75" i="15"/>
  <c r="AE230" i="15"/>
  <c r="W184" i="15"/>
  <c r="W144" i="15"/>
  <c r="G1136" i="17"/>
  <c r="X143" i="15"/>
  <c r="X185" i="15"/>
  <c r="AB253" i="15"/>
  <c r="I32" i="15"/>
  <c r="I89" i="15"/>
  <c r="X207" i="15"/>
  <c r="J1086" i="17"/>
  <c r="J1085" i="17"/>
  <c r="H170" i="15"/>
  <c r="H77" i="15"/>
  <c r="H236" i="15"/>
  <c r="AA253" i="15"/>
  <c r="AA252" i="15"/>
  <c r="W190" i="15"/>
  <c r="W260" i="15"/>
  <c r="AC137" i="15"/>
  <c r="AC200" i="15" s="1"/>
  <c r="AC129" i="15"/>
  <c r="I143" i="15"/>
  <c r="I185" i="15"/>
  <c r="AC25" i="15"/>
  <c r="AC27" i="15" s="1"/>
  <c r="AD89" i="15" s="1"/>
  <c r="AC43" i="15"/>
  <c r="AC44" i="15"/>
  <c r="J143" i="15"/>
  <c r="J185" i="15"/>
  <c r="D1007" i="17"/>
  <c r="F1007" i="17" s="1"/>
  <c r="D1009" i="17"/>
  <c r="F1009" i="17" s="1"/>
  <c r="D1012" i="17"/>
  <c r="F1005" i="17"/>
  <c r="U190" i="15"/>
  <c r="U260" i="15"/>
  <c r="W129" i="15"/>
  <c r="W137" i="15"/>
  <c r="W200" i="15" s="1"/>
  <c r="H190" i="15"/>
  <c r="J75" i="15"/>
  <c r="J91" i="15"/>
  <c r="J139" i="15" s="1"/>
  <c r="J202" i="15" s="1"/>
  <c r="J164" i="15"/>
  <c r="J230" i="15"/>
  <c r="AA236" i="15"/>
  <c r="AA170" i="15"/>
  <c r="D32" i="15"/>
  <c r="D89" i="15"/>
  <c r="AC190" i="15"/>
  <c r="AD144" i="15"/>
  <c r="AD184" i="15"/>
  <c r="E1052" i="17"/>
  <c r="G1052" i="17" s="1"/>
  <c r="E1050" i="17"/>
  <c r="G1050" i="17" s="1"/>
  <c r="G1048" i="17"/>
  <c r="AB188" i="15"/>
  <c r="AC53" i="15"/>
  <c r="AC54" i="15"/>
  <c r="AC56" i="15"/>
  <c r="AC86" i="15"/>
  <c r="G1005" i="17"/>
  <c r="E1007" i="17"/>
  <c r="G1007" i="17" s="1"/>
  <c r="E1009" i="17"/>
  <c r="G1009" i="17" s="1"/>
  <c r="AD75" i="15"/>
  <c r="AD164" i="15"/>
  <c r="AD230" i="15"/>
  <c r="AC144" i="15"/>
  <c r="AC184" i="15"/>
  <c r="J190" i="15"/>
  <c r="E1095" i="17"/>
  <c r="G1095" i="17" s="1"/>
  <c r="G1091" i="17"/>
  <c r="E1093" i="17"/>
  <c r="G1093" i="17" s="1"/>
  <c r="J184" i="15"/>
  <c r="J144" i="15"/>
  <c r="V137" i="15"/>
  <c r="V200" i="15" s="1"/>
  <c r="V129" i="15"/>
  <c r="Y144" i="15"/>
  <c r="Y184" i="15"/>
  <c r="H144" i="15"/>
  <c r="H184" i="15"/>
  <c r="AB75" i="15"/>
  <c r="AB164" i="15"/>
  <c r="AB230" i="15"/>
  <c r="I190" i="15"/>
  <c r="F75" i="15"/>
  <c r="F91" i="15"/>
  <c r="F139" i="15" s="1"/>
  <c r="F202" i="15" s="1"/>
  <c r="F164" i="15"/>
  <c r="F230" i="15"/>
  <c r="T170" i="15"/>
  <c r="T236" i="15"/>
  <c r="AD190" i="15"/>
  <c r="AC185" i="15"/>
  <c r="AC143" i="15"/>
  <c r="AD143" i="15"/>
  <c r="AD185" i="15"/>
  <c r="G1177" i="17"/>
  <c r="E1179" i="17"/>
  <c r="G1179" i="17" s="1"/>
  <c r="E1181" i="17"/>
  <c r="G1181" i="17" s="1"/>
  <c r="U32" i="15"/>
  <c r="U89" i="15"/>
  <c r="AD32" i="15"/>
  <c r="U144" i="15"/>
  <c r="U184" i="15"/>
  <c r="H32" i="15"/>
  <c r="H89" i="15"/>
  <c r="Y185" i="15"/>
  <c r="Y143" i="15"/>
  <c r="D1052" i="17"/>
  <c r="F1052" i="17" s="1"/>
  <c r="D1055" i="17"/>
  <c r="F1048" i="17"/>
  <c r="D1050" i="17"/>
  <c r="F1050" i="17" s="1"/>
  <c r="Z32" i="15"/>
  <c r="AD137" i="15"/>
  <c r="AD200" i="15" s="1"/>
  <c r="AD129" i="15"/>
  <c r="AC128" i="15"/>
  <c r="V75" i="15"/>
  <c r="V164" i="15"/>
  <c r="V230" i="15"/>
  <c r="X137" i="15"/>
  <c r="X200" i="15" s="1"/>
  <c r="X129" i="15"/>
  <c r="U137" i="15"/>
  <c r="U200" i="15" s="1"/>
  <c r="U129" i="15"/>
  <c r="Y190" i="15"/>
  <c r="Y260" i="15"/>
  <c r="I144" i="15"/>
  <c r="I184" i="15"/>
  <c r="AD128" i="15"/>
  <c r="U185" i="15"/>
  <c r="U143" i="15"/>
  <c r="H185" i="15"/>
  <c r="H143" i="15"/>
  <c r="W75" i="15"/>
  <c r="W164" i="15"/>
  <c r="W230" i="15"/>
  <c r="V32" i="15"/>
  <c r="V89" i="15"/>
  <c r="X89" i="15"/>
  <c r="W89" i="15"/>
  <c r="R78" i="15" l="1"/>
  <c r="W91" i="15"/>
  <c r="W139" i="15" s="1"/>
  <c r="W202" i="15" s="1"/>
  <c r="U230" i="15"/>
  <c r="X91" i="15"/>
  <c r="X139" i="15" s="1"/>
  <c r="X202" i="15" s="1"/>
  <c r="U91" i="15"/>
  <c r="U139" i="15" s="1"/>
  <c r="U202" i="15" s="1"/>
  <c r="Y257" i="15"/>
  <c r="AB187" i="15"/>
  <c r="AA187" i="15"/>
  <c r="AD91" i="15"/>
  <c r="AD139" i="15" s="1"/>
  <c r="AD202" i="15" s="1"/>
  <c r="Y89" i="15"/>
  <c r="U164" i="15"/>
  <c r="V91" i="15"/>
  <c r="V139" i="15" s="1"/>
  <c r="V202" i="15" s="1"/>
  <c r="X170" i="15"/>
  <c r="Z91" i="15"/>
  <c r="Z139" i="15" s="1"/>
  <c r="Z202" i="15" s="1"/>
  <c r="Y138" i="15"/>
  <c r="Y201" i="15" s="1"/>
  <c r="Y75" i="15"/>
  <c r="Y236" i="15" s="1"/>
  <c r="Y230" i="15"/>
  <c r="Y164" i="15"/>
  <c r="S170" i="15"/>
  <c r="Z138" i="15"/>
  <c r="Z201" i="15" s="1"/>
  <c r="AB138" i="15"/>
  <c r="AB201" i="15" s="1"/>
  <c r="AF91" i="15"/>
  <c r="AF139" i="15" s="1"/>
  <c r="AF202" i="15" s="1"/>
  <c r="AO170" i="15"/>
  <c r="AO236" i="15"/>
  <c r="AC230" i="15"/>
  <c r="AC164" i="15"/>
  <c r="AE91" i="15"/>
  <c r="AE139" i="15" s="1"/>
  <c r="AE202" i="15" s="1"/>
  <c r="U128" i="15"/>
  <c r="U187" i="15" s="1"/>
  <c r="AB89" i="15"/>
  <c r="Z89" i="15"/>
  <c r="K173" i="15"/>
  <c r="K239" i="15"/>
  <c r="K238" i="15"/>
  <c r="K172" i="15"/>
  <c r="AC91" i="15"/>
  <c r="AC139" i="15" s="1"/>
  <c r="AC202" i="15" s="1"/>
  <c r="W128" i="15"/>
  <c r="W187" i="15" s="1"/>
  <c r="AA91" i="15"/>
  <c r="AA139" i="15" s="1"/>
  <c r="AA202" i="15" s="1"/>
  <c r="AB91" i="15"/>
  <c r="AB139" i="15" s="1"/>
  <c r="AB202" i="15" s="1"/>
  <c r="D77" i="15"/>
  <c r="D170" i="15"/>
  <c r="D236" i="15"/>
  <c r="AE188" i="15"/>
  <c r="AF89" i="15"/>
  <c r="AF188" i="15"/>
  <c r="AF187" i="15"/>
  <c r="Z230" i="15"/>
  <c r="Z164" i="15"/>
  <c r="Z75" i="15"/>
  <c r="H172" i="15"/>
  <c r="H238" i="15"/>
  <c r="H78" i="15"/>
  <c r="AE170" i="15"/>
  <c r="AE236" i="15"/>
  <c r="R238" i="15"/>
  <c r="R172" i="15"/>
  <c r="X128" i="15"/>
  <c r="X138" i="15"/>
  <c r="X201" i="15" s="1"/>
  <c r="E236" i="15"/>
  <c r="E170" i="15"/>
  <c r="E77" i="15"/>
  <c r="E78" i="15" s="1"/>
  <c r="G236" i="15"/>
  <c r="G170" i="15"/>
  <c r="G77" i="15"/>
  <c r="G78" i="15" s="1"/>
  <c r="AA89" i="15"/>
  <c r="S77" i="15"/>
  <c r="AE89" i="15"/>
  <c r="I170" i="15"/>
  <c r="I77" i="15"/>
  <c r="I78" i="15" s="1"/>
  <c r="I236" i="15"/>
  <c r="V128" i="15"/>
  <c r="AD187" i="15"/>
  <c r="X188" i="15"/>
  <c r="X258" i="15"/>
  <c r="AB170" i="15"/>
  <c r="AB236" i="15"/>
  <c r="J77" i="15"/>
  <c r="J78" i="15" s="1"/>
  <c r="J170" i="15"/>
  <c r="J236" i="15"/>
  <c r="AC188" i="15"/>
  <c r="V188" i="15"/>
  <c r="V258" i="15"/>
  <c r="AD188" i="15"/>
  <c r="F77" i="15"/>
  <c r="F170" i="15"/>
  <c r="F236" i="15"/>
  <c r="AD77" i="15"/>
  <c r="AE77" i="15" s="1"/>
  <c r="AF77" i="15" s="1"/>
  <c r="AD170" i="15"/>
  <c r="AD236" i="15"/>
  <c r="W188" i="15"/>
  <c r="W258" i="15"/>
  <c r="W170" i="15"/>
  <c r="W236" i="15"/>
  <c r="V77" i="15"/>
  <c r="V170" i="15"/>
  <c r="V236" i="15"/>
  <c r="AC170" i="15"/>
  <c r="AC236" i="15"/>
  <c r="AC32" i="15"/>
  <c r="AC89" i="15"/>
  <c r="U188" i="15"/>
  <c r="U258" i="15"/>
  <c r="AC187" i="15"/>
  <c r="U170" i="15"/>
  <c r="U236" i="15"/>
  <c r="R173" i="15" l="1"/>
  <c r="R239" i="15"/>
  <c r="AW172" i="15"/>
  <c r="AW238" i="15"/>
  <c r="AW78" i="15"/>
  <c r="Y170" i="15"/>
  <c r="U257" i="15"/>
  <c r="S78" i="15"/>
  <c r="S239" i="15" s="1"/>
  <c r="W257" i="15"/>
  <c r="AG77" i="15"/>
  <c r="AG172" i="15" s="1"/>
  <c r="D78" i="15"/>
  <c r="D172" i="15"/>
  <c r="D238" i="15"/>
  <c r="AD78" i="15"/>
  <c r="AD173" i="15" s="1"/>
  <c r="S238" i="15"/>
  <c r="AF172" i="15"/>
  <c r="AF238" i="15"/>
  <c r="AF78" i="15"/>
  <c r="Z170" i="15"/>
  <c r="Z236" i="15"/>
  <c r="Z77" i="15"/>
  <c r="S172" i="15"/>
  <c r="I238" i="15"/>
  <c r="I172" i="15"/>
  <c r="AE172" i="15"/>
  <c r="AE238" i="15"/>
  <c r="G173" i="15"/>
  <c r="G239" i="15"/>
  <c r="E239" i="15"/>
  <c r="E173" i="15"/>
  <c r="AE78" i="15"/>
  <c r="I173" i="15"/>
  <c r="I239" i="15"/>
  <c r="T77" i="15"/>
  <c r="U77" i="15" s="1"/>
  <c r="V187" i="15"/>
  <c r="V257" i="15"/>
  <c r="H239" i="15"/>
  <c r="H173" i="15"/>
  <c r="G172" i="15"/>
  <c r="G238" i="15"/>
  <c r="E172" i="15"/>
  <c r="E238" i="15"/>
  <c r="X257" i="15"/>
  <c r="X187" i="15"/>
  <c r="W77" i="15"/>
  <c r="V172" i="15"/>
  <c r="V238" i="15"/>
  <c r="F172" i="15"/>
  <c r="F238" i="15"/>
  <c r="F78" i="15"/>
  <c r="J173" i="15"/>
  <c r="J239" i="15"/>
  <c r="V78" i="15"/>
  <c r="AD172" i="15"/>
  <c r="AD238" i="15"/>
  <c r="J172" i="15"/>
  <c r="J238" i="15"/>
  <c r="AW173" i="15" l="1"/>
  <c r="AW239" i="15"/>
  <c r="S173" i="15"/>
  <c r="AO172" i="15"/>
  <c r="AO238" i="15"/>
  <c r="AO78" i="15"/>
  <c r="AG78" i="15"/>
  <c r="AG239" i="15" s="1"/>
  <c r="AG238" i="15"/>
  <c r="AD239" i="15"/>
  <c r="D239" i="15"/>
  <c r="D79" i="15"/>
  <c r="D173" i="15"/>
  <c r="AF239" i="15"/>
  <c r="AF173" i="15"/>
  <c r="AA77" i="15"/>
  <c r="Z172" i="15"/>
  <c r="Z78" i="15"/>
  <c r="Z238" i="15"/>
  <c r="T238" i="15"/>
  <c r="T172" i="15"/>
  <c r="T78" i="15"/>
  <c r="T173" i="15" s="1"/>
  <c r="AE239" i="15"/>
  <c r="AE173" i="15"/>
  <c r="U172" i="15"/>
  <c r="U238" i="15"/>
  <c r="U78" i="15"/>
  <c r="F173" i="15"/>
  <c r="F239" i="15"/>
  <c r="V173" i="15"/>
  <c r="V239" i="15"/>
  <c r="W238" i="15"/>
  <c r="W172" i="15"/>
  <c r="X77" i="15"/>
  <c r="W78" i="15"/>
  <c r="AO239" i="15" l="1"/>
  <c r="AO173" i="15"/>
  <c r="AG173" i="15"/>
  <c r="T239" i="15"/>
  <c r="D81" i="15"/>
  <c r="E79" i="15"/>
  <c r="Z239" i="15"/>
  <c r="Z173" i="15"/>
  <c r="AA172" i="15"/>
  <c r="AA238" i="15"/>
  <c r="AB77" i="15"/>
  <c r="AA78" i="15"/>
  <c r="X172" i="15"/>
  <c r="X238" i="15"/>
  <c r="Y77" i="15"/>
  <c r="X78" i="15"/>
  <c r="U239" i="15"/>
  <c r="U173" i="15"/>
  <c r="W173" i="15"/>
  <c r="W239" i="15"/>
  <c r="E81" i="15" l="1"/>
  <c r="F79" i="15"/>
  <c r="AB172" i="15"/>
  <c r="AB238" i="15"/>
  <c r="AC77" i="15"/>
  <c r="AB78" i="15"/>
  <c r="AA173" i="15"/>
  <c r="AA239" i="15"/>
  <c r="X173" i="15"/>
  <c r="X239" i="15"/>
  <c r="Y172" i="15"/>
  <c r="Y238" i="15"/>
  <c r="Y78" i="15"/>
  <c r="F81" i="15" l="1"/>
  <c r="G79" i="15"/>
  <c r="AB173" i="15"/>
  <c r="AB239" i="15"/>
  <c r="AC238" i="15"/>
  <c r="AC78" i="15"/>
  <c r="AC172" i="15"/>
  <c r="Y239" i="15"/>
  <c r="Y173" i="15"/>
  <c r="R79" i="15" l="1"/>
  <c r="H79" i="15"/>
  <c r="G81" i="15"/>
  <c r="AC173" i="15"/>
  <c r="AC239" i="15"/>
  <c r="I79" i="15" l="1"/>
  <c r="H81" i="15"/>
  <c r="S79" i="15"/>
  <c r="R81" i="15"/>
  <c r="J79" i="15" l="1"/>
  <c r="I81" i="15"/>
  <c r="S81" i="15"/>
  <c r="T79" i="15"/>
  <c r="J81" i="15" l="1"/>
  <c r="K79" i="15"/>
  <c r="U79" i="15"/>
  <c r="T81" i="15"/>
  <c r="K81" i="15" l="1"/>
  <c r="L79" i="15"/>
  <c r="V79" i="15"/>
  <c r="U81" i="15"/>
  <c r="L81" i="15" l="1"/>
  <c r="M79" i="15"/>
  <c r="W79" i="15"/>
  <c r="V81" i="15"/>
  <c r="M81" i="15" l="1"/>
  <c r="N79" i="15"/>
  <c r="W81" i="15"/>
  <c r="X79" i="15"/>
  <c r="N81" i="15" l="1"/>
  <c r="O79" i="15"/>
  <c r="O81" i="15" s="1"/>
  <c r="Y79" i="15"/>
  <c r="X81" i="15"/>
  <c r="Z79" i="15" l="1"/>
  <c r="Y81" i="15"/>
  <c r="AA79" i="15" l="1"/>
  <c r="Z81" i="15"/>
  <c r="AB79" i="15" l="1"/>
  <c r="AB81" i="15" s="1"/>
  <c r="AA81" i="15"/>
  <c r="AC79" i="15" l="1"/>
  <c r="AD79" i="15" l="1"/>
  <c r="AC81" i="15"/>
  <c r="AD81" i="15" l="1"/>
  <c r="AE79" i="15"/>
  <c r="AE81" i="15" l="1"/>
  <c r="AF79" i="15"/>
  <c r="AF81" i="15" l="1"/>
  <c r="AG79" i="15"/>
  <c r="AG81" i="15" l="1"/>
  <c r="AH79" i="15"/>
  <c r="AH81" i="15" l="1"/>
  <c r="AI79" i="15"/>
  <c r="AI81" i="15" l="1"/>
  <c r="AJ79" i="15"/>
  <c r="AJ81" i="15" l="1"/>
  <c r="AK79" i="15"/>
  <c r="AK81" i="15" l="1"/>
  <c r="AL79" i="15"/>
  <c r="AL81" i="15" l="1"/>
  <c r="AM79" i="15"/>
  <c r="AM81" i="15" l="1"/>
  <c r="AN79" i="15"/>
  <c r="AN81" i="15" l="1"/>
  <c r="AO79" i="15"/>
  <c r="AO81" i="15" l="1"/>
  <c r="AP79" i="15"/>
  <c r="CD6" i="15"/>
  <c r="CE10" i="15"/>
  <c r="CE17" i="15" s="1"/>
  <c r="AP81" i="15" l="1"/>
  <c r="AQ79" i="15"/>
  <c r="CE23" i="15"/>
  <c r="CE25" i="15" s="1"/>
  <c r="CD26" i="15"/>
  <c r="CD12" i="15"/>
  <c r="CD19" i="15"/>
  <c r="CD15" i="15"/>
  <c r="CD22" i="15"/>
  <c r="CD29" i="15"/>
  <c r="CD13" i="15"/>
  <c r="CD7" i="15"/>
  <c r="CG8" i="15" s="1"/>
  <c r="CD30" i="15"/>
  <c r="CD18" i="15"/>
  <c r="CD20" i="15"/>
  <c r="CD16" i="15"/>
  <c r="CD21" i="15"/>
  <c r="CD24" i="15"/>
  <c r="CD9" i="15"/>
  <c r="CD14" i="15"/>
  <c r="CC6" i="15"/>
  <c r="CE11" i="15"/>
  <c r="AQ81" i="15" l="1"/>
  <c r="AR79" i="15"/>
  <c r="CC26" i="15"/>
  <c r="BG26" i="15" s="1"/>
  <c r="BH26" i="15" s="1"/>
  <c r="CC9" i="15"/>
  <c r="BG9" i="15" s="1"/>
  <c r="CC18" i="15"/>
  <c r="BG18" i="15" s="1"/>
  <c r="BH18" i="15" s="1"/>
  <c r="CC30" i="15"/>
  <c r="BG30" i="15" s="1"/>
  <c r="BH30" i="15" s="1"/>
  <c r="CC14" i="15"/>
  <c r="BG14" i="15" s="1"/>
  <c r="BH14" i="15" s="1"/>
  <c r="CC15" i="15"/>
  <c r="BG15" i="15" s="1"/>
  <c r="CC20" i="15"/>
  <c r="BG20" i="15" s="1"/>
  <c r="BH20" i="15" s="1"/>
  <c r="CC16" i="15"/>
  <c r="BG16" i="15" s="1"/>
  <c r="BH16" i="15" s="1"/>
  <c r="CC29" i="15"/>
  <c r="BG29" i="15" s="1"/>
  <c r="BH29" i="15" s="1"/>
  <c r="CC13" i="15"/>
  <c r="BG13" i="15" s="1"/>
  <c r="BH13" i="15" s="1"/>
  <c r="CC19" i="15"/>
  <c r="BG19" i="15" s="1"/>
  <c r="BH19" i="15" s="1"/>
  <c r="CC24" i="15"/>
  <c r="BG24" i="15" s="1"/>
  <c r="BH24" i="15" s="1"/>
  <c r="CC21" i="15"/>
  <c r="BG21" i="15" s="1"/>
  <c r="BH21" i="15" s="1"/>
  <c r="CC12" i="15"/>
  <c r="BG12" i="15" s="1"/>
  <c r="BH12" i="15" s="1"/>
  <c r="CC22" i="15"/>
  <c r="BG22" i="15" s="1"/>
  <c r="BH22" i="15" s="1"/>
  <c r="CC7" i="15"/>
  <c r="CF8" i="15" s="1"/>
  <c r="CD10" i="15"/>
  <c r="AS79" i="15" l="1"/>
  <c r="AR81" i="15"/>
  <c r="BI21" i="15"/>
  <c r="BI16" i="15"/>
  <c r="BI30" i="15"/>
  <c r="BI18" i="15"/>
  <c r="BI19" i="15"/>
  <c r="P42" i="15" s="1"/>
  <c r="BI29" i="15"/>
  <c r="BG7" i="15"/>
  <c r="BK8" i="15" s="1"/>
  <c r="BI22" i="15"/>
  <c r="BI12" i="15"/>
  <c r="BI13" i="15"/>
  <c r="BH15" i="15"/>
  <c r="BI14" i="15"/>
  <c r="BH9" i="15"/>
  <c r="BI24" i="15"/>
  <c r="CC10" i="15"/>
  <c r="BI20" i="15"/>
  <c r="CD17" i="15"/>
  <c r="CD11" i="15"/>
  <c r="AS81" i="15" l="1"/>
  <c r="AT79" i="15"/>
  <c r="BG37" i="15"/>
  <c r="BG35" i="15"/>
  <c r="BG36" i="15"/>
  <c r="P41" i="15"/>
  <c r="BH7" i="15"/>
  <c r="BH10" i="15" s="1"/>
  <c r="BH17" i="15" s="1"/>
  <c r="BG39" i="15"/>
  <c r="BG38" i="15"/>
  <c r="BG10" i="15"/>
  <c r="BI9" i="15"/>
  <c r="BI15" i="15"/>
  <c r="CC17" i="15"/>
  <c r="CC11" i="15"/>
  <c r="CB10" i="15"/>
  <c r="CB11" i="15" s="1"/>
  <c r="CD23" i="15"/>
  <c r="CD25" i="15" s="1"/>
  <c r="CD27" i="15" s="1"/>
  <c r="AU79" i="15" l="1"/>
  <c r="AV79" i="15" s="1"/>
  <c r="P79" i="15"/>
  <c r="P81" i="15" s="1"/>
  <c r="AV81" i="15"/>
  <c r="AW79" i="15"/>
  <c r="AT81" i="15"/>
  <c r="AU81" i="15"/>
  <c r="BI7" i="15"/>
  <c r="BL8" i="15"/>
  <c r="BH39" i="15"/>
  <c r="BH36" i="15"/>
  <c r="BH38" i="15"/>
  <c r="BH37" i="15"/>
  <c r="P38" i="15"/>
  <c r="BH11" i="15"/>
  <c r="BH35" i="15"/>
  <c r="P39" i="15"/>
  <c r="BG17" i="15"/>
  <c r="BG11" i="15"/>
  <c r="BH23" i="15"/>
  <c r="BH40" i="15"/>
  <c r="CA14" i="15"/>
  <c r="CA19" i="15"/>
  <c r="CA12" i="15"/>
  <c r="CA18" i="15"/>
  <c r="CA29" i="15"/>
  <c r="CA20" i="15"/>
  <c r="CA7" i="15"/>
  <c r="CA13" i="15"/>
  <c r="CA22" i="15"/>
  <c r="CA9" i="15"/>
  <c r="CA26" i="15"/>
  <c r="CB17" i="15"/>
  <c r="CB23" i="15" s="1"/>
  <c r="CA24" i="15"/>
  <c r="CA21" i="15"/>
  <c r="CA16" i="15"/>
  <c r="CA30" i="15"/>
  <c r="CA15" i="15"/>
  <c r="BZ7" i="15"/>
  <c r="BZ30" i="15"/>
  <c r="BC30" i="15" s="1"/>
  <c r="BZ13" i="15"/>
  <c r="BC13" i="15" s="1"/>
  <c r="BZ20" i="15"/>
  <c r="BC20" i="15" s="1"/>
  <c r="BZ9" i="15"/>
  <c r="BC9" i="15" s="1"/>
  <c r="BZ29" i="15"/>
  <c r="BC29" i="15" s="1"/>
  <c r="BZ21" i="15"/>
  <c r="BC21" i="15" s="1"/>
  <c r="BZ18" i="15"/>
  <c r="BC18" i="15" s="1"/>
  <c r="BZ16" i="15"/>
  <c r="BC16" i="15" s="1"/>
  <c r="BZ22" i="15"/>
  <c r="BC22" i="15" s="1"/>
  <c r="BZ19" i="15"/>
  <c r="BC19" i="15" s="1"/>
  <c r="BZ15" i="15"/>
  <c r="BC15" i="15" s="1"/>
  <c r="BZ26" i="15"/>
  <c r="BC26" i="15" s="1"/>
  <c r="BZ12" i="15"/>
  <c r="BC12" i="15" s="1"/>
  <c r="BZ14" i="15"/>
  <c r="BC14" i="15" s="1"/>
  <c r="BZ24" i="15"/>
  <c r="BC24" i="15" s="1"/>
  <c r="CC23" i="15"/>
  <c r="CC25" i="15" s="1"/>
  <c r="CC27" i="15" s="1"/>
  <c r="AW81" i="15" l="1"/>
  <c r="AX79" i="15"/>
  <c r="AX81" i="15" s="1"/>
  <c r="BI37" i="15"/>
  <c r="BI38" i="15"/>
  <c r="BI35" i="15"/>
  <c r="BI39" i="15"/>
  <c r="BI36" i="15"/>
  <c r="BI10" i="15"/>
  <c r="BI11" i="15" s="1"/>
  <c r="P150" i="15"/>
  <c r="P155" i="15" s="1"/>
  <c r="P103" i="15"/>
  <c r="P84" i="15"/>
  <c r="P216" i="15"/>
  <c r="P221" i="15" s="1"/>
  <c r="P10" i="15"/>
  <c r="P59" i="15"/>
  <c r="P47" i="15"/>
  <c r="P46" i="15"/>
  <c r="P36" i="15"/>
  <c r="P37" i="15"/>
  <c r="P102" i="15"/>
  <c r="P104" i="15"/>
  <c r="P35" i="15"/>
  <c r="BD21" i="15"/>
  <c r="BE21" i="15" s="1"/>
  <c r="BD24" i="15"/>
  <c r="BE24" i="15" s="1"/>
  <c r="BG23" i="15"/>
  <c r="BG40" i="15"/>
  <c r="BD15" i="15"/>
  <c r="BE15" i="15" s="1"/>
  <c r="BH25" i="15"/>
  <c r="BH27" i="15" s="1"/>
  <c r="BH32" i="15" s="1"/>
  <c r="BH43" i="15"/>
  <c r="BH44" i="15"/>
  <c r="CC8" i="15"/>
  <c r="BC7" i="15"/>
  <c r="BG8" i="15" s="1"/>
  <c r="BD13" i="15"/>
  <c r="BE13" i="15" s="1"/>
  <c r="CD8" i="15"/>
  <c r="BD16" i="15"/>
  <c r="BE16" i="15" s="1"/>
  <c r="BD29" i="15"/>
  <c r="BE29" i="15" s="1"/>
  <c r="CA10" i="15"/>
  <c r="CA11" i="15" s="1"/>
  <c r="BD30" i="15"/>
  <c r="BE30" i="15" s="1"/>
  <c r="BD20" i="15"/>
  <c r="BE20" i="15" s="1"/>
  <c r="BD18" i="15"/>
  <c r="BE18" i="15" s="1"/>
  <c r="BD26" i="15"/>
  <c r="BD12" i="15"/>
  <c r="BE12" i="15" s="1"/>
  <c r="BD9" i="15"/>
  <c r="BE9" i="15" s="1"/>
  <c r="BD19" i="15"/>
  <c r="BE19" i="15" s="1"/>
  <c r="BD22" i="15"/>
  <c r="BE22" i="15" s="1"/>
  <c r="BD14" i="15"/>
  <c r="BE14" i="15" s="1"/>
  <c r="CB25" i="15"/>
  <c r="BZ10" i="15"/>
  <c r="BI17" i="15" l="1"/>
  <c r="BI23" i="15" s="1"/>
  <c r="BI25" i="15" s="1"/>
  <c r="P134" i="15"/>
  <c r="P100" i="15"/>
  <c r="P11" i="15"/>
  <c r="P17" i="15"/>
  <c r="BC10" i="15"/>
  <c r="BC17" i="15" s="1"/>
  <c r="BC23" i="15" s="1"/>
  <c r="BC25" i="15" s="1"/>
  <c r="BC27" i="15" s="1"/>
  <c r="BC32" i="15" s="1"/>
  <c r="BD7" i="15"/>
  <c r="BD10" i="15" s="1"/>
  <c r="BG25" i="15"/>
  <c r="BG27" i="15" s="1"/>
  <c r="BG32" i="15" s="1"/>
  <c r="BG43" i="15"/>
  <c r="BG44" i="15"/>
  <c r="CA17" i="15"/>
  <c r="CA23" i="15" s="1"/>
  <c r="CA25" i="15" s="1"/>
  <c r="CA27" i="15" s="1"/>
  <c r="BZ17" i="15"/>
  <c r="BZ11" i="15"/>
  <c r="BI44" i="15" l="1"/>
  <c r="BI43" i="15"/>
  <c r="BI40" i="15"/>
  <c r="P197" i="15"/>
  <c r="P199" i="15" s="1"/>
  <c r="P136" i="15"/>
  <c r="P50" i="15"/>
  <c r="P52" i="15" s="1"/>
  <c r="P40" i="15"/>
  <c r="P23" i="15"/>
  <c r="P85" i="15"/>
  <c r="BC11" i="15"/>
  <c r="BH8" i="15"/>
  <c r="BE7" i="15"/>
  <c r="BI8" i="15" s="1"/>
  <c r="BZ23" i="15"/>
  <c r="BZ25" i="15" s="1"/>
  <c r="BZ27" i="15" s="1"/>
  <c r="BD11" i="15"/>
  <c r="BD17" i="15"/>
  <c r="BD23" i="15" s="1"/>
  <c r="BD25" i="15" s="1"/>
  <c r="BD27" i="15" s="1"/>
  <c r="BD32" i="15" s="1"/>
  <c r="CE27" i="15"/>
  <c r="BI26" i="15"/>
  <c r="BJ27" i="15"/>
  <c r="BJ32" i="15" s="1"/>
  <c r="P43" i="15" l="1"/>
  <c r="P25" i="15"/>
  <c r="P27" i="15" s="1"/>
  <c r="P44" i="15"/>
  <c r="P54" i="15"/>
  <c r="P86" i="15"/>
  <c r="P56" i="15"/>
  <c r="BI27" i="15"/>
  <c r="BI32" i="15" s="1"/>
  <c r="BE10" i="15"/>
  <c r="BE11" i="15" s="1"/>
  <c r="CB27" i="15"/>
  <c r="BE26" i="15"/>
  <c r="BF27" i="15" s="1"/>
  <c r="BF32" i="15" s="1"/>
  <c r="P32" i="15" l="1"/>
  <c r="P89" i="15"/>
  <c r="BE17" i="15"/>
  <c r="BE23" i="15" s="1"/>
  <c r="BE25" i="15" s="1"/>
  <c r="BE27" i="15" s="1"/>
  <c r="BE32" i="15" s="1"/>
  <c r="BM10" i="15" l="1"/>
  <c r="BM11" i="15" s="1"/>
  <c r="BM8" i="15"/>
  <c r="BM39" i="15"/>
  <c r="BM35" i="15"/>
  <c r="BM38" i="15"/>
  <c r="BM37" i="15"/>
  <c r="BM36" i="15"/>
  <c r="BM17" i="15" l="1"/>
  <c r="BM23" i="15" l="1"/>
  <c r="BM40" i="15"/>
  <c r="BM44" i="15" l="1"/>
  <c r="BM25" i="15"/>
  <c r="BM27" i="15" s="1"/>
  <c r="BM32" i="15" s="1"/>
  <c r="BM43"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CRISIL</author>
    <author>Crisil Intergral IQ</author>
    <author>GR&amp;RS</author>
    <author>Vijay Nema</author>
    <author>Rishabh Saraf</author>
  </authors>
  <commentList>
    <comment ref="K9" authorId="0" shapeId="0" xr:uid="{5F0A143A-C01C-4E21-9F5D-EF3765640BCD}">
      <text>
        <r>
          <rPr>
            <b/>
            <sz val="9"/>
            <color indexed="81"/>
            <rFont val="Tahoma"/>
            <family val="2"/>
          </rPr>
          <t>CRISIL:</t>
        </r>
        <r>
          <rPr>
            <sz val="9"/>
            <color indexed="81"/>
            <rFont val="Tahoma"/>
            <family val="2"/>
          </rPr>
          <t xml:space="preserve">
Net Financial Debt: Consolidated Liabilities bearing interests minus Cash, namely: (i) other current financial liabilities, plus (ii) other non-current financial liabilities, less (iii) the sum of cash and cash equivalents; other current financial assets; and otherfinancial assets (to the extent that they correspond to the asset balances of derivative financial instruments, entered to cover exchange rate risks or interest rate risks on financial liabilities).</t>
        </r>
      </text>
    </comment>
    <comment ref="J114" authorId="0" shapeId="0" xr:uid="{277F9A78-D153-47C1-A5EC-73FBC592F0B2}">
      <text>
        <r>
          <rPr>
            <b/>
            <sz val="9"/>
            <color indexed="81"/>
            <rFont val="Tahoma"/>
            <family val="2"/>
          </rPr>
          <t>CRISIL:</t>
        </r>
        <r>
          <rPr>
            <sz val="9"/>
            <color indexed="81"/>
            <rFont val="Tahoma"/>
            <family val="2"/>
          </rPr>
          <t xml:space="preserve">
Other Current Financial Debt + Other Non-Current Financial Debt considering MtM of Derivatives and without Guarantee Deposit from refillable bottles</t>
        </r>
      </text>
    </comment>
    <comment ref="J162" authorId="0" shapeId="0" xr:uid="{F8395652-6CEB-4926-BF1C-4F2B56D03415}">
      <text>
        <r>
          <rPr>
            <b/>
            <sz val="9"/>
            <color indexed="81"/>
            <rFont val="Tahoma"/>
            <family val="2"/>
          </rPr>
          <t>CRISIL:</t>
        </r>
        <r>
          <rPr>
            <sz val="9"/>
            <color indexed="81"/>
            <rFont val="Tahoma"/>
            <family val="2"/>
          </rPr>
          <t xml:space="preserve">
Other Current Financial Debt + Other Non-Current Financial Debt considering MtM of Derivatives and without Guarantee Deposit from refillable bottles</t>
        </r>
      </text>
    </comment>
    <comment ref="J209" authorId="0" shapeId="0" xr:uid="{244E38D7-AFC6-4F2F-8B14-099EE038F7F2}">
      <text>
        <r>
          <rPr>
            <b/>
            <sz val="9"/>
            <color indexed="81"/>
            <rFont val="Tahoma"/>
            <family val="2"/>
          </rPr>
          <t>CRISIL:</t>
        </r>
        <r>
          <rPr>
            <sz val="9"/>
            <color indexed="81"/>
            <rFont val="Tahoma"/>
            <family val="2"/>
          </rPr>
          <t xml:space="preserve">
Other Current Financial Debt + Other Non-Current Financial Debt considering MtM of Derivatives and without Guarantee Deposit from refillable bottles</t>
        </r>
      </text>
    </comment>
    <comment ref="J304" authorId="1" shapeId="0" xr:uid="{326FAA80-E88E-4FB2-89EE-642CFB9F0BA4}">
      <text>
        <r>
          <rPr>
            <b/>
            <sz val="9"/>
            <color indexed="81"/>
            <rFont val="Tahoma"/>
            <family val="2"/>
          </rPr>
          <t>Crisil Intergral IQ:</t>
        </r>
        <r>
          <rPr>
            <sz val="9"/>
            <color indexed="81"/>
            <rFont val="Tahoma"/>
            <family val="2"/>
          </rPr>
          <t xml:space="preserve">
To be updated once PPT is available</t>
        </r>
      </text>
    </comment>
    <comment ref="J595" authorId="2" shapeId="0" xr:uid="{8B14B538-D9C5-433A-A85A-165B43986140}">
      <text>
        <r>
          <rPr>
            <b/>
            <sz val="9"/>
            <color indexed="81"/>
            <rFont val="Tahoma"/>
            <family val="2"/>
          </rPr>
          <t>GR&amp;RS:</t>
        </r>
        <r>
          <rPr>
            <sz val="9"/>
            <color indexed="81"/>
            <rFont val="Tahoma"/>
            <family val="2"/>
          </rPr>
          <t xml:space="preserve">
As reported in companys PPT</t>
        </r>
      </text>
    </comment>
    <comment ref="J641" authorId="2" shapeId="0" xr:uid="{8D1D3EB8-2CAC-46C6-8806-8208DC15C769}">
      <text>
        <r>
          <rPr>
            <b/>
            <sz val="9"/>
            <color indexed="81"/>
            <rFont val="Tahoma"/>
            <family val="2"/>
          </rPr>
          <t>GR&amp;RS:</t>
        </r>
        <r>
          <rPr>
            <sz val="9"/>
            <color indexed="81"/>
            <rFont val="Tahoma"/>
            <family val="2"/>
          </rPr>
          <t xml:space="preserve">
As reported in companys PPT</t>
        </r>
      </text>
    </comment>
    <comment ref="C712" authorId="0" shapeId="0" xr:uid="{A584CD95-48B9-4F37-8C03-75E1326B869C}">
      <text>
        <r>
          <rPr>
            <b/>
            <sz val="9"/>
            <color indexed="81"/>
            <rFont val="Tahoma"/>
            <family val="2"/>
          </rPr>
          <t>CRISIL:</t>
        </r>
        <r>
          <rPr>
            <sz val="9"/>
            <color indexed="81"/>
            <rFont val="Tahoma"/>
            <family val="2"/>
          </rPr>
          <t xml:space="preserve">
not reported</t>
        </r>
      </text>
    </comment>
    <comment ref="C758" authorId="0" shapeId="0" xr:uid="{60DE5CED-20C4-481E-BE5C-0FCF2518CA94}">
      <text>
        <r>
          <rPr>
            <b/>
            <sz val="9"/>
            <color indexed="81"/>
            <rFont val="Tahoma"/>
            <family val="2"/>
          </rPr>
          <t>CRISIL:</t>
        </r>
        <r>
          <rPr>
            <sz val="9"/>
            <color indexed="81"/>
            <rFont val="Tahoma"/>
            <family val="2"/>
          </rPr>
          <t xml:space="preserve">
not reported</t>
        </r>
      </text>
    </comment>
    <comment ref="I780" authorId="3" shapeId="0" xr:uid="{C679C2AA-4261-49AE-9045-027735C0F5C0}">
      <text>
        <r>
          <rPr>
            <sz val="9"/>
            <color indexed="81"/>
            <rFont val="Tahoma"/>
            <family val="2"/>
          </rPr>
          <t>Bonds, Bank, Leasing &amp; Others, not consider Guarantee Deposits from Returnable Bottles</t>
        </r>
      </text>
    </comment>
    <comment ref="C804" authorId="0" shapeId="0" xr:uid="{509BBA91-0D99-492A-BAC9-891707786F2A}">
      <text>
        <r>
          <rPr>
            <b/>
            <sz val="9"/>
            <color indexed="81"/>
            <rFont val="Tahoma"/>
            <family val="2"/>
          </rPr>
          <t>CRISIL:</t>
        </r>
        <r>
          <rPr>
            <sz val="9"/>
            <color indexed="81"/>
            <rFont val="Tahoma"/>
            <family val="2"/>
          </rPr>
          <t xml:space="preserve">
not reported</t>
        </r>
      </text>
    </comment>
    <comment ref="I825" authorId="3" shapeId="0" xr:uid="{E042DE5D-17AA-41CF-8A0D-0C8D05F69CB1}">
      <text>
        <r>
          <rPr>
            <sz val="9"/>
            <color indexed="81"/>
            <rFont val="Tahoma"/>
            <family val="2"/>
          </rPr>
          <t>Bonds, Bank, Leasing &amp; Others, not consider Guarantee Deposits from Returnable Bottles</t>
        </r>
      </text>
    </comment>
    <comment ref="C849" authorId="0" shapeId="0" xr:uid="{35ECE44D-B6A5-4594-8BEA-A9AB38036FD8}">
      <text>
        <r>
          <rPr>
            <b/>
            <sz val="9"/>
            <color indexed="81"/>
            <rFont val="Tahoma"/>
            <family val="2"/>
          </rPr>
          <t>CRISIL:</t>
        </r>
        <r>
          <rPr>
            <sz val="9"/>
            <color indexed="81"/>
            <rFont val="Tahoma"/>
            <family val="2"/>
          </rPr>
          <t xml:space="preserve">
not reported</t>
        </r>
      </text>
    </comment>
    <comment ref="I868" authorId="3" shapeId="0" xr:uid="{1760E308-9A5D-4CC2-BE73-ABE41786050F}">
      <text>
        <r>
          <rPr>
            <sz val="9"/>
            <color indexed="81"/>
            <rFont val="Tahoma"/>
            <family val="2"/>
          </rPr>
          <t>Bonds, Bank, Leasing &amp; Others, not consider Guarantee Deposits from Returnable Bottles</t>
        </r>
      </text>
    </comment>
    <comment ref="C892" authorId="0" shapeId="0" xr:uid="{71FC395B-6BEC-4B24-970D-85D18350155E}">
      <text>
        <r>
          <rPr>
            <b/>
            <sz val="9"/>
            <color indexed="81"/>
            <rFont val="Tahoma"/>
            <family val="2"/>
          </rPr>
          <t>CRISIL:</t>
        </r>
        <r>
          <rPr>
            <sz val="9"/>
            <color indexed="81"/>
            <rFont val="Tahoma"/>
            <family val="2"/>
          </rPr>
          <t xml:space="preserve">
not reported</t>
        </r>
      </text>
    </comment>
    <comment ref="I910" authorId="3" shapeId="0" xr:uid="{00000000-0006-0000-0000-000001000000}">
      <text>
        <r>
          <rPr>
            <sz val="9"/>
            <color indexed="81"/>
            <rFont val="Tahoma"/>
            <family val="2"/>
          </rPr>
          <t>Bonds, Bank, Leasing &amp; Others, not consider Guarantee Deposits from Returnable Bottles</t>
        </r>
      </text>
    </comment>
    <comment ref="J910" authorId="4" shapeId="0" xr:uid="{00000000-0006-0000-0000-000002000000}">
      <text>
        <r>
          <rPr>
            <sz val="9"/>
            <color indexed="81"/>
            <rFont val="Tahoma"/>
            <family val="2"/>
          </rPr>
          <t>presentation unavailable</t>
        </r>
      </text>
    </comment>
    <comment ref="C934" authorId="0" shapeId="0" xr:uid="{00000000-0006-0000-0000-000003000000}">
      <text>
        <r>
          <rPr>
            <b/>
            <sz val="9"/>
            <color indexed="81"/>
            <rFont val="Tahoma"/>
            <family val="2"/>
          </rPr>
          <t>CRISIL:</t>
        </r>
        <r>
          <rPr>
            <sz val="9"/>
            <color indexed="81"/>
            <rFont val="Tahoma"/>
            <family val="2"/>
          </rPr>
          <t xml:space="preserve">
To be updated from PPT</t>
        </r>
      </text>
    </comment>
    <comment ref="I953" authorId="3" shapeId="0" xr:uid="{00000000-0006-0000-0000-000004000000}">
      <text>
        <r>
          <rPr>
            <sz val="9"/>
            <color indexed="81"/>
            <rFont val="Tahoma"/>
            <family val="2"/>
          </rPr>
          <t>Bonds, Bank, Leasing &amp; Others, not consider Guarantee Deposits from Returnable Bottles</t>
        </r>
      </text>
    </comment>
    <comment ref="I996" authorId="3" shapeId="0" xr:uid="{00000000-0006-0000-0000-000005000000}">
      <text>
        <r>
          <rPr>
            <sz val="9"/>
            <color indexed="81"/>
            <rFont val="Tahoma"/>
            <family val="2"/>
          </rPr>
          <t>Bonds, Bank, Leasing &amp; Others, not consider Guarantee Deposits from Returnable Bottles</t>
        </r>
      </text>
    </comment>
    <comment ref="J996" authorId="4" shapeId="0" xr:uid="{00000000-0006-0000-0000-000006000000}">
      <text>
        <r>
          <rPr>
            <sz val="9"/>
            <color indexed="81"/>
            <rFont val="Tahoma"/>
            <family val="2"/>
          </rPr>
          <t>presentation unavailable</t>
        </r>
      </text>
    </comment>
    <comment ref="I1039" authorId="3" shapeId="0" xr:uid="{00000000-0006-0000-0000-000007000000}">
      <text>
        <r>
          <rPr>
            <sz val="9"/>
            <color indexed="81"/>
            <rFont val="Tahoma"/>
            <family val="2"/>
          </rPr>
          <t>Bonds, Bank, Leasing &amp; Others, not consider Guarantee Deposits from Returnable Bottles</t>
        </r>
      </text>
    </comment>
    <comment ref="J1039" authorId="4" shapeId="0" xr:uid="{00000000-0006-0000-0000-000008000000}">
      <text>
        <r>
          <rPr>
            <sz val="9"/>
            <color indexed="81"/>
            <rFont val="Tahoma"/>
            <family val="2"/>
          </rPr>
          <t>presentation unavailable</t>
        </r>
      </text>
    </comment>
    <comment ref="D1065" authorId="4" shapeId="0" xr:uid="{00000000-0006-0000-0000-000009000000}">
      <text>
        <r>
          <rPr>
            <sz val="9"/>
            <color indexed="81"/>
            <rFont val="Tahoma"/>
            <family val="2"/>
          </rPr>
          <t>presentation unavailable</t>
        </r>
      </text>
    </comment>
    <comment ref="I1082" authorId="3" shapeId="0" xr:uid="{00000000-0006-0000-0000-00000A000000}">
      <text>
        <r>
          <rPr>
            <sz val="9"/>
            <color indexed="81"/>
            <rFont val="Tahoma"/>
            <family val="2"/>
          </rPr>
          <t>Bonds, Bank, Leasing &amp; Others, not consider Guarantee Deposits from Returnable Bottles</t>
        </r>
      </text>
    </comment>
    <comment ref="C1106" authorId="4" shapeId="0" xr:uid="{00000000-0006-0000-0000-00000B000000}">
      <text>
        <r>
          <rPr>
            <sz val="9"/>
            <color indexed="81"/>
            <rFont val="Tahoma"/>
            <family val="2"/>
          </rPr>
          <t>From presentation</t>
        </r>
      </text>
    </comment>
    <comment ref="D1114" authorId="4" shapeId="0" xr:uid="{00000000-0006-0000-0000-00000C000000}">
      <text>
        <r>
          <rPr>
            <b/>
            <sz val="9"/>
            <color indexed="81"/>
            <rFont val="Tahoma"/>
            <family val="2"/>
          </rPr>
          <t>Rishabh Saraf:</t>
        </r>
        <r>
          <rPr>
            <sz val="9"/>
            <color indexed="81"/>
            <rFont val="Tahoma"/>
            <family val="2"/>
          </rPr>
          <t xml:space="preserve">
There are gap in the amortisation number reported in the PPT.</t>
        </r>
      </text>
    </comment>
    <comment ref="I1125" authorId="3" shapeId="0" xr:uid="{00000000-0006-0000-0000-00000D000000}">
      <text>
        <r>
          <rPr>
            <sz val="9"/>
            <color indexed="81"/>
            <rFont val="Tahoma"/>
            <family val="2"/>
          </rPr>
          <t>Bonds, Bank, Leasing &amp; Others, not consider Guarantee Deposits from Returnable Bottles</t>
        </r>
      </text>
    </comment>
    <comment ref="C1149" authorId="4" shapeId="0" xr:uid="{00000000-0006-0000-0000-00000E000000}">
      <text>
        <r>
          <rPr>
            <sz val="9"/>
            <color indexed="81"/>
            <rFont val="Tahoma"/>
            <family val="2"/>
          </rPr>
          <t>From presentation</t>
        </r>
      </text>
    </comment>
    <comment ref="D1157" authorId="4" shapeId="0" xr:uid="{00000000-0006-0000-0000-00000F000000}">
      <text>
        <r>
          <rPr>
            <b/>
            <sz val="9"/>
            <color indexed="81"/>
            <rFont val="Tahoma"/>
            <family val="2"/>
          </rPr>
          <t>Rishabh Saraf:</t>
        </r>
        <r>
          <rPr>
            <sz val="9"/>
            <color indexed="81"/>
            <rFont val="Tahoma"/>
            <family val="2"/>
          </rPr>
          <t xml:space="preserve">
There are gap in the amortisation number reported in the PPT.</t>
        </r>
      </text>
    </comment>
    <comment ref="I1169" authorId="3" shapeId="0" xr:uid="{00000000-0006-0000-0000-000010000000}">
      <text>
        <r>
          <rPr>
            <sz val="9"/>
            <color indexed="81"/>
            <rFont val="Tahoma"/>
            <family val="2"/>
          </rPr>
          <t>Includes Bank, Bonds, Leasing, Derivatives &amp; Warrantee Deposits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CRISIL</author>
    <author>PradeepG</author>
    <author>Meghana Ramesh Gollapudi</author>
    <author>CRISL GR&amp;RS</author>
    <author>Crisil GR&amp;A</author>
    <author>CRISIL GR&amp;A</author>
  </authors>
  <commentList>
    <comment ref="BC6" authorId="0" shapeId="0" xr:uid="{2FFE91DD-AD9D-4AFD-81E4-CC7B664B87AD}">
      <text>
        <r>
          <rPr>
            <b/>
            <sz val="9"/>
            <color indexed="81"/>
            <rFont val="Tahoma"/>
            <family val="2"/>
          </rPr>
          <t>CRISIL:</t>
        </r>
        <r>
          <rPr>
            <sz val="9"/>
            <color indexed="81"/>
            <rFont val="Tahoma"/>
            <family val="2"/>
          </rPr>
          <t xml:space="preserve">
The company restates all quarters due to hyperinflation in Argentina but only shares the cummulative YTD figures. We have used the derived FX adjustment to calculate the adjustment IS using the derived FX rate</t>
        </r>
      </text>
    </comment>
    <comment ref="BD6" authorId="0" shapeId="0" xr:uid="{28658A8F-3217-403A-8760-2535EA6C5C52}">
      <text>
        <r>
          <rPr>
            <b/>
            <sz val="9"/>
            <color indexed="81"/>
            <rFont val="Tahoma"/>
            <family val="2"/>
          </rPr>
          <t>CRISIL:</t>
        </r>
        <r>
          <rPr>
            <sz val="9"/>
            <color indexed="81"/>
            <rFont val="Tahoma"/>
            <family val="2"/>
          </rPr>
          <t xml:space="preserve">
The company restates all quarters due to hyperinflation in Argentina but only shares the cummulative YTD figures. We have used the derived FX adjustment to calculate the adjustment IS using the derived FX rate</t>
        </r>
      </text>
    </comment>
    <comment ref="BE6" authorId="0" shapeId="0" xr:uid="{81BC60E6-A1A1-4CA7-823A-B6AD5F7F5B30}">
      <text>
        <r>
          <rPr>
            <b/>
            <sz val="9"/>
            <color indexed="81"/>
            <rFont val="Tahoma"/>
            <family val="2"/>
          </rPr>
          <t>CRISIL:</t>
        </r>
        <r>
          <rPr>
            <sz val="9"/>
            <color indexed="81"/>
            <rFont val="Tahoma"/>
            <family val="2"/>
          </rPr>
          <t xml:space="preserve">
The company restates all quarters due to hyperinflation in Argentina but only shares the cummulative YTD figures. We have used the derived FX adjustment to calculate the adjustment IS using the derived FX rate</t>
        </r>
      </text>
    </comment>
    <comment ref="BF6" authorId="0" shapeId="0" xr:uid="{08F54B56-48BA-4FD1-ADF6-B51FDAB54314}">
      <text>
        <r>
          <rPr>
            <b/>
            <sz val="9"/>
            <color indexed="81"/>
            <rFont val="Tahoma"/>
            <family val="2"/>
          </rPr>
          <t>CRISIL:</t>
        </r>
        <r>
          <rPr>
            <sz val="9"/>
            <color indexed="81"/>
            <rFont val="Tahoma"/>
            <family val="2"/>
          </rPr>
          <t xml:space="preserve">
Uses the latest FX adjustment, hence not required to adjsut for inflation</t>
        </r>
      </text>
    </comment>
    <comment ref="BG6" authorId="0" shapeId="0" xr:uid="{E42FE548-F289-435C-919C-2FF8FDF936C0}">
      <text>
        <r>
          <rPr>
            <b/>
            <sz val="9"/>
            <color indexed="81"/>
            <rFont val="Tahoma"/>
            <family val="2"/>
          </rPr>
          <t>CRISIL:</t>
        </r>
        <r>
          <rPr>
            <sz val="9"/>
            <color indexed="81"/>
            <rFont val="Tahoma"/>
            <family val="2"/>
          </rPr>
          <t xml:space="preserve">
The company restates all quarters due to hyperinflation in Argentina but only shares the cummulative YTD figures. We have used the derived FX adjustment to calculate the adjustment IS using the derived FX rate</t>
        </r>
      </text>
    </comment>
    <comment ref="BH6" authorId="0" shapeId="0" xr:uid="{36A19662-496B-4376-BFF4-9C07C51CE181}">
      <text>
        <r>
          <rPr>
            <b/>
            <sz val="9"/>
            <color indexed="81"/>
            <rFont val="Tahoma"/>
            <family val="2"/>
          </rPr>
          <t>CRISIL:</t>
        </r>
        <r>
          <rPr>
            <sz val="9"/>
            <color indexed="81"/>
            <rFont val="Tahoma"/>
            <family val="2"/>
          </rPr>
          <t xml:space="preserve">
The company restates all quarters due to hyperinflation in Argentina but only shares the cummulative YTD figures. We have used the derived FX adjustment to calculate the adjustment IS using the derived FX rate</t>
        </r>
      </text>
    </comment>
    <comment ref="BI6" authorId="0" shapeId="0" xr:uid="{FD400D1A-07D8-407F-8ADE-732F6BD34715}">
      <text>
        <r>
          <rPr>
            <b/>
            <sz val="9"/>
            <color indexed="81"/>
            <rFont val="Tahoma"/>
            <family val="2"/>
          </rPr>
          <t>CRISIL:</t>
        </r>
        <r>
          <rPr>
            <sz val="9"/>
            <color indexed="81"/>
            <rFont val="Tahoma"/>
            <family val="2"/>
          </rPr>
          <t xml:space="preserve">
The company restates all quarters due to hyperinflation in Argentina but only shares the cummulative YTD figures. We have used the derived FX adjustment to calculate the adjustment IS using the derived FX rate</t>
        </r>
      </text>
    </comment>
    <comment ref="BK6" authorId="0" shapeId="0" xr:uid="{4624FC88-0517-4BC8-AE13-CDBF9E8FDE43}">
      <text>
        <r>
          <rPr>
            <b/>
            <sz val="9"/>
            <color indexed="81"/>
            <rFont val="Tahoma"/>
            <family val="2"/>
          </rPr>
          <t>CRISIL:</t>
        </r>
        <r>
          <rPr>
            <sz val="9"/>
            <color indexed="81"/>
            <rFont val="Tahoma"/>
            <family val="2"/>
          </rPr>
          <t xml:space="preserve">
The company restates all quarters due to hyperinflation in Argentina but only shares the cummulative YTD figures. We have used the derived FX adjustment to calculate the adjustment IS using the derived FX rate</t>
        </r>
      </text>
    </comment>
    <comment ref="BM6" authorId="0" shapeId="0" xr:uid="{F508E933-8921-4946-A3D8-3F566BA4DA5C}">
      <text>
        <r>
          <rPr>
            <b/>
            <sz val="9"/>
            <color indexed="81"/>
            <rFont val="Tahoma"/>
            <family val="2"/>
          </rPr>
          <t>CRISIL:</t>
        </r>
        <r>
          <rPr>
            <sz val="9"/>
            <color indexed="81"/>
            <rFont val="Tahoma"/>
            <family val="2"/>
          </rPr>
          <t xml:space="preserve">
The company restates all quarters due to hyperinflation in Argentina but only shares the cummulative YTD figures. We have used the derived FX adjustment to calculate the adjustment IS using the derived FX rate</t>
        </r>
      </text>
    </comment>
    <comment ref="BN6" authorId="0" shapeId="0" xr:uid="{31499E3F-E227-4B93-892F-40573279178E}">
      <text>
        <r>
          <rPr>
            <b/>
            <sz val="9"/>
            <color indexed="81"/>
            <rFont val="Tahoma"/>
            <family val="2"/>
          </rPr>
          <t>CRISIL:</t>
        </r>
        <r>
          <rPr>
            <sz val="9"/>
            <color indexed="81"/>
            <rFont val="Tahoma"/>
            <family val="2"/>
          </rPr>
          <t xml:space="preserve">
The company restates all quarters due to hyperinflation in Argentina but only shares the cummulative YTD figures. We have used the derived FX adjustment to calculate the adjustment IS using the derived FX rate</t>
        </r>
      </text>
    </comment>
    <comment ref="BI32" authorId="1" shapeId="0" xr:uid="{D41F94D9-47E1-4ABA-8F21-EF7D42C8E2DC}">
      <text>
        <r>
          <rPr>
            <b/>
            <sz val="9"/>
            <color indexed="81"/>
            <rFont val="Tahoma"/>
            <family val="2"/>
          </rPr>
          <t>CRISIL GRA:</t>
        </r>
        <r>
          <rPr>
            <sz val="9"/>
            <color indexed="81"/>
            <rFont val="Tahoma"/>
            <family val="2"/>
          </rPr>
          <t xml:space="preserve">
Rounding off difference</t>
        </r>
      </text>
    </comment>
    <comment ref="BJ32" authorId="1" shapeId="0" xr:uid="{9212BFFF-FDED-4FB7-A077-958930BC3BFF}">
      <text>
        <r>
          <rPr>
            <b/>
            <sz val="9"/>
            <color indexed="81"/>
            <rFont val="Tahoma"/>
            <family val="2"/>
          </rPr>
          <t>CRISIL GRA:</t>
        </r>
        <r>
          <rPr>
            <sz val="9"/>
            <color indexed="81"/>
            <rFont val="Tahoma"/>
            <family val="2"/>
          </rPr>
          <t xml:space="preserve">
Rounding off difference</t>
        </r>
      </text>
    </comment>
    <comment ref="BM32" authorId="1" shapeId="0" xr:uid="{29900D81-1C33-49C7-A446-D474F32722C8}">
      <text>
        <r>
          <rPr>
            <b/>
            <sz val="9"/>
            <color indexed="81"/>
            <rFont val="Tahoma"/>
            <family val="2"/>
          </rPr>
          <t>CRISIL GRA:</t>
        </r>
        <r>
          <rPr>
            <sz val="9"/>
            <color indexed="81"/>
            <rFont val="Tahoma"/>
            <family val="2"/>
          </rPr>
          <t xml:space="preserve">
Rounding off difference</t>
        </r>
      </text>
    </comment>
    <comment ref="BN32" authorId="1" shapeId="0" xr:uid="{8A116FBE-B3FD-4C80-9981-690D1AFFF3E0}">
      <text>
        <r>
          <rPr>
            <b/>
            <sz val="9"/>
            <color indexed="81"/>
            <rFont val="Tahoma"/>
            <family val="2"/>
          </rPr>
          <t>CRISIL GRA:</t>
        </r>
        <r>
          <rPr>
            <sz val="9"/>
            <color indexed="81"/>
            <rFont val="Tahoma"/>
            <family val="2"/>
          </rPr>
          <t xml:space="preserve">
Rounding off difference</t>
        </r>
      </text>
    </comment>
    <comment ref="B63" authorId="0" shapeId="0" xr:uid="{3A4D886A-0653-42FB-B9F9-51DD9732B33A}">
      <text>
        <r>
          <rPr>
            <b/>
            <sz val="9"/>
            <color indexed="81"/>
            <rFont val="Tahoma"/>
            <family val="2"/>
          </rPr>
          <t>CRISIL:</t>
        </r>
        <r>
          <rPr>
            <sz val="9"/>
            <color indexed="81"/>
            <rFont val="Tahoma"/>
            <family val="2"/>
          </rPr>
          <t xml:space="preserve">
Includes items from direct cash flow method: (as suggested by analyst - Yejide)
1. Collections from sales of goods and services (including withholding taxes)
2. Payments to suppliers for the supply of goods and services (including withholding taxes)
3. Payments to and on behalf of employees
4. Other payments for operating activities (value added tax and similar)
</t>
        </r>
      </text>
    </comment>
    <comment ref="J70" authorId="2" shapeId="0" xr:uid="{00000000-0006-0000-0100-000001000000}">
      <text>
        <r>
          <rPr>
            <sz val="9"/>
            <color indexed="81"/>
            <rFont val="Tahoma"/>
            <family val="2"/>
          </rPr>
          <t xml:space="preserve">payments &amp; collections from forward, option, swap contracts; other payments
</t>
        </r>
      </text>
    </comment>
    <comment ref="K70" authorId="2" shapeId="0" xr:uid="{A2D653C4-2565-4773-9C38-2BCA0B80810C}">
      <text>
        <r>
          <rPr>
            <sz val="9"/>
            <color indexed="81"/>
            <rFont val="Tahoma"/>
            <family val="2"/>
          </rPr>
          <t xml:space="preserve">payments &amp; collections from forward, option, swap contracts; other payments
</t>
        </r>
      </text>
    </comment>
    <comment ref="O70" authorId="0" shapeId="0" xr:uid="{A2585B2D-53B9-4E60-9B4E-9E090E33EE32}">
      <text>
        <r>
          <rPr>
            <b/>
            <sz val="9"/>
            <color indexed="81"/>
            <rFont val="Tahoma"/>
            <family val="2"/>
          </rPr>
          <t>CRISIL:</t>
        </r>
        <r>
          <rPr>
            <sz val="9"/>
            <color indexed="81"/>
            <rFont val="Tahoma"/>
            <family val="2"/>
          </rPr>
          <t xml:space="preserve">
Includes:
* Amounts from the sale (purchase) of current financial assets: 27,785.812
* Other cash inflows (outflows): 1,289.585 </t>
        </r>
      </text>
    </comment>
    <comment ref="AV70" authorId="0" shapeId="0" xr:uid="{6FBD30C6-A69D-45C1-B066-0B0F9190B97C}">
      <text>
        <r>
          <rPr>
            <b/>
            <sz val="9"/>
            <color indexed="81"/>
            <rFont val="Tahoma"/>
            <family val="2"/>
          </rPr>
          <t>CRISIL:</t>
        </r>
        <r>
          <rPr>
            <sz val="9"/>
            <color indexed="81"/>
            <rFont val="Tahoma"/>
            <family val="2"/>
          </rPr>
          <t xml:space="preserve">
9M includes:
* Payment on forward, term option and financial exchange agreements : 72,785.812
* Collection on forward, term, option and financial exchange agreements: (1,385.793)</t>
        </r>
      </text>
    </comment>
    <comment ref="AX70" authorId="0" shapeId="0" xr:uid="{59E6C8A6-C683-4E9C-93C3-E9F65E86413B}">
      <text>
        <r>
          <rPr>
            <b/>
            <sz val="9"/>
            <color indexed="81"/>
            <rFont val="Tahoma"/>
            <family val="2"/>
          </rPr>
          <t>CRISIL:</t>
        </r>
        <r>
          <rPr>
            <sz val="9"/>
            <color indexed="81"/>
            <rFont val="Tahoma"/>
            <family val="2"/>
          </rPr>
          <t xml:space="preserve">
3M includes:
* Other cash inflows (outflows): (4,215.390)
</t>
        </r>
      </text>
    </comment>
    <comment ref="O74" authorId="0" shapeId="0" xr:uid="{1EDC4318-19B4-4DE4-BAFD-F3ABB6C34DB5}">
      <text>
        <r>
          <rPr>
            <b/>
            <sz val="9"/>
            <color indexed="81"/>
            <rFont val="Tahoma"/>
            <family val="2"/>
          </rPr>
          <t>CRISIL:</t>
        </r>
        <r>
          <rPr>
            <sz val="9"/>
            <color indexed="81"/>
            <rFont val="Tahoma"/>
            <family val="2"/>
          </rPr>
          <t xml:space="preserve">
Includes:
* Collections (payments) of derivative instruments related to obligations to the public: (1,857.649)
* Payment of principal installments on obligations to the public: (18,425.349) </t>
        </r>
      </text>
    </comment>
    <comment ref="AV74" authorId="0" shapeId="0" xr:uid="{59851908-4DD7-4C7C-8CC9-75962B83EA1A}">
      <text>
        <r>
          <rPr>
            <b/>
            <sz val="9"/>
            <color indexed="81"/>
            <rFont val="Tahoma"/>
            <family val="2"/>
          </rPr>
          <t>CRISIL:</t>
        </r>
        <r>
          <rPr>
            <sz val="9"/>
            <color indexed="81"/>
            <rFont val="Tahoma"/>
            <family val="2"/>
          </rPr>
          <t xml:space="preserve">
9M includes: 
* Other cash inflows (outflows) (placement and payment of public debt):  (15,943.974)</t>
        </r>
      </text>
    </comment>
    <comment ref="AX74" authorId="0" shapeId="0" xr:uid="{E01FB235-06E7-4112-8FCB-22F73464CEF7}">
      <text>
        <r>
          <rPr>
            <b/>
            <sz val="9"/>
            <color indexed="81"/>
            <rFont val="Tahoma"/>
            <family val="2"/>
          </rPr>
          <t>CRISIL:</t>
        </r>
        <r>
          <rPr>
            <sz val="9"/>
            <color indexed="81"/>
            <rFont val="Tahoma"/>
            <family val="2"/>
          </rPr>
          <t xml:space="preserve">
3M includes:
* Collections (payments) of derivative instruments related to obligations to the public: (2,453.127)
</t>
        </r>
      </text>
    </comment>
    <comment ref="K77" authorId="3" shapeId="0" xr:uid="{5E5BCB06-36A5-4724-BE81-E08312D23BEB}">
      <text>
        <r>
          <rPr>
            <b/>
            <sz val="9"/>
            <color indexed="81"/>
            <rFont val="Tahoma"/>
            <family val="2"/>
          </rPr>
          <t>CRISL GR&amp;RS:</t>
        </r>
        <r>
          <rPr>
            <sz val="9"/>
            <color indexed="81"/>
            <rFont val="Tahoma"/>
            <family val="2"/>
          </rPr>
          <t xml:space="preserve">
Figure is high on account of few line items in operating activities not considered per our model like :
1. Payments on behalf of employees
2. Dividends receieved
3. Interest received.
These are not part of the operating profit in EBITDA calculation too. Hence the balancing figure is on a higher side</t>
        </r>
      </text>
    </comment>
    <comment ref="L77" authorId="3" shapeId="0" xr:uid="{FF93D78D-8FB0-4DCA-8445-F9C74AF8953D}">
      <text>
        <r>
          <rPr>
            <b/>
            <sz val="9"/>
            <color indexed="81"/>
            <rFont val="Tahoma"/>
            <family val="2"/>
          </rPr>
          <t>CRISL GR&amp;RS:</t>
        </r>
        <r>
          <rPr>
            <sz val="9"/>
            <color indexed="81"/>
            <rFont val="Tahoma"/>
            <family val="2"/>
          </rPr>
          <t xml:space="preserve">
Figure is high on account of few line items in operating activities not considered per our model like :
1. Payments on behalf of employees
2. Dividends receieved
3. Interest received.
These are not part of the operating profit in EBITDA calculation too. Hence the balancing figure is on a higher side</t>
        </r>
      </text>
    </comment>
    <comment ref="M77" authorId="3" shapeId="0" xr:uid="{04455586-333C-425F-AFEC-1831E8DD1BA2}">
      <text>
        <r>
          <rPr>
            <b/>
            <sz val="9"/>
            <color indexed="81"/>
            <rFont val="Tahoma"/>
            <family val="2"/>
          </rPr>
          <t>CRISL GR&amp;RS:</t>
        </r>
        <r>
          <rPr>
            <sz val="9"/>
            <color indexed="81"/>
            <rFont val="Tahoma"/>
            <family val="2"/>
          </rPr>
          <t xml:space="preserve">
Figure is high on account of few line items in operating activities not considered per our model like :
1. Payments on behalf of employees
2. Dividends receieved
3. Interest received.
These are not part of the operating profit in EBITDA calculation too. Hence the balancing figure is on a higher side</t>
        </r>
      </text>
    </comment>
    <comment ref="N77" authorId="3" shapeId="0" xr:uid="{1ED46027-AACE-480E-991F-F44FA4D5A61F}">
      <text>
        <r>
          <rPr>
            <b/>
            <sz val="9"/>
            <color indexed="81"/>
            <rFont val="Tahoma"/>
            <family val="2"/>
          </rPr>
          <t>CRISL GR&amp;RS:</t>
        </r>
        <r>
          <rPr>
            <sz val="9"/>
            <color indexed="81"/>
            <rFont val="Tahoma"/>
            <family val="2"/>
          </rPr>
          <t xml:space="preserve">
Figure is high on account of few line items in operating activities not considered per our model like :
1. Payments on behalf of employees
2. Dividends receieved
3. Interest received.
These are not part of the operating profit in EBITDA calculation too. Hence the balancing figure is on a higher side</t>
        </r>
      </text>
    </comment>
    <comment ref="O77" authorId="3" shapeId="0" xr:uid="{F26D84FD-91D7-47EB-8CAD-2C048C4F1FCA}">
      <text>
        <r>
          <rPr>
            <b/>
            <sz val="9"/>
            <color indexed="81"/>
            <rFont val="Tahoma"/>
            <family val="2"/>
          </rPr>
          <t>CRISL GR&amp;RS:</t>
        </r>
        <r>
          <rPr>
            <sz val="9"/>
            <color indexed="81"/>
            <rFont val="Tahoma"/>
            <family val="2"/>
          </rPr>
          <t xml:space="preserve">
Figure is high on account of considering line items direclty from direct cash flow method.These are not part of the operating profit in EBITDA calculation too. Hence the balancing figure is on a higher side</t>
        </r>
      </text>
    </comment>
    <comment ref="R77" authorId="3" shapeId="0" xr:uid="{998B198B-1403-4664-9709-A34BAEE94F1C}">
      <text>
        <r>
          <rPr>
            <b/>
            <sz val="9"/>
            <color indexed="81"/>
            <rFont val="Tahoma"/>
            <family val="2"/>
          </rPr>
          <t>CRISL GR&amp;RS:</t>
        </r>
        <r>
          <rPr>
            <sz val="9"/>
            <color indexed="81"/>
            <rFont val="Tahoma"/>
            <family val="2"/>
          </rPr>
          <t xml:space="preserve">
Figure is high on account of difference between reported and calcualted cash flow from operating activities</t>
        </r>
      </text>
    </comment>
    <comment ref="S77" authorId="3" shapeId="0" xr:uid="{087A5025-BB36-4071-B3E7-67ABA6DF6911}">
      <text>
        <r>
          <rPr>
            <b/>
            <sz val="9"/>
            <color indexed="81"/>
            <rFont val="Tahoma"/>
            <family val="2"/>
          </rPr>
          <t>CRISL GR&amp;RS:</t>
        </r>
        <r>
          <rPr>
            <sz val="9"/>
            <color indexed="81"/>
            <rFont val="Tahoma"/>
            <family val="2"/>
          </rPr>
          <t xml:space="preserve">
Figure is high on account of difference between reported and calcualted cash flow from operating activities</t>
        </r>
      </text>
    </comment>
    <comment ref="T77" authorId="3" shapeId="0" xr:uid="{0ACB938E-FF2B-4826-BD5E-7889C49488FC}">
      <text>
        <r>
          <rPr>
            <b/>
            <sz val="9"/>
            <color indexed="81"/>
            <rFont val="Tahoma"/>
            <family val="2"/>
          </rPr>
          <t>CRISL GR&amp;RS:</t>
        </r>
        <r>
          <rPr>
            <sz val="9"/>
            <color indexed="81"/>
            <rFont val="Tahoma"/>
            <family val="2"/>
          </rPr>
          <t xml:space="preserve">
Figure is high on account of difference between reported and calcualted cash flow from operating activities</t>
        </r>
      </text>
    </comment>
    <comment ref="U77" authorId="3" shapeId="0" xr:uid="{A1038DD7-2D9A-4C38-985C-2EAB1519BB50}">
      <text>
        <r>
          <rPr>
            <b/>
            <sz val="9"/>
            <color indexed="81"/>
            <rFont val="Tahoma"/>
            <family val="2"/>
          </rPr>
          <t>CRISL GR&amp;RS:</t>
        </r>
        <r>
          <rPr>
            <sz val="9"/>
            <color indexed="81"/>
            <rFont val="Tahoma"/>
            <family val="2"/>
          </rPr>
          <t xml:space="preserve">
Figure is high on account of difference between reported and calcualted cash flow from operating activities</t>
        </r>
      </text>
    </comment>
    <comment ref="V77" authorId="3" shapeId="0" xr:uid="{5ABD0D6E-527E-403D-B3FF-7B03DC267EAE}">
      <text>
        <r>
          <rPr>
            <b/>
            <sz val="9"/>
            <color indexed="81"/>
            <rFont val="Tahoma"/>
            <family val="2"/>
          </rPr>
          <t>CRISL GR&amp;RS:</t>
        </r>
        <r>
          <rPr>
            <sz val="9"/>
            <color indexed="81"/>
            <rFont val="Tahoma"/>
            <family val="2"/>
          </rPr>
          <t xml:space="preserve">
Figure is high on account of difference between reported and calcualted cash flow from operating activities</t>
        </r>
      </text>
    </comment>
    <comment ref="W77" authorId="3" shapeId="0" xr:uid="{C0F60977-8A1D-468C-A9B1-13BE7410A684}">
      <text>
        <r>
          <rPr>
            <b/>
            <sz val="9"/>
            <color indexed="81"/>
            <rFont val="Tahoma"/>
            <family val="2"/>
          </rPr>
          <t>CRISL GR&amp;RS:</t>
        </r>
        <r>
          <rPr>
            <sz val="9"/>
            <color indexed="81"/>
            <rFont val="Tahoma"/>
            <family val="2"/>
          </rPr>
          <t xml:space="preserve">
Figure is high on account of difference between reported and calcualted cash flow from operating activities</t>
        </r>
      </text>
    </comment>
    <comment ref="X77" authorId="3" shapeId="0" xr:uid="{2B87C54D-945D-4F48-AC25-8387FF686620}">
      <text>
        <r>
          <rPr>
            <b/>
            <sz val="9"/>
            <color indexed="81"/>
            <rFont val="Tahoma"/>
            <family val="2"/>
          </rPr>
          <t>CRISL GR&amp;RS:</t>
        </r>
        <r>
          <rPr>
            <sz val="9"/>
            <color indexed="81"/>
            <rFont val="Tahoma"/>
            <family val="2"/>
          </rPr>
          <t xml:space="preserve">
Figure is high on account of difference between reported and calcualted cash flow from operating activities</t>
        </r>
      </text>
    </comment>
    <comment ref="Y77" authorId="3" shapeId="0" xr:uid="{04D10EC4-9EFD-45C0-A3A5-89E1F14ABC49}">
      <text>
        <r>
          <rPr>
            <b/>
            <sz val="9"/>
            <color indexed="81"/>
            <rFont val="Tahoma"/>
            <family val="2"/>
          </rPr>
          <t>CRISL GR&amp;RS:</t>
        </r>
        <r>
          <rPr>
            <sz val="9"/>
            <color indexed="81"/>
            <rFont val="Tahoma"/>
            <family val="2"/>
          </rPr>
          <t xml:space="preserve">
Figure is high on account of difference between reported and calcualted cash flow from operating activities</t>
        </r>
      </text>
    </comment>
    <comment ref="Z77" authorId="3" shapeId="0" xr:uid="{00E35D73-279A-4BE5-9F66-C47ED4F024B1}">
      <text>
        <r>
          <rPr>
            <b/>
            <sz val="9"/>
            <color indexed="81"/>
            <rFont val="Tahoma"/>
            <family val="2"/>
          </rPr>
          <t>CRISL GR&amp;RS:</t>
        </r>
        <r>
          <rPr>
            <sz val="9"/>
            <color indexed="81"/>
            <rFont val="Tahoma"/>
            <family val="2"/>
          </rPr>
          <t xml:space="preserve">
Figure is high on account of difference between reported and calcualted cash flow from operating activities</t>
        </r>
      </text>
    </comment>
    <comment ref="AA77" authorId="3" shapeId="0" xr:uid="{1F40FE3E-F858-41C2-BF2A-7C0423CEA5AC}">
      <text>
        <r>
          <rPr>
            <b/>
            <sz val="9"/>
            <color indexed="81"/>
            <rFont val="Tahoma"/>
            <family val="2"/>
          </rPr>
          <t>CRISL GR&amp;RS:</t>
        </r>
        <r>
          <rPr>
            <sz val="9"/>
            <color indexed="81"/>
            <rFont val="Tahoma"/>
            <family val="2"/>
          </rPr>
          <t xml:space="preserve">
Figure is high on account of difference between reported and calcualted cash flow from operating activities</t>
        </r>
      </text>
    </comment>
    <comment ref="AB77" authorId="3" shapeId="0" xr:uid="{63EEABA3-8961-4D80-B188-759BB8323BB2}">
      <text>
        <r>
          <rPr>
            <b/>
            <sz val="9"/>
            <color indexed="81"/>
            <rFont val="Tahoma"/>
            <family val="2"/>
          </rPr>
          <t>CRISL GR&amp;RS:</t>
        </r>
        <r>
          <rPr>
            <sz val="9"/>
            <color indexed="81"/>
            <rFont val="Tahoma"/>
            <family val="2"/>
          </rPr>
          <t xml:space="preserve">
Figure is high on account of difference between reported and calcualted cash flow from operating activities</t>
        </r>
      </text>
    </comment>
    <comment ref="AC77" authorId="3" shapeId="0" xr:uid="{C89E482A-2288-40BE-A166-C8E54EAFF29E}">
      <text>
        <r>
          <rPr>
            <b/>
            <sz val="9"/>
            <color indexed="81"/>
            <rFont val="Tahoma"/>
            <family val="2"/>
          </rPr>
          <t>CRISL GR&amp;RS:</t>
        </r>
        <r>
          <rPr>
            <sz val="9"/>
            <color indexed="81"/>
            <rFont val="Tahoma"/>
            <family val="2"/>
          </rPr>
          <t xml:space="preserve">
Figure is high on account of difference between reported and calcualted cash flow from operating activities</t>
        </r>
      </text>
    </comment>
    <comment ref="AD77" authorId="3" shapeId="0" xr:uid="{F0CDA551-39F1-4E2C-8962-6B7FB587895C}">
      <text>
        <r>
          <rPr>
            <b/>
            <sz val="9"/>
            <color indexed="81"/>
            <rFont val="Tahoma"/>
            <family val="2"/>
          </rPr>
          <t>CRISL GR&amp;RS:</t>
        </r>
        <r>
          <rPr>
            <sz val="9"/>
            <color indexed="81"/>
            <rFont val="Tahoma"/>
            <family val="2"/>
          </rPr>
          <t xml:space="preserve">
Figure is high on account of difference between reported and calcualted cash flow from operating activities</t>
        </r>
      </text>
    </comment>
    <comment ref="AE77" authorId="3" shapeId="0" xr:uid="{B2706DE9-3EEF-4652-8915-A62D7D41CAE5}">
      <text>
        <r>
          <rPr>
            <b/>
            <sz val="9"/>
            <color indexed="81"/>
            <rFont val="Tahoma"/>
            <family val="2"/>
          </rPr>
          <t>CRISL GR&amp;RS:</t>
        </r>
        <r>
          <rPr>
            <sz val="9"/>
            <color indexed="81"/>
            <rFont val="Tahoma"/>
            <family val="2"/>
          </rPr>
          <t xml:space="preserve">
Figure is high on account of difference between reported and calcualted cash flow from operating activities</t>
        </r>
      </text>
    </comment>
    <comment ref="AF77" authorId="3" shapeId="0" xr:uid="{570C4CCC-193E-4834-A5BC-640247186E92}">
      <text>
        <r>
          <rPr>
            <b/>
            <sz val="9"/>
            <color indexed="81"/>
            <rFont val="Tahoma"/>
            <family val="2"/>
          </rPr>
          <t>CRISL GR&amp;RS:</t>
        </r>
        <r>
          <rPr>
            <sz val="9"/>
            <color indexed="81"/>
            <rFont val="Tahoma"/>
            <family val="2"/>
          </rPr>
          <t xml:space="preserve">
Figure is high on account of difference between reported and calcualted cash flow from operating activities</t>
        </r>
      </text>
    </comment>
    <comment ref="AG77" authorId="3" shapeId="0" xr:uid="{27630B48-93C3-4245-B393-3C0E55F8E7B4}">
      <text>
        <r>
          <rPr>
            <b/>
            <sz val="9"/>
            <color indexed="81"/>
            <rFont val="Tahoma"/>
            <family val="2"/>
          </rPr>
          <t>CRISL GR&amp;RS:</t>
        </r>
        <r>
          <rPr>
            <sz val="9"/>
            <color indexed="81"/>
            <rFont val="Tahoma"/>
            <family val="2"/>
          </rPr>
          <t xml:space="preserve">
Figure is high on account of difference between reported and calcualted cash flow from operating activities</t>
        </r>
      </text>
    </comment>
    <comment ref="AH77" authorId="3" shapeId="0" xr:uid="{29947F11-5C0B-4B81-8277-0B869E665426}">
      <text>
        <r>
          <rPr>
            <b/>
            <sz val="9"/>
            <color indexed="81"/>
            <rFont val="Tahoma"/>
            <family val="2"/>
          </rPr>
          <t>CRISL GR&amp;RS:</t>
        </r>
        <r>
          <rPr>
            <sz val="9"/>
            <color indexed="81"/>
            <rFont val="Tahoma"/>
            <family val="2"/>
          </rPr>
          <t xml:space="preserve">
Figure is high on account of difference between reported and calcualted cash flow from operating activities</t>
        </r>
      </text>
    </comment>
    <comment ref="AI77" authorId="3" shapeId="0" xr:uid="{A4784B5F-96A6-4786-8057-27999137FA2D}">
      <text>
        <r>
          <rPr>
            <b/>
            <sz val="9"/>
            <color indexed="81"/>
            <rFont val="Tahoma"/>
            <family val="2"/>
          </rPr>
          <t>CRISL GR&amp;RS:</t>
        </r>
        <r>
          <rPr>
            <sz val="9"/>
            <color indexed="81"/>
            <rFont val="Tahoma"/>
            <family val="2"/>
          </rPr>
          <t xml:space="preserve">
Figure is high on account of difference between reported and calcualted cash flow from operating activities</t>
        </r>
      </text>
    </comment>
    <comment ref="AJ77" authorId="3" shapeId="0" xr:uid="{D5990D99-87AF-4E3F-B01B-3ACA486204E0}">
      <text>
        <r>
          <rPr>
            <b/>
            <sz val="9"/>
            <color indexed="81"/>
            <rFont val="Tahoma"/>
            <family val="2"/>
          </rPr>
          <t>CRISL GR&amp;RS:</t>
        </r>
        <r>
          <rPr>
            <sz val="9"/>
            <color indexed="81"/>
            <rFont val="Tahoma"/>
            <family val="2"/>
          </rPr>
          <t xml:space="preserve">
Figure is high on account of difference between reported and calcualted cash flow from operating activities</t>
        </r>
      </text>
    </comment>
    <comment ref="AK77" authorId="3" shapeId="0" xr:uid="{D2BE7F80-1D07-4246-83B2-F6DF848ACB1E}">
      <text>
        <r>
          <rPr>
            <b/>
            <sz val="9"/>
            <color indexed="81"/>
            <rFont val="Tahoma"/>
            <family val="2"/>
          </rPr>
          <t>CRISL GR&amp;RS:</t>
        </r>
        <r>
          <rPr>
            <sz val="9"/>
            <color indexed="81"/>
            <rFont val="Tahoma"/>
            <family val="2"/>
          </rPr>
          <t xml:space="preserve">
Figure is high on account of difference between reported and calcualted cash flow from operating activities</t>
        </r>
      </text>
    </comment>
    <comment ref="AL77" authorId="3" shapeId="0" xr:uid="{31C06E7E-8D0A-4F98-AD09-9F8413350D55}">
      <text>
        <r>
          <rPr>
            <b/>
            <sz val="9"/>
            <color indexed="81"/>
            <rFont val="Tahoma"/>
            <family val="2"/>
          </rPr>
          <t>CRISL GR&amp;RS:</t>
        </r>
        <r>
          <rPr>
            <sz val="9"/>
            <color indexed="81"/>
            <rFont val="Tahoma"/>
            <family val="2"/>
          </rPr>
          <t xml:space="preserve">
Figure is high on account of difference between reported and calcualted cash flow from operating activities</t>
        </r>
      </text>
    </comment>
    <comment ref="AM77" authorId="3" shapeId="0" xr:uid="{2C199CBF-CD3D-45A0-8B8E-52908A5A22B0}">
      <text>
        <r>
          <rPr>
            <b/>
            <sz val="9"/>
            <color indexed="81"/>
            <rFont val="Tahoma"/>
            <family val="2"/>
          </rPr>
          <t>CRISL GR&amp;RS:</t>
        </r>
        <r>
          <rPr>
            <sz val="9"/>
            <color indexed="81"/>
            <rFont val="Tahoma"/>
            <family val="2"/>
          </rPr>
          <t xml:space="preserve">
Figure is high on account of difference between reported and calcualted cash flow from operating activities</t>
        </r>
      </text>
    </comment>
    <comment ref="AN77" authorId="3" shapeId="0" xr:uid="{924557AB-518D-4CEC-9849-0824ADC9F60A}">
      <text>
        <r>
          <rPr>
            <b/>
            <sz val="9"/>
            <color indexed="81"/>
            <rFont val="Tahoma"/>
            <family val="2"/>
          </rPr>
          <t>CRISL GR&amp;RS:</t>
        </r>
        <r>
          <rPr>
            <sz val="9"/>
            <color indexed="81"/>
            <rFont val="Tahoma"/>
            <family val="2"/>
          </rPr>
          <t xml:space="preserve">
Figure is high on account of difference between reported and calcualted cash flow from operating activities</t>
        </r>
      </text>
    </comment>
    <comment ref="AO77" authorId="3" shapeId="0" xr:uid="{D1BD3976-B0E0-44AE-91F7-D483E8CA7B22}">
      <text>
        <r>
          <rPr>
            <b/>
            <sz val="9"/>
            <color indexed="81"/>
            <rFont val="Tahoma"/>
            <family val="2"/>
          </rPr>
          <t>CRISL GR&amp;RS:</t>
        </r>
        <r>
          <rPr>
            <sz val="9"/>
            <color indexed="81"/>
            <rFont val="Tahoma"/>
            <family val="2"/>
          </rPr>
          <t xml:space="preserve">
Figure is high on account of difference between reported and calcualted cash flow from operating activities</t>
        </r>
      </text>
    </comment>
    <comment ref="AP77" authorId="3" shapeId="0" xr:uid="{2792DA57-7C22-427D-85A8-40854CE3F46A}">
      <text>
        <r>
          <rPr>
            <b/>
            <sz val="9"/>
            <color indexed="81"/>
            <rFont val="Tahoma"/>
            <family val="2"/>
          </rPr>
          <t>CRISL GR&amp;RS:</t>
        </r>
        <r>
          <rPr>
            <sz val="9"/>
            <color indexed="81"/>
            <rFont val="Tahoma"/>
            <family val="2"/>
          </rPr>
          <t xml:space="preserve">
Figure is high on account of difference between reported and calcualted cash flow from operating activities</t>
        </r>
      </text>
    </comment>
    <comment ref="AQ77" authorId="3" shapeId="0" xr:uid="{0B0323E0-E27A-4611-9CD2-4F328C1198B4}">
      <text>
        <r>
          <rPr>
            <b/>
            <sz val="9"/>
            <color indexed="81"/>
            <rFont val="Tahoma"/>
            <family val="2"/>
          </rPr>
          <t>CRISL GR&amp;RS:</t>
        </r>
        <r>
          <rPr>
            <sz val="9"/>
            <color indexed="81"/>
            <rFont val="Tahoma"/>
            <family val="2"/>
          </rPr>
          <t xml:space="preserve">
Figure is high on account of difference between reported and calcualted cash flow from operating activities</t>
        </r>
      </text>
    </comment>
    <comment ref="AR77" authorId="3" shapeId="0" xr:uid="{C7F99640-9A21-4A77-B279-E13F5826CD16}">
      <text>
        <r>
          <rPr>
            <b/>
            <sz val="9"/>
            <color indexed="81"/>
            <rFont val="Tahoma"/>
            <family val="2"/>
          </rPr>
          <t>CRISL GR&amp;RS:</t>
        </r>
        <r>
          <rPr>
            <sz val="9"/>
            <color indexed="81"/>
            <rFont val="Tahoma"/>
            <family val="2"/>
          </rPr>
          <t xml:space="preserve">
Figure is high on account of difference between reported and calcualted cash flow from operating activities</t>
        </r>
      </text>
    </comment>
    <comment ref="AS77" authorId="3" shapeId="0" xr:uid="{EA04DC3A-F8F5-4BEF-BF7F-048E7D7E63FE}">
      <text>
        <r>
          <rPr>
            <b/>
            <sz val="9"/>
            <color indexed="81"/>
            <rFont val="Tahoma"/>
            <family val="2"/>
          </rPr>
          <t>CRISL GR&amp;RS:</t>
        </r>
        <r>
          <rPr>
            <sz val="9"/>
            <color indexed="81"/>
            <rFont val="Tahoma"/>
            <family val="2"/>
          </rPr>
          <t xml:space="preserve">
Figure is high on account of difference between reported and calcualted cash flow from operating activities</t>
        </r>
      </text>
    </comment>
    <comment ref="AT77" authorId="3" shapeId="0" xr:uid="{1861AED5-F7BF-498C-AACC-E17C076797C8}">
      <text>
        <r>
          <rPr>
            <b/>
            <sz val="9"/>
            <color indexed="81"/>
            <rFont val="Tahoma"/>
            <family val="2"/>
          </rPr>
          <t>CRISL GR&amp;RS:</t>
        </r>
        <r>
          <rPr>
            <sz val="9"/>
            <color indexed="81"/>
            <rFont val="Tahoma"/>
            <family val="2"/>
          </rPr>
          <t xml:space="preserve">
Figure is high on account of difference between reported and calcualted cash flow from operating activities</t>
        </r>
      </text>
    </comment>
    <comment ref="AU77" authorId="3" shapeId="0" xr:uid="{8F9CD9B8-293C-47C4-9822-985D80A5BF87}">
      <text>
        <r>
          <rPr>
            <b/>
            <sz val="9"/>
            <color indexed="81"/>
            <rFont val="Tahoma"/>
            <family val="2"/>
          </rPr>
          <t>CRISL GR&amp;RS:</t>
        </r>
        <r>
          <rPr>
            <sz val="9"/>
            <color indexed="81"/>
            <rFont val="Tahoma"/>
            <family val="2"/>
          </rPr>
          <t xml:space="preserve">
Figure is high on account of difference between reported and calcualted cash flow from operating activities</t>
        </r>
      </text>
    </comment>
    <comment ref="AV77" authorId="3" shapeId="0" xr:uid="{AA916954-3731-42E5-99AE-8E8C075B31BA}">
      <text>
        <r>
          <rPr>
            <b/>
            <sz val="9"/>
            <color indexed="81"/>
            <rFont val="Tahoma"/>
            <family val="2"/>
          </rPr>
          <t>CRISL GR&amp;RS:</t>
        </r>
        <r>
          <rPr>
            <sz val="9"/>
            <color indexed="81"/>
            <rFont val="Tahoma"/>
            <family val="2"/>
          </rPr>
          <t xml:space="preserve">
Figure is high on account of difference between reported and calcualted cash flow from operating activities</t>
        </r>
      </text>
    </comment>
    <comment ref="AW77" authorId="3" shapeId="0" xr:uid="{3C8F0208-0B32-4570-A5A8-F33873DB9C05}">
      <text>
        <r>
          <rPr>
            <b/>
            <sz val="9"/>
            <color indexed="81"/>
            <rFont val="Tahoma"/>
            <family val="2"/>
          </rPr>
          <t>CRISL GR&amp;RS:</t>
        </r>
        <r>
          <rPr>
            <sz val="9"/>
            <color indexed="81"/>
            <rFont val="Tahoma"/>
            <family val="2"/>
          </rPr>
          <t xml:space="preserve">
Figure is high on account of difference between reported and calcualted cash flow from operating activities</t>
        </r>
      </text>
    </comment>
    <comment ref="AX77" authorId="3" shapeId="0" xr:uid="{CA42E8A9-413E-4945-B28E-EFD57E8CD34D}">
      <text>
        <r>
          <rPr>
            <b/>
            <sz val="9"/>
            <color indexed="81"/>
            <rFont val="Tahoma"/>
            <family val="2"/>
          </rPr>
          <t>CRISL GR&amp;RS:</t>
        </r>
        <r>
          <rPr>
            <sz val="9"/>
            <color indexed="81"/>
            <rFont val="Tahoma"/>
            <family val="2"/>
          </rPr>
          <t xml:space="preserve">
Figure is high on account of considering line items direclty from direct cash flow method.These are not part of the operating profit in EBITDA calculation too. Hence the balancing figure is on a higher side</t>
        </r>
      </text>
    </comment>
    <comment ref="AU79" authorId="0" shapeId="0" xr:uid="{19A1416C-2D76-4F32-9D32-077B91D18B20}">
      <text>
        <r>
          <rPr>
            <b/>
            <sz val="9"/>
            <color indexed="81"/>
            <rFont val="Tahoma"/>
            <family val="2"/>
          </rPr>
          <t>CRISIL:</t>
        </r>
        <r>
          <rPr>
            <sz val="9"/>
            <color indexed="81"/>
            <rFont val="Tahoma"/>
            <family val="2"/>
          </rPr>
          <t xml:space="preserve">
Ajdusted to arrive at the ending cash period</t>
        </r>
      </text>
    </comment>
    <comment ref="B106" authorId="0" shapeId="0" xr:uid="{F4285B80-6347-4336-8831-1BE955DA3C14}">
      <text>
        <r>
          <rPr>
            <b/>
            <sz val="9"/>
            <color indexed="81"/>
            <rFont val="Tahoma"/>
            <family val="2"/>
          </rPr>
          <t>CRISIL:</t>
        </r>
        <r>
          <rPr>
            <sz val="9"/>
            <color indexed="81"/>
            <rFont val="Tahoma"/>
            <family val="2"/>
          </rPr>
          <t xml:space="preserve">
Includes:
1. Obligations to banks
2. Obligations to the public, net
3. Leases payable</t>
        </r>
      </text>
    </comment>
    <comment ref="B116" authorId="0" shapeId="0" xr:uid="{1E8F9B7F-9F67-48A4-8492-65FD355A0A26}">
      <text>
        <r>
          <rPr>
            <b/>
            <sz val="9"/>
            <color indexed="81"/>
            <rFont val="Tahoma"/>
            <family val="2"/>
          </rPr>
          <t>CRISIL:</t>
        </r>
        <r>
          <rPr>
            <sz val="9"/>
            <color indexed="81"/>
            <rFont val="Tahoma"/>
            <family val="2"/>
          </rPr>
          <t xml:space="preserve">
Net financial debt </t>
        </r>
      </text>
    </comment>
    <comment ref="O116" authorId="0" shapeId="0" xr:uid="{DDD020CB-8B1A-478B-AE25-6DFFB8ED3DBA}">
      <text>
        <r>
          <rPr>
            <b/>
            <sz val="9"/>
            <color indexed="81"/>
            <rFont val="Tahoma"/>
            <family val="2"/>
          </rPr>
          <t>CRISIL:</t>
        </r>
        <r>
          <rPr>
            <sz val="9"/>
            <color indexed="81"/>
            <rFont val="Tahoma"/>
            <family val="2"/>
          </rPr>
          <t xml:space="preserve">
FS - 65/96</t>
        </r>
      </text>
    </comment>
    <comment ref="AX116" authorId="0" shapeId="0" xr:uid="{D28A08B8-2913-4E7C-9455-6220EFEB6F51}">
      <text>
        <r>
          <rPr>
            <b/>
            <sz val="9"/>
            <color indexed="81"/>
            <rFont val="Tahoma"/>
            <family val="2"/>
          </rPr>
          <t>CRISIL:</t>
        </r>
        <r>
          <rPr>
            <sz val="9"/>
            <color indexed="81"/>
            <rFont val="Tahoma"/>
            <family val="2"/>
          </rPr>
          <t xml:space="preserve">
converted to CLP using exchange rate (Debt was in US millions - from PR)</t>
        </r>
      </text>
    </comment>
    <comment ref="H192" authorId="4" shapeId="0" xr:uid="{00000000-0006-0000-0100-000003000000}">
      <text>
        <r>
          <rPr>
            <b/>
            <sz val="9"/>
            <color indexed="81"/>
            <rFont val="Tahoma"/>
            <family val="2"/>
          </rPr>
          <t>Crisil GR&amp;A:</t>
        </r>
        <r>
          <rPr>
            <sz val="9"/>
            <color indexed="81"/>
            <rFont val="Tahoma"/>
            <family val="2"/>
          </rPr>
          <t xml:space="preserve">
using company reported debt numbers in USD and ch$</t>
        </r>
      </text>
    </comment>
    <comment ref="I192" authorId="4" shapeId="0" xr:uid="{00000000-0006-0000-0100-000004000000}">
      <text>
        <r>
          <rPr>
            <b/>
            <sz val="9"/>
            <color indexed="81"/>
            <rFont val="Tahoma"/>
            <family val="2"/>
          </rPr>
          <t>Crisil GR&amp;A:</t>
        </r>
        <r>
          <rPr>
            <sz val="9"/>
            <color indexed="81"/>
            <rFont val="Tahoma"/>
            <family val="2"/>
          </rPr>
          <t xml:space="preserve">
using company reported debt numbers in USD and ch$</t>
        </r>
      </text>
    </comment>
    <comment ref="J192" authorId="4" shapeId="0" xr:uid="{00000000-0006-0000-0100-000005000000}">
      <text>
        <r>
          <rPr>
            <b/>
            <sz val="9"/>
            <color indexed="81"/>
            <rFont val="Tahoma"/>
            <family val="2"/>
          </rPr>
          <t>Crisil GR&amp;A:</t>
        </r>
        <r>
          <rPr>
            <sz val="9"/>
            <color indexed="81"/>
            <rFont val="Tahoma"/>
            <family val="2"/>
          </rPr>
          <t xml:space="preserve">
using company reported debt numbers in USD and ch$</t>
        </r>
      </text>
    </comment>
    <comment ref="K192" authorId="4" shapeId="0" xr:uid="{63EA16D1-8716-4626-A473-5414CB602AF1}">
      <text>
        <r>
          <rPr>
            <b/>
            <sz val="9"/>
            <color indexed="81"/>
            <rFont val="Tahoma"/>
            <family val="2"/>
          </rPr>
          <t>Crisil GR&amp;A:</t>
        </r>
        <r>
          <rPr>
            <sz val="9"/>
            <color indexed="81"/>
            <rFont val="Tahoma"/>
            <family val="2"/>
          </rPr>
          <t xml:space="preserve">
using company reported debt numbers in USD and ch$</t>
        </r>
      </text>
    </comment>
    <comment ref="L192" authorId="4" shapeId="0" xr:uid="{C471FB8D-AA8F-4B22-9996-27DE7AFBFBFF}">
      <text>
        <r>
          <rPr>
            <b/>
            <sz val="9"/>
            <color indexed="81"/>
            <rFont val="Tahoma"/>
            <family val="2"/>
          </rPr>
          <t>Crisil GR&amp;A:</t>
        </r>
        <r>
          <rPr>
            <sz val="9"/>
            <color indexed="81"/>
            <rFont val="Tahoma"/>
            <family val="2"/>
          </rPr>
          <t xml:space="preserve">
using company reported debt numbers in USD and ch$</t>
        </r>
      </text>
    </comment>
    <comment ref="M192" authorId="4" shapeId="0" xr:uid="{11C26804-25E4-4550-8A22-E203416759CF}">
      <text>
        <r>
          <rPr>
            <b/>
            <sz val="9"/>
            <color indexed="81"/>
            <rFont val="Tahoma"/>
            <family val="2"/>
          </rPr>
          <t>Crisil GR&amp;A:</t>
        </r>
        <r>
          <rPr>
            <sz val="9"/>
            <color indexed="81"/>
            <rFont val="Tahoma"/>
            <family val="2"/>
          </rPr>
          <t xml:space="preserve">
using company reported debt numbers in USD and ch$</t>
        </r>
      </text>
    </comment>
    <comment ref="U192" authorId="4" shapeId="0" xr:uid="{00000000-0006-0000-0100-000006000000}">
      <text>
        <r>
          <rPr>
            <b/>
            <sz val="9"/>
            <color indexed="81"/>
            <rFont val="Tahoma"/>
            <family val="2"/>
          </rPr>
          <t>Crisil GR&amp;A:</t>
        </r>
        <r>
          <rPr>
            <sz val="9"/>
            <color indexed="81"/>
            <rFont val="Tahoma"/>
            <family val="2"/>
          </rPr>
          <t xml:space="preserve">
using company reported debt numbers in USD and ch$</t>
        </r>
      </text>
    </comment>
    <comment ref="H193" authorId="4" shapeId="0" xr:uid="{00000000-0006-0000-0100-000008000000}">
      <text>
        <r>
          <rPr>
            <b/>
            <sz val="9"/>
            <color indexed="81"/>
            <rFont val="Tahoma"/>
            <family val="2"/>
          </rPr>
          <t>Crisil GR&amp;A:</t>
        </r>
        <r>
          <rPr>
            <sz val="9"/>
            <color indexed="81"/>
            <rFont val="Tahoma"/>
            <family val="2"/>
          </rPr>
          <t xml:space="preserve">
using company reported debt numbers in USD and ch$</t>
        </r>
      </text>
    </comment>
    <comment ref="I193" authorId="4" shapeId="0" xr:uid="{00000000-0006-0000-0100-000009000000}">
      <text>
        <r>
          <rPr>
            <b/>
            <sz val="9"/>
            <color indexed="81"/>
            <rFont val="Tahoma"/>
            <family val="2"/>
          </rPr>
          <t>Crisil GR&amp;A:</t>
        </r>
        <r>
          <rPr>
            <sz val="9"/>
            <color indexed="81"/>
            <rFont val="Tahoma"/>
            <family val="2"/>
          </rPr>
          <t xml:space="preserve">
as given in the ppt</t>
        </r>
      </text>
    </comment>
    <comment ref="J193" authorId="4" shapeId="0" xr:uid="{00000000-0006-0000-0100-00000A000000}">
      <text>
        <r>
          <rPr>
            <sz val="9"/>
            <color indexed="81"/>
            <rFont val="Tahoma"/>
            <family val="2"/>
          </rPr>
          <t>from Bloomberg</t>
        </r>
      </text>
    </comment>
    <comment ref="K193" authorId="4" shapeId="0" xr:uid="{A6E30732-BB1F-495B-8E3F-44A9A2DD468E}">
      <text>
        <r>
          <rPr>
            <sz val="9"/>
            <color indexed="81"/>
            <rFont val="Tahoma"/>
            <family val="2"/>
          </rPr>
          <t>from Bloomberg</t>
        </r>
      </text>
    </comment>
    <comment ref="Y193" authorId="4" shapeId="0" xr:uid="{00000000-0006-0000-0100-00000B000000}">
      <text>
        <r>
          <rPr>
            <b/>
            <sz val="9"/>
            <color indexed="81"/>
            <rFont val="Tahoma"/>
            <family val="2"/>
          </rPr>
          <t>Crisil GR&amp;A:</t>
        </r>
        <r>
          <rPr>
            <sz val="9"/>
            <color indexed="81"/>
            <rFont val="Tahoma"/>
            <family val="2"/>
          </rPr>
          <t xml:space="preserve">
as given in the ppt</t>
        </r>
      </text>
    </comment>
    <comment ref="AR208" authorId="5" shapeId="0" xr:uid="{CF65C44C-9201-49C4-84E6-1C29293F08E7}">
      <text>
        <r>
          <rPr>
            <b/>
            <sz val="9"/>
            <color indexed="81"/>
            <rFont val="Tahoma"/>
            <family val="2"/>
          </rPr>
          <t>CRISIL GR&amp;A:</t>
        </r>
        <r>
          <rPr>
            <sz val="9"/>
            <color indexed="81"/>
            <rFont val="Tahoma"/>
            <family val="2"/>
          </rPr>
          <t xml:space="preserve">
Presentation not available yet</t>
        </r>
      </text>
    </comment>
    <comment ref="AV208" authorId="5" shapeId="0" xr:uid="{F73AE31D-21F7-49EB-9250-6C49139FB198}">
      <text>
        <r>
          <rPr>
            <b/>
            <sz val="9"/>
            <color indexed="81"/>
            <rFont val="Tahoma"/>
            <family val="2"/>
          </rPr>
          <t>CRISIL GR&amp;A:</t>
        </r>
        <r>
          <rPr>
            <sz val="9"/>
            <color indexed="81"/>
            <rFont val="Tahoma"/>
            <family val="2"/>
          </rPr>
          <t xml:space="preserve">
Presentation not available yet</t>
        </r>
      </text>
    </comment>
    <comment ref="AX208" authorId="0" shapeId="0" xr:uid="{87BACD3B-C79B-4301-A659-549AF8DDD989}">
      <text>
        <r>
          <rPr>
            <b/>
            <sz val="9"/>
            <color indexed="81"/>
            <rFont val="Tahoma"/>
            <charset val="1"/>
          </rPr>
          <t>CRISIL:</t>
        </r>
        <r>
          <rPr>
            <sz val="9"/>
            <color indexed="81"/>
            <rFont val="Tahoma"/>
            <charset val="1"/>
          </rPr>
          <t xml:space="preserve">
from PR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CRISIL</author>
  </authors>
  <commentList>
    <comment ref="L8" authorId="0" shapeId="0" xr:uid="{5369C7DC-018F-4F6E-A2E2-DE87CAA685E0}">
      <text>
        <r>
          <rPr>
            <b/>
            <sz val="9"/>
            <color indexed="81"/>
            <rFont val="Tahoma"/>
            <family val="2"/>
          </rPr>
          <t>CRISIL:</t>
        </r>
        <r>
          <rPr>
            <sz val="9"/>
            <color indexed="81"/>
            <rFont val="Tahoma"/>
            <family val="2"/>
          </rPr>
          <t xml:space="preserve">
from PPT</t>
        </r>
      </text>
    </comment>
    <comment ref="AS8" authorId="0" shapeId="0" xr:uid="{AC3C90B9-4364-4798-9DAA-C26392A8366E}">
      <text>
        <r>
          <rPr>
            <b/>
            <sz val="9"/>
            <color indexed="81"/>
            <rFont val="Tahoma"/>
            <family val="2"/>
          </rPr>
          <t>CRISIL:</t>
        </r>
        <r>
          <rPr>
            <sz val="9"/>
            <color indexed="81"/>
            <rFont val="Tahoma"/>
            <family val="2"/>
          </rPr>
          <t xml:space="preserve">
from PPT</t>
        </r>
      </text>
    </comment>
    <comment ref="AT8" authorId="0" shapeId="0" xr:uid="{9D9BF19E-55C4-4677-9D79-DF3A818F1301}">
      <text>
        <r>
          <rPr>
            <b/>
            <sz val="9"/>
            <color indexed="81"/>
            <rFont val="Tahoma"/>
            <family val="2"/>
          </rPr>
          <t>CRISIL:</t>
        </r>
        <r>
          <rPr>
            <sz val="9"/>
            <color indexed="81"/>
            <rFont val="Tahoma"/>
            <family val="2"/>
          </rPr>
          <t xml:space="preserve">
from PPT</t>
        </r>
      </text>
    </comment>
    <comment ref="AU8" authorId="0" shapeId="0" xr:uid="{2A699B91-DA2D-414B-87C0-E8F41261C379}">
      <text>
        <r>
          <rPr>
            <b/>
            <sz val="9"/>
            <color indexed="81"/>
            <rFont val="Tahoma"/>
            <family val="2"/>
          </rPr>
          <t>CRISIL:</t>
        </r>
        <r>
          <rPr>
            <sz val="9"/>
            <color indexed="81"/>
            <rFont val="Tahoma"/>
            <family val="2"/>
          </rPr>
          <t xml:space="preserve">
from PPT</t>
        </r>
      </text>
    </comment>
  </commentList>
</comments>
</file>

<file path=xl/sharedStrings.xml><?xml version="1.0" encoding="utf-8"?>
<sst xmlns="http://schemas.openxmlformats.org/spreadsheetml/2006/main" count="1616" uniqueCount="331">
  <si>
    <t>1Q26</t>
  </si>
  <si>
    <t>Exchange rate at the end</t>
  </si>
  <si>
    <t>LTM Average Exchange rate</t>
  </si>
  <si>
    <t>Amt. outstanding as on 31-Mar-2026</t>
  </si>
  <si>
    <t>Ch$(mn)</t>
  </si>
  <si>
    <t>USD (mn)</t>
  </si>
  <si>
    <t xml:space="preserve">Leverage </t>
  </si>
  <si>
    <t xml:space="preserve">USD Leverage </t>
  </si>
  <si>
    <t>Company Reported (from PR)</t>
  </si>
  <si>
    <t>Total debt (USD mn)</t>
  </si>
  <si>
    <t>Current:</t>
  </si>
  <si>
    <t>Net Debt (USD mn)</t>
  </si>
  <si>
    <t>Obligations with banks</t>
  </si>
  <si>
    <t>Net Leverage</t>
  </si>
  <si>
    <t>Obligations to the public, net</t>
  </si>
  <si>
    <t>Non - Current:</t>
  </si>
  <si>
    <t>Lease Liabilities:</t>
  </si>
  <si>
    <t>Current leases</t>
  </si>
  <si>
    <t>Non - current leases</t>
  </si>
  <si>
    <t>Total Loans &amp; Borrows</t>
  </si>
  <si>
    <t>Cash &amp; Equivalents</t>
  </si>
  <si>
    <t xml:space="preserve">Net debt </t>
  </si>
  <si>
    <t>Equity</t>
  </si>
  <si>
    <t xml:space="preserve">Total Capitalisation </t>
  </si>
  <si>
    <t>Adjusted EBITDA</t>
  </si>
  <si>
    <t>check</t>
  </si>
  <si>
    <t>Liquidity Table at end</t>
  </si>
  <si>
    <t>Cash and cash equivalents</t>
  </si>
  <si>
    <t>Total Liquidity</t>
  </si>
  <si>
    <t>Current: Obligations with banks Classification</t>
  </si>
  <si>
    <t>Non - Current: Obligations with banks Classification</t>
  </si>
  <si>
    <t>Current and Non - Current: Obligations to the public</t>
  </si>
  <si>
    <t>Non-current Debt Maturity for Obligations with banks</t>
  </si>
  <si>
    <t>1 year to 2 years</t>
  </si>
  <si>
    <t>More than 5 years</t>
  </si>
  <si>
    <t>Total</t>
  </si>
  <si>
    <t>Non-current Debt Maturity for Obligations to the public, net</t>
  </si>
  <si>
    <t>Issuance costs and discounts associated with the placement</t>
  </si>
  <si>
    <t>FY25</t>
  </si>
  <si>
    <t>EOP exch rate</t>
  </si>
  <si>
    <t>LTM Average Exchange rate at FY25</t>
  </si>
  <si>
    <t>Amt. outstanding as on 31-Dec-2025</t>
  </si>
  <si>
    <t>Bank Loan</t>
  </si>
  <si>
    <t>Leasing Agreements</t>
  </si>
  <si>
    <t>Series B Bonds 6.5% due 2026</t>
  </si>
  <si>
    <t>Series C Bonds 4.0% due 2031</t>
  </si>
  <si>
    <t>Series D Bonds 3.8% due 2034</t>
  </si>
  <si>
    <t>Series E Bonds 3.75% due 2035</t>
  </si>
  <si>
    <t>Series F Bonds 2.83% due 2039</t>
  </si>
  <si>
    <t>CHF 2.72% due 2028</t>
  </si>
  <si>
    <t>USD Bond 3.95% due 2050</t>
  </si>
  <si>
    <t>Other pricing adjutments for bonds</t>
  </si>
  <si>
    <t>Liquidity Table at end-FY25</t>
  </si>
  <si>
    <t>Debt Maturity for bonds  at end-FY25</t>
  </si>
  <si>
    <t>2031+</t>
  </si>
  <si>
    <t>Other</t>
  </si>
  <si>
    <t>Total debt (excluding lease liabilities)</t>
  </si>
  <si>
    <t>Bank Loans and Lease liabilities</t>
  </si>
  <si>
    <t>Total debt (including lease liabilities)</t>
  </si>
  <si>
    <t>3Q25</t>
  </si>
  <si>
    <t>LTM Average Exchange rate at 2Q25</t>
  </si>
  <si>
    <t>Amt. outstanding as on 30-Sep-2025</t>
  </si>
  <si>
    <t>Company Reported (from ppt)</t>
  </si>
  <si>
    <t>CHF 2.71% due 2028</t>
  </si>
  <si>
    <t>Liquidity Table at end-3Q25</t>
  </si>
  <si>
    <t>(USD millions)</t>
  </si>
  <si>
    <t>Debt Maturity for bonds  at end-3Q25</t>
  </si>
  <si>
    <t>2Q25</t>
  </si>
  <si>
    <t>Amt. outstanding as on 30-Jun-2025</t>
  </si>
  <si>
    <t>Liquidity Table at end-2Q25</t>
  </si>
  <si>
    <t>Debt Maturity for bonds  at end-2Q25</t>
  </si>
  <si>
    <t>1Q25</t>
  </si>
  <si>
    <t>Amt. outstanding as on 31-Mar-2025</t>
  </si>
  <si>
    <t>LTM Average Exchange rate at 1Q25</t>
  </si>
  <si>
    <t>Company Reported</t>
  </si>
  <si>
    <t>EBITDA</t>
  </si>
  <si>
    <t>Gross Leverage</t>
  </si>
  <si>
    <t>Swiss bond 2.71% due 2028</t>
  </si>
  <si>
    <t>Liquidity Table at end-1Q25</t>
  </si>
  <si>
    <t>Debt Maturity for bonds  at end-1Q25</t>
  </si>
  <si>
    <t>Other (Not reported)</t>
  </si>
  <si>
    <t>FY24</t>
  </si>
  <si>
    <t>Amt. outstanding as on 31-Dec-2024</t>
  </si>
  <si>
    <t>LTM Average Exchange rate at FY24</t>
  </si>
  <si>
    <t>Company reported debt (USD mn)</t>
  </si>
  <si>
    <t>Swiss bond due 2028</t>
  </si>
  <si>
    <t>Liquidity Table at end-FY24</t>
  </si>
  <si>
    <t>Debt Maturity for bonds  at end-FY24</t>
  </si>
  <si>
    <t>3Q24</t>
  </si>
  <si>
    <t>Amt. outstanding as on 30-Sep-2024</t>
  </si>
  <si>
    <t>LTM Average Exchange rate at 3Q24</t>
  </si>
  <si>
    <t>CHF Bond 2.7175% due 2023</t>
  </si>
  <si>
    <t>Liquidity Table at end-3Q24</t>
  </si>
  <si>
    <t>Debt Maturity for bonds  at end-3Q24</t>
  </si>
  <si>
    <t>2028+</t>
  </si>
  <si>
    <t>2Q24</t>
  </si>
  <si>
    <t>Amt. outstanding as on 30-Jun-2024</t>
  </si>
  <si>
    <t>LTM Average Exchange rate at 2Q24</t>
  </si>
  <si>
    <t>Liquidity Table at end-2Q24</t>
  </si>
  <si>
    <t>Debt Maturity for bonds  at end-2Q24</t>
  </si>
  <si>
    <t>1Q24</t>
  </si>
  <si>
    <t>Amt. outstanding as on 31-Mar-2024</t>
  </si>
  <si>
    <t>LTM Average Exchange rate at 1Q24</t>
  </si>
  <si>
    <t>Liquidity Table at end-1Q24</t>
  </si>
  <si>
    <t>Debt Maturity for bonds  at end-1Q24</t>
  </si>
  <si>
    <t>4Q23</t>
  </si>
  <si>
    <t>Amt. outstanding as on 31-Dec-2023</t>
  </si>
  <si>
    <t>LTM Average Exchange rate at 4Q23</t>
  </si>
  <si>
    <t>Liquidity Table at end-4Q23</t>
  </si>
  <si>
    <t>Debt Maturity for bonds  at end-4Q23</t>
  </si>
  <si>
    <t>3Q23</t>
  </si>
  <si>
    <t>Amt. outstanding as on 30-June-2023</t>
  </si>
  <si>
    <t>LTM Average Exchange rate at 3Q23</t>
  </si>
  <si>
    <t>Liquidity Table at end-3Q23</t>
  </si>
  <si>
    <t>Debt Maturity for bonds  at end-3Q23</t>
  </si>
  <si>
    <t>2Q23</t>
  </si>
  <si>
    <t>LTM Average Exchange rate at 2Q23</t>
  </si>
  <si>
    <t>USD Bond 5.0% due 2023</t>
  </si>
  <si>
    <t>Liquidity Table at end-2Q23</t>
  </si>
  <si>
    <t>Debt Maturity for bonds  at end-2Q23</t>
  </si>
  <si>
    <t>1Q23</t>
  </si>
  <si>
    <t>Amt. outstanding as on 31-Mar-2023</t>
  </si>
  <si>
    <t>LTM Average Exchange rate at 1Q23</t>
  </si>
  <si>
    <t>Liquidity Table at end-1Q23</t>
  </si>
  <si>
    <t>Debt Maturity for bonds  at end-1Q23</t>
  </si>
  <si>
    <t>4Q22</t>
  </si>
  <si>
    <t>Amt. outstanding as on 31-Dec-2022</t>
  </si>
  <si>
    <t>LTM Average Exchange rate at 4Q 2022</t>
  </si>
  <si>
    <t>Liquidity Table at end-4Q22</t>
  </si>
  <si>
    <t>Debt Maturity for bonds  at end-4Q22</t>
  </si>
  <si>
    <t>2025+</t>
  </si>
  <si>
    <t>3Q22</t>
  </si>
  <si>
    <t>Amt. outstanding as on 30-Sept-2022</t>
  </si>
  <si>
    <t>LTM Average Exchange rate at 2Q 2022</t>
  </si>
  <si>
    <t>Liquidity Table at end-3Q22</t>
  </si>
  <si>
    <t>Debt Maturity for bonds  at end-3Q22</t>
  </si>
  <si>
    <t>2Q22</t>
  </si>
  <si>
    <t>Amt. outstanding as on 30-Jun-2022</t>
  </si>
  <si>
    <t>Company reported debt</t>
  </si>
  <si>
    <t>Net Debt</t>
  </si>
  <si>
    <t>Liquidity Table at end-2Q22</t>
  </si>
  <si>
    <t>Debt Maturity for bonds  at end-2Q22</t>
  </si>
  <si>
    <t>1Q22</t>
  </si>
  <si>
    <t>Amt. outstanding as on 31-Mar-2022</t>
  </si>
  <si>
    <t>LTM Average Exchange rate at 1Q 2022</t>
  </si>
  <si>
    <t>Liquidity Table at end-1Q22</t>
  </si>
  <si>
    <t>Debt Maturity for bonds  at end-1Q22</t>
  </si>
  <si>
    <t>4Q21</t>
  </si>
  <si>
    <t>Amt. outstanding as on 31-Dec-2021</t>
  </si>
  <si>
    <t>LTM Average Exchange rate at 4Q 2021</t>
  </si>
  <si>
    <t>Liquidity Table at end-4Q21</t>
  </si>
  <si>
    <t>Debt Maturity for bonds  at end-4Q21</t>
  </si>
  <si>
    <t>3Q21</t>
  </si>
  <si>
    <t>Amt. outstanding as on 30-Sept-2021</t>
  </si>
  <si>
    <t>LTM Average Exchange rate at 3Q 2021</t>
  </si>
  <si>
    <t>Liquidity Table at end-3Q21</t>
  </si>
  <si>
    <t>Debt Maturity for bonds  at end-3Q21</t>
  </si>
  <si>
    <t>2Q21</t>
  </si>
  <si>
    <t>Amt. outstanding as on 30-Jun-2021</t>
  </si>
  <si>
    <t>LTM Average Exchange rate at 2Q 2021</t>
  </si>
  <si>
    <t>Liquidity Table at end-2Q21</t>
  </si>
  <si>
    <t>Debt Maturity for bonds  at end-2Q21</t>
  </si>
  <si>
    <t>1Q21</t>
  </si>
  <si>
    <t>Amt. outstanding as on 31-Mar-2021</t>
  </si>
  <si>
    <t>LTM Average Exchange rate at 1Q 2021</t>
  </si>
  <si>
    <t>Liquidity Table at end-1Q21</t>
  </si>
  <si>
    <t>Debt Maturity for bonds  at end-1Q21</t>
  </si>
  <si>
    <t>2024+</t>
  </si>
  <si>
    <t>4Q20</t>
  </si>
  <si>
    <t>Amt. outstanding as on 31-Dec-2020</t>
  </si>
  <si>
    <t>LTM Average Exchange rate at 4Q 2020</t>
  </si>
  <si>
    <t>Series C Bonds 3.5% due 2020</t>
  </si>
  <si>
    <t>Liquidity Table at end-4Q20</t>
  </si>
  <si>
    <t>Debt Maturity for bonds  at end-4Q20</t>
  </si>
  <si>
    <t>3Q20</t>
  </si>
  <si>
    <t>Amt. outstanding as on 30-Sep-2020</t>
  </si>
  <si>
    <t>LTM Average Exchange rate at 3Q 2020</t>
  </si>
  <si>
    <t>Liquidity Table at end-3Q20</t>
  </si>
  <si>
    <t>Debt Maturity for bonds  at end-3Q20</t>
  </si>
  <si>
    <t>2Q20</t>
  </si>
  <si>
    <t>Amt. outstanding as on 30-Jun-2020</t>
  </si>
  <si>
    <t>LTM Average Exchange rate at 2Q 2020</t>
  </si>
  <si>
    <t>Liquidity Table at end-2Q20</t>
  </si>
  <si>
    <t>Debt Maturity for bonds  at end-2Q20</t>
  </si>
  <si>
    <t>9M19</t>
  </si>
  <si>
    <t>Amt. outstanding as on 30-Sept-2019</t>
  </si>
  <si>
    <t>LTM Average Exchange rate at 9M 2019</t>
  </si>
  <si>
    <t>Liquidity Table at end-9M19</t>
  </si>
  <si>
    <t>Debt Maturity for bonds  at end-9M19</t>
  </si>
  <si>
    <t>2023+</t>
  </si>
  <si>
    <t>Embotelladora Andina S.A.</t>
  </si>
  <si>
    <t>Annual</t>
  </si>
  <si>
    <t>LTM</t>
  </si>
  <si>
    <t>Quarterly</t>
  </si>
  <si>
    <t>9M</t>
  </si>
  <si>
    <t>3M</t>
  </si>
  <si>
    <t>6M</t>
  </si>
  <si>
    <t>(chilean peso millions)</t>
  </si>
  <si>
    <t>Act</t>
  </si>
  <si>
    <t>Reported</t>
  </si>
  <si>
    <t>FY</t>
  </si>
  <si>
    <t>Q1</t>
  </si>
  <si>
    <t>Q2</t>
  </si>
  <si>
    <t>Q3</t>
  </si>
  <si>
    <t>Q4</t>
  </si>
  <si>
    <t>INCOME STATEMENT</t>
  </si>
  <si>
    <t xml:space="preserve">Reported </t>
  </si>
  <si>
    <t>Restated</t>
  </si>
  <si>
    <t>Inflation 
adjusted</t>
  </si>
  <si>
    <t>Net Sales</t>
  </si>
  <si>
    <t xml:space="preserve">% y-o-y growth </t>
  </si>
  <si>
    <t>Cost of sales</t>
  </si>
  <si>
    <t>Gross Profit</t>
  </si>
  <si>
    <t>Gross Profit margin</t>
  </si>
  <si>
    <t>Other income</t>
  </si>
  <si>
    <t>Distribution expenses</t>
  </si>
  <si>
    <t>Administrative expenses</t>
  </si>
  <si>
    <t>Other expenses</t>
  </si>
  <si>
    <t>Other (expense) income, net</t>
  </si>
  <si>
    <t>Operating Profit</t>
  </si>
  <si>
    <t>Financial income</t>
  </si>
  <si>
    <t>Financial expenses</t>
  </si>
  <si>
    <t>Share of (loss) profit of investments accounted for using the equity method</t>
  </si>
  <si>
    <t>Foreign exchange differences</t>
  </si>
  <si>
    <t>Loss from differences in indexed financial assets and liabilities</t>
  </si>
  <si>
    <t>Profit before tax</t>
  </si>
  <si>
    <t>Income tax expense</t>
  </si>
  <si>
    <t>Profit (loss) from Continuing Operations</t>
  </si>
  <si>
    <t>Discontinued Operations</t>
  </si>
  <si>
    <t>Net income for the period</t>
  </si>
  <si>
    <t>Net income attributable to controlling shareholders</t>
  </si>
  <si>
    <t>Net income attributable to noncontrolling shareholders</t>
  </si>
  <si>
    <t>As % of Net sales or stated otherwise</t>
  </si>
  <si>
    <t>Finance Income as a % of cash and equivalents at end of period</t>
  </si>
  <si>
    <t>Finance costs as a % of debt at end of period</t>
  </si>
  <si>
    <t>Income tax benefit/(expense) as a % of Profit before tax</t>
  </si>
  <si>
    <t>capex/sales</t>
  </si>
  <si>
    <t>D/A/sales</t>
  </si>
  <si>
    <t xml:space="preserve">EBITDA </t>
  </si>
  <si>
    <t xml:space="preserve">Operating profit </t>
  </si>
  <si>
    <t>Depreciation &amp; amortisation</t>
  </si>
  <si>
    <t xml:space="preserve">% growth </t>
  </si>
  <si>
    <t>% margin</t>
  </si>
  <si>
    <t xml:space="preserve">Adjustment </t>
  </si>
  <si>
    <t>Adj. EBITDA</t>
  </si>
  <si>
    <t>CASH FLOW</t>
  </si>
  <si>
    <t xml:space="preserve">Adjusted EBITDA </t>
  </si>
  <si>
    <t>Working Capital</t>
  </si>
  <si>
    <t>Taxes, net</t>
  </si>
  <si>
    <t>Cash interest paid</t>
  </si>
  <si>
    <t xml:space="preserve">Net cash from operations </t>
  </si>
  <si>
    <t>Net Capex</t>
  </si>
  <si>
    <t>Purchase and development of intangible assets</t>
  </si>
  <si>
    <t xml:space="preserve">Free cash flow </t>
  </si>
  <si>
    <t>Other investing activities</t>
  </si>
  <si>
    <t>Equity Issuance/Buyback</t>
  </si>
  <si>
    <t xml:space="preserve">Dividends Paid </t>
  </si>
  <si>
    <t>Change in debt</t>
  </si>
  <si>
    <t>Other financing activities</t>
  </si>
  <si>
    <t>Cash flow after financing activities</t>
  </si>
  <si>
    <t>FX and effects of inflation</t>
  </si>
  <si>
    <t>Balancing figure</t>
  </si>
  <si>
    <t xml:space="preserve">Net change in cash </t>
  </si>
  <si>
    <t xml:space="preserve">LTM </t>
  </si>
  <si>
    <t>Net Income</t>
  </si>
  <si>
    <t>Capex</t>
  </si>
  <si>
    <t xml:space="preserve">BALANCE SHEET </t>
  </si>
  <si>
    <t>Tangible fixed assets</t>
  </si>
  <si>
    <t>Inventory</t>
  </si>
  <si>
    <t>Trade accounts receivables, net</t>
  </si>
  <si>
    <t>Trade creditors /payables</t>
  </si>
  <si>
    <t>Net working capital</t>
  </si>
  <si>
    <t>% of revenues</t>
  </si>
  <si>
    <t>Inventory days</t>
  </si>
  <si>
    <t>Trade accounts receivables days</t>
  </si>
  <si>
    <t>Trade creditors /payables days</t>
  </si>
  <si>
    <t xml:space="preserve">Debt  Breakdown </t>
  </si>
  <si>
    <t>Short-term debt</t>
  </si>
  <si>
    <t>Long-term debt</t>
  </si>
  <si>
    <t>Total Debt</t>
  </si>
  <si>
    <t>Cash and equivalents</t>
  </si>
  <si>
    <t>Net debt</t>
  </si>
  <si>
    <t>Gross debt</t>
  </si>
  <si>
    <t>Company reported net debt</t>
  </si>
  <si>
    <t>Equity (as reported on balance sheet)</t>
  </si>
  <si>
    <t>Total debt + Equity</t>
  </si>
  <si>
    <t>CREDIT RATIOS</t>
  </si>
  <si>
    <t>Total Net Leverage</t>
  </si>
  <si>
    <t xml:space="preserve">Total Gross Leverage </t>
  </si>
  <si>
    <t>Company reported net leverage</t>
  </si>
  <si>
    <t>EBITDA - Capex / Interest</t>
  </si>
  <si>
    <t>EBITDA/Interest</t>
  </si>
  <si>
    <t xml:space="preserve">Gearing (Net debt / Equity) </t>
  </si>
  <si>
    <r>
      <t>Key  Credit Metrics (Ch$</t>
    </r>
    <r>
      <rPr>
        <b/>
        <sz val="10"/>
        <rFont val="Calibri"/>
        <family val="2"/>
      </rPr>
      <t xml:space="preserve"> mn where applicable)</t>
    </r>
  </si>
  <si>
    <t>Adjusted EBITDA margin</t>
  </si>
  <si>
    <t>Cash</t>
  </si>
  <si>
    <t xml:space="preserve">Net Leverage </t>
  </si>
  <si>
    <t>Summary Financials</t>
  </si>
  <si>
    <t>(R$)</t>
  </si>
  <si>
    <t>Gross Debt</t>
  </si>
  <si>
    <t>LTM Adjusted EBITDA</t>
  </si>
  <si>
    <t>FX rate average - Ch$/USD</t>
  </si>
  <si>
    <t>FX rate end of period - Ch$/USD</t>
  </si>
  <si>
    <t>USD to MXN  (EOP)</t>
  </si>
  <si>
    <t>Key  Credit Metrics (USD mn where applicable)</t>
  </si>
  <si>
    <t>Net sales</t>
  </si>
  <si>
    <t>Company Reported Leverage</t>
  </si>
  <si>
    <t>`</t>
  </si>
  <si>
    <t>Quarter</t>
  </si>
  <si>
    <t>(Ch$ millions)</t>
  </si>
  <si>
    <t>1Q</t>
  </si>
  <si>
    <t>2Q</t>
  </si>
  <si>
    <t>3Q</t>
  </si>
  <si>
    <t>4Q</t>
  </si>
  <si>
    <t>Argentina</t>
  </si>
  <si>
    <t>Sales Volume (mn UCs)</t>
  </si>
  <si>
    <t>Net Sales (ARS mn)</t>
  </si>
  <si>
    <t>Adjusted EBITDA (ARS mn)</t>
  </si>
  <si>
    <t>Adjusted EBITDA (margin)</t>
  </si>
  <si>
    <t>Revenues per unit case (US$)</t>
  </si>
  <si>
    <t>Adjusted EBITDA per unit case (US$)</t>
  </si>
  <si>
    <t>Capital Expenditures (US$ mn)</t>
  </si>
  <si>
    <t>Brazil</t>
  </si>
  <si>
    <t>Net Sales (BRL mn)</t>
  </si>
  <si>
    <t>Adjusted EBITDA (BRL mn)</t>
  </si>
  <si>
    <t>Chile</t>
  </si>
  <si>
    <t>Net Sales (CHP mn)</t>
  </si>
  <si>
    <t>Adjusted EBITDA (CHP mn)</t>
  </si>
  <si>
    <t>Paraguay</t>
  </si>
  <si>
    <t>Net Sales (PYG mn)</t>
  </si>
  <si>
    <t>Adjusted EBITDA (PYG mn)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</si>
</sst>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9">
    <numFmt numFmtId="5" formatCode="&quot;$&quot;#,##0_);\(&quot;$&quot;#,##0\)"/>
    <numFmt numFmtId="6" formatCode="&quot;$&quot;#,##0_);[Red]\(&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 #,##0.00_-;\-* #,##0.00_-;_-* &quot;-&quot;??_-;_-@_-"/>
    <numFmt numFmtId="165" formatCode="#,##0.0_);\(#,##0.0\)"/>
    <numFmt numFmtId="166" formatCode="#0.0%_);\(#0.0%\)"/>
    <numFmt numFmtId="167" formatCode="#0.00\x"/>
    <numFmt numFmtId="168" formatCode="mmm\ yyyy"/>
    <numFmt numFmtId="169" formatCode="0.0%"/>
    <numFmt numFmtId="170" formatCode="_(* #,##0.0_);_(* \(#,##0.0\);_(* &quot;-&quot;??_);_(@_)"/>
    <numFmt numFmtId="171" formatCode="_(* #,##0.000_);_(* \(#,##0.000\);_(* &quot;-&quot;??_);_(@_)"/>
    <numFmt numFmtId="172" formatCode="_(* #,##0_);_(* \(#,##0\);_(* &quot;-&quot;??_);_(@_)"/>
    <numFmt numFmtId="173" formatCode="#,##0.0\ ;\(#,##0.0\)"/>
    <numFmt numFmtId="174" formatCode="&quot;$&quot;#,##0.00_)&quot;per share&quot;;\(&quot;$&quot;#,##0.00\)&quot; per share&quot;"/>
    <numFmt numFmtId="175" formatCode="0.0_)\%;\(0.0\)\%;0.0_)\%;@_)_%"/>
    <numFmt numFmtId="176" formatCode="#,##0.0_)_%;\(#,##0.0\)_%;0.0_)_%;@_)_%"/>
    <numFmt numFmtId="177" formatCode="#,##0.0_);\(#,##0.0\);#,##0.0_);@_)"/>
    <numFmt numFmtId="178" formatCode="&quot;$&quot;_(#,##0.00_);&quot;$&quot;\(#,##0.00\);&quot;$&quot;_(0.00_);@_)"/>
    <numFmt numFmtId="179" formatCode="&quot;$&quot;_(#,##0.00_);&quot;$&quot;\(#,##0.00\)"/>
    <numFmt numFmtId="180" formatCode="#,##0.00_);\(#,##0.00\);0.00_);@_)"/>
    <numFmt numFmtId="181" formatCode="\€_(#,##0.00_);\€\(#,##0.00\);\€_(0.00_);@_)"/>
    <numFmt numFmtId="182" formatCode="#,##0_)\x;\(#,##0\)\x;0_)\x;@_)_x"/>
    <numFmt numFmtId="183" formatCode="#,##0.0_)\x;\(#,##0.0\)\x"/>
    <numFmt numFmtId="184" formatCode="#,##0_)_x;\(#,##0\)_x;0_)_x;@_)_x"/>
    <numFmt numFmtId="185" formatCode="#,##0.0_)_x;\(#,##0.0\)_x"/>
    <numFmt numFmtId="186" formatCode="0.0_)\%;\(0.0\)\%"/>
    <numFmt numFmtId="187" formatCode="#,##0.0_)_%;\(#,##0.0\)_%"/>
    <numFmt numFmtId="188" formatCode="_(\£* #,##0_);_(\£* \(#,##0\);_(\£* &quot;-&quot;_);_(@_)"/>
    <numFmt numFmtId="189" formatCode="_(\£* #,##0.0_);_(\£* \(#,##0.0\);_(\£* &quot;-&quot;_);_(@_)"/>
    <numFmt numFmtId="190" formatCode="_(\£* #,##0.00_);_(\£* \(#,##0.00\);_(\£* &quot;-&quot;_);_(@_)"/>
    <numFmt numFmtId="191" formatCode="_(* #,##0\p_);_(* \(#,##0\p\);_(* &quot;-&quot;\ \p_);_(@_)"/>
    <numFmt numFmtId="192" formatCode="_(* #,##0.00\p_);_(* \(#,##0.00\p\);_(* &quot;-&quot;\ \p_);_(@_)"/>
    <numFmt numFmtId="193" formatCode="\£#,##0.00"/>
    <numFmt numFmtId="194" formatCode="&quot;$&quot;&quot; &quot;#,##0_);\(&quot;$&quot;&quot; &quot;#,##0\);\-_)"/>
    <numFmt numFmtId="195" formatCode="#,##0_);\(#,##0\);\-_)"/>
    <numFmt numFmtId="196" formatCode="&quot;$&quot;#,##0_);[Red]\(&quot;$&quot;#,##0\);&quot;-&quot;"/>
    <numFmt numFmtId="197" formatCode="[Blue]0.0%;[Blue]\-0.0%"/>
    <numFmt numFmtId="198" formatCode="\£#,##0_);\(\£#,##0\)"/>
    <numFmt numFmtId="199" formatCode="&quot;fl&quot;#,##0_);\(&quot;fl&quot;#,##0\)"/>
    <numFmt numFmtId="200" formatCode="&quot;$&quot;\ #,##0_);\(&quot;$&quot;\ #,##0\)"/>
    <numFmt numFmtId="201" formatCode="_(&quot;R$&quot;* #,##0.00_);_(&quot;R$&quot;* \(#,##0.00\);_(&quot;R$&quot;* &quot;-&quot;??_);_(@_)"/>
    <numFmt numFmtId="202" formatCode="0.0\x;[Red]\(0.0\x\)"/>
    <numFmt numFmtId="203" formatCode="#,##0.0_);\(#,##0.0\);&quot;—&quot;_)"/>
    <numFmt numFmtId="204" formatCode="&quot;$&quot;#,##0.0_);\(&quot;$&quot;#,##0.0\);&quot;—&quot;_)"/>
    <numFmt numFmtId="205" formatCode="0.000000000%"/>
    <numFmt numFmtId="206" formatCode="#,##0.0000"/>
    <numFmt numFmtId="207" formatCode="mm/dd/yy"/>
    <numFmt numFmtId="208" formatCode="&quot;$&quot;#,##0.00"/>
    <numFmt numFmtId="209" formatCode="_([$€-2]* #,##0.00_);_([$€-2]* \(#,##0.00\);_([$€-2]* &quot;-&quot;??_)"/>
    <numFmt numFmtId="210" formatCode="#&quot; mon&quot;"/>
    <numFmt numFmtId="211" formatCode="#,##0\ &quot;F&quot;;[Red]\-#,##0\ &quot;F&quot;"/>
    <numFmt numFmtId="212" formatCode="#,##0.00\ &quot;F&quot;;[Red]\-#,##0.00\ &quot;F&quot;"/>
    <numFmt numFmtId="213" formatCode="#,##0.0\x_)_);\(#,##0.0\x\)_);#,##0.0\x_)_);@_%_)"/>
    <numFmt numFmtId="214" formatCode="_(* #,##0.00\ ___);_(* \(#,##0.00\ __\);_(* &quot;-&quot;??_);_(@_)"/>
    <numFmt numFmtId="215" formatCode="0%\);[Red]\(0%"/>
    <numFmt numFmtId="216" formatCode="_(* #,##0\ ___);_(* \(#,##0\ __\);_(* &quot;-&quot;??_);_(@_)"/>
    <numFmt numFmtId="217" formatCode="_(* #,##0\ \x_);_(* \(#,##0\ \x\);_(* &quot;-&quot;??_);_(@_)"/>
    <numFmt numFmtId="218" formatCode="0%_);[Red]\(0%\)"/>
    <numFmt numFmtId="219" formatCode="_(* #,##0.0\ ___);_(* \(#,##0.0\ __\);_(* &quot;-&quot;??_);_(@_)"/>
    <numFmt numFmtId="220" formatCode="_(* #,##0.0\ \x_);_(* \(#,##0.0\ \x\);_(* &quot;-&quot;??_);_(@_)"/>
    <numFmt numFmtId="221" formatCode="#,##0&quot; F&quot;_);\(#,##0&quot; F&quot;\)"/>
    <numFmt numFmtId="222" formatCode="_(* #,##0.00_);_(* \(\ #,##0.00\ \);_(* &quot;&quot;??_);_(\ @_ \)"/>
    <numFmt numFmtId="223" formatCode="0.00_)"/>
    <numFmt numFmtId="224" formatCode="_(* #,##0.0_);_(* \(#,##0.0\);_(* &quot;-&quot;?_);_(@_)"/>
    <numFmt numFmtId="225" formatCode="0.00%\ &quot;Ramped&quot;\ "/>
    <numFmt numFmtId="226" formatCode="0.00%\ &quot;Ramped&quot;"/>
    <numFmt numFmtId="227" formatCode="0.0000"/>
    <numFmt numFmtId="228" formatCode="0.000"/>
    <numFmt numFmtId="229" formatCode="&quot;Diversity =&quot;\ #.0"/>
    <numFmt numFmtId="230" formatCode="&quot;Ratings Factor =&quot;\ #"/>
    <numFmt numFmtId="231" formatCode="&quot;Page &quot;0"/>
    <numFmt numFmtId="232" formatCode="&quot;\&quot;#,##0.00;[Red]\-&quot;\&quot;#,##0.00"/>
    <numFmt numFmtId="233" formatCode="0.0_%"/>
    <numFmt numFmtId="234" formatCode="_(0.0%;_(* \(0.0\)%"/>
    <numFmt numFmtId="235" formatCode="_(* #,##0.0000_);_(* \(#,##0.0000\);_(* &quot;-&quot;??_);_(@_)"/>
    <numFmt numFmtId="236" formatCode="0&quot; bps&quot;"/>
    <numFmt numFmtId="237" formatCode="&quot;WAS =&quot;\ #.00"/>
    <numFmt numFmtId="238" formatCode="&quot;Avg. Px.=&quot;#.00"/>
    <numFmt numFmtId="239" formatCode="&quot;WAL=&quot;#.00"/>
    <numFmt numFmtId="240" formatCode="#.00\ &quot;years&quot;"/>
    <numFmt numFmtId="241" formatCode="&quot;2nd Lien=&quot;#"/>
    <numFmt numFmtId="242" formatCode="&quot;WAPP=&quot;#.00"/>
    <numFmt numFmtId="243" formatCode="&quot;WAS=&quot;#.00"/>
    <numFmt numFmtId="244" formatCode="&quot;WAC=&quot;#.00"/>
    <numFmt numFmtId="245" formatCode="&quot;$&quot;#,##0.0_);\(&quot;$&quot;#,##0.0\)"/>
    <numFmt numFmtId="246" formatCode="#,###,;\(#,###,\)"/>
    <numFmt numFmtId="247" formatCode="000\-00\-0000"/>
    <numFmt numFmtId="248" formatCode="&quot;$&quot;#,##0.0000"/>
    <numFmt numFmtId="249" formatCode="&quot;$&quot;#,##0.000000"/>
    <numFmt numFmtId="250" formatCode="&quot;$&quot;#,##0.000"/>
    <numFmt numFmtId="251" formatCode="000000000"/>
    <numFmt numFmtId="252" formatCode="000"/>
    <numFmt numFmtId="253" formatCode="hh:mm\ AM/PM_)"/>
    <numFmt numFmtId="254" formatCode="#.0&quot;x&quot;"/>
    <numFmt numFmtId="255" formatCode="yyyy"/>
    <numFmt numFmtId="256" formatCode="\¥#,##0_);\(\¥#,##0\)"/>
    <numFmt numFmtId="257" formatCode="#0.0\x"/>
    <numFmt numFmtId="258" formatCode="0.0\x"/>
    <numFmt numFmtId="259" formatCode="#,##0.00000_);\(#,##0.00000\)"/>
    <numFmt numFmtId="260" formatCode="#,##0.0"/>
    <numFmt numFmtId="261" formatCode="#,##0.000_);\(#,##0.000\)"/>
    <numFmt numFmtId="262" formatCode="_(* #,##0.00000_);_(* \(#,##0.00000\);_(* &quot;-&quot;??_);_(@_)"/>
    <numFmt numFmtId="263" formatCode="0.0000\x"/>
    <numFmt numFmtId="264" formatCode="0.0"/>
  </numFmts>
  <fonts count="133">
    <font>
      <sz val="10"/>
      <name val="Arial"/>
      <family val="2"/>
    </font>
    <font>
      <sz val="11"/>
      <color theme="1"/>
      <name val="Calibri"/>
      <family val="2"/>
      <scheme val="minor"/>
    </font>
    <font>
      <sz val="10"/>
      <name val="Arial"/>
      <family val="2"/>
    </font>
    <font>
      <sz val="8"/>
      <name val="Arial"/>
      <family val="2"/>
    </font>
    <font>
      <sz val="10"/>
      <color indexed="12"/>
      <name val="Arial"/>
      <family val="2"/>
    </font>
    <font>
      <sz val="10"/>
      <color indexed="8"/>
      <name val="Arial"/>
      <family val="2"/>
    </font>
    <font>
      <b/>
      <sz val="10"/>
      <name val="Arial"/>
      <family val="2"/>
    </font>
    <font>
      <sz val="10"/>
      <name val="Arial"/>
      <family val="2"/>
    </font>
    <font>
      <b/>
      <i/>
      <sz val="9"/>
      <name val="Arial"/>
      <family val="2"/>
    </font>
    <font>
      <b/>
      <u val="singleAccounting"/>
      <sz val="8"/>
      <color indexed="8"/>
      <name val="Arial"/>
      <family val="2"/>
    </font>
    <font>
      <sz val="1"/>
      <color indexed="9"/>
      <name val="Symbol"/>
      <family val="1"/>
    </font>
    <font>
      <b/>
      <u val="singleAccounting"/>
      <sz val="8"/>
      <color indexed="8"/>
      <name val="Verdana"/>
      <family val="2"/>
    </font>
    <font>
      <b/>
      <sz val="10"/>
      <color indexed="9"/>
      <name val="Arial"/>
      <family val="2"/>
    </font>
    <font>
      <b/>
      <sz val="12"/>
      <color indexed="8"/>
      <name val="Verdana"/>
      <family val="2"/>
    </font>
    <font>
      <b/>
      <sz val="8"/>
      <color indexed="9"/>
      <name val="Verdana"/>
      <family val="2"/>
    </font>
    <font>
      <vertAlign val="subscript"/>
      <sz val="8"/>
      <color indexed="8"/>
      <name val="Arial"/>
      <family val="2"/>
    </font>
    <font>
      <vertAlign val="superscript"/>
      <sz val="8"/>
      <color indexed="8"/>
      <name val="Arial"/>
      <family val="2"/>
    </font>
    <font>
      <b/>
      <sz val="8"/>
      <color indexed="8"/>
      <name val="Arial"/>
      <family val="2"/>
    </font>
    <font>
      <i/>
      <sz val="8"/>
      <color indexed="8"/>
      <name val="Arial"/>
      <family val="2"/>
    </font>
    <font>
      <sz val="8"/>
      <color indexed="8"/>
      <name val="Arial"/>
      <family val="2"/>
    </font>
    <font>
      <b/>
      <sz val="13"/>
      <color indexed="8"/>
      <name val="Verdana"/>
      <family val="2"/>
    </font>
    <font>
      <b/>
      <sz val="8"/>
      <name val="Arial"/>
      <family val="2"/>
    </font>
    <font>
      <u val="singleAccounting"/>
      <sz val="10"/>
      <name val="Arial"/>
      <family val="2"/>
    </font>
    <font>
      <sz val="10"/>
      <name val="Times New Roman"/>
      <family val="1"/>
    </font>
    <font>
      <b/>
      <sz val="10"/>
      <name val="Times New Roman"/>
      <family val="1"/>
    </font>
    <font>
      <b/>
      <sz val="10"/>
      <color indexed="12"/>
      <name val="Times New Roman"/>
      <family val="1"/>
    </font>
    <font>
      <i/>
      <sz val="10"/>
      <name val="Times New Roman"/>
      <family val="1"/>
    </font>
    <font>
      <sz val="9"/>
      <name val="Arial"/>
      <family val="2"/>
    </font>
    <font>
      <sz val="8"/>
      <name val="Times New Roman"/>
      <family val="1"/>
    </font>
    <font>
      <b/>
      <sz val="22"/>
      <color indexed="18"/>
      <name val="Arial"/>
      <family val="2"/>
    </font>
    <font>
      <b/>
      <sz val="14"/>
      <color indexed="18"/>
      <name val="Arial"/>
      <family val="2"/>
    </font>
    <font>
      <sz val="9"/>
      <color indexed="8"/>
      <name val="Arial"/>
      <family val="2"/>
    </font>
    <font>
      <b/>
      <sz val="10"/>
      <color indexed="18"/>
      <name val="Arial"/>
      <family val="2"/>
    </font>
    <font>
      <b/>
      <u val="singleAccounting"/>
      <sz val="10"/>
      <color indexed="18"/>
      <name val="Arial"/>
      <family val="2"/>
    </font>
    <font>
      <sz val="8"/>
      <color indexed="8"/>
      <name val="Times New Roman"/>
      <family val="1"/>
    </font>
    <font>
      <sz val="8"/>
      <color indexed="14"/>
      <name val="Times New Roman"/>
      <family val="1"/>
    </font>
    <font>
      <sz val="10"/>
      <name val="Book Antiqua"/>
      <family val="1"/>
    </font>
    <font>
      <sz val="8"/>
      <name val="Times"/>
      <family val="1"/>
    </font>
    <font>
      <b/>
      <sz val="12"/>
      <name val="Times"/>
      <family val="1"/>
    </font>
    <font>
      <sz val="12"/>
      <name val="Arial"/>
      <family val="2"/>
    </font>
    <font>
      <sz val="10"/>
      <color indexed="8"/>
      <name val="Times New Roman"/>
      <family val="1"/>
    </font>
    <font>
      <sz val="8"/>
      <color indexed="12"/>
      <name val="Times"/>
      <family val="1"/>
    </font>
    <font>
      <sz val="8"/>
      <name val="Helv"/>
    </font>
    <font>
      <sz val="12"/>
      <name val="Times"/>
      <family val="1"/>
    </font>
    <font>
      <b/>
      <i/>
      <sz val="10"/>
      <name val="Arial"/>
      <family val="2"/>
    </font>
    <font>
      <b/>
      <i/>
      <sz val="12"/>
      <name val="Times New Roman"/>
      <family val="1"/>
    </font>
    <font>
      <b/>
      <u/>
      <sz val="8"/>
      <color indexed="8"/>
      <name val="Times New Roman"/>
      <family val="1"/>
    </font>
    <font>
      <b/>
      <sz val="9"/>
      <color indexed="8"/>
      <name val="Times New Roman"/>
      <family val="1"/>
    </font>
    <font>
      <i/>
      <sz val="8"/>
      <name val="Arial"/>
      <family val="2"/>
    </font>
    <font>
      <b/>
      <i/>
      <sz val="8"/>
      <name val="Arial"/>
      <family val="2"/>
    </font>
    <font>
      <b/>
      <sz val="8"/>
      <name val="Book Antiqua"/>
      <family val="1"/>
    </font>
    <font>
      <sz val="14"/>
      <name val="Arial"/>
      <family val="2"/>
    </font>
    <font>
      <sz val="8"/>
      <color indexed="12"/>
      <name val="Times New Roman"/>
      <family val="1"/>
    </font>
    <font>
      <b/>
      <sz val="14"/>
      <name val="Book Antiqua"/>
      <family val="1"/>
    </font>
    <font>
      <sz val="10"/>
      <name val="MS Serif"/>
      <family val="1"/>
    </font>
    <font>
      <sz val="10"/>
      <name val="MS Sans Serif"/>
      <family val="2"/>
    </font>
    <font>
      <sz val="12"/>
      <name val="Times New Roman"/>
      <family val="1"/>
    </font>
    <font>
      <u val="doubleAccounting"/>
      <sz val="10"/>
      <name val="Arial"/>
      <family val="2"/>
    </font>
    <font>
      <sz val="10"/>
      <color indexed="16"/>
      <name val="MS Serif"/>
      <family val="1"/>
    </font>
    <font>
      <b/>
      <i/>
      <sz val="9"/>
      <color indexed="4"/>
      <name val="Times New Roman"/>
      <family val="1"/>
    </font>
    <font>
      <sz val="7"/>
      <name val="Arial"/>
      <family val="2"/>
    </font>
    <font>
      <b/>
      <sz val="14"/>
      <name val="Arial"/>
      <family val="2"/>
    </font>
    <font>
      <u/>
      <sz val="8"/>
      <name val="Times New Roman"/>
      <family val="1"/>
    </font>
    <font>
      <b/>
      <sz val="12"/>
      <color indexed="9"/>
      <name val="Times"/>
      <family val="1"/>
    </font>
    <font>
      <b/>
      <i/>
      <sz val="18"/>
      <color indexed="4"/>
      <name val="Times New Roman"/>
      <family val="1"/>
    </font>
    <font>
      <b/>
      <sz val="12"/>
      <name val="Arial"/>
      <family val="2"/>
    </font>
    <font>
      <b/>
      <sz val="8"/>
      <name val="Palatino"/>
      <family val="1"/>
    </font>
    <font>
      <b/>
      <sz val="9"/>
      <name val="Arial"/>
      <family val="2"/>
    </font>
    <font>
      <b/>
      <sz val="8"/>
      <name val="MS Sans Serif"/>
      <family val="2"/>
    </font>
    <font>
      <b/>
      <i/>
      <sz val="10"/>
      <name val="Times New Roman"/>
      <family val="1"/>
    </font>
    <font>
      <b/>
      <sz val="10"/>
      <name val="Palatino"/>
      <family val="1"/>
    </font>
    <font>
      <sz val="8"/>
      <name val="Book Antiqua"/>
      <family val="1"/>
    </font>
    <font>
      <sz val="10"/>
      <name val="Geneva"/>
      <family val="2"/>
    </font>
    <font>
      <i/>
      <sz val="7"/>
      <name val="Book Antiqua"/>
      <family val="1"/>
    </font>
    <font>
      <sz val="8"/>
      <name val="Palatino"/>
      <family val="1"/>
    </font>
    <font>
      <b/>
      <i/>
      <sz val="16"/>
      <name val="Helv"/>
    </font>
    <font>
      <sz val="10"/>
      <color indexed="12"/>
      <name val="Times New Roman"/>
      <family val="1"/>
    </font>
    <font>
      <b/>
      <sz val="11"/>
      <name val="Times New Roman"/>
      <family val="1"/>
    </font>
    <font>
      <sz val="11"/>
      <name val="Times New Roman"/>
      <family val="1"/>
    </font>
    <font>
      <b/>
      <u/>
      <sz val="10"/>
      <color indexed="12"/>
      <name val="Times New Roman"/>
      <family val="1"/>
    </font>
    <font>
      <b/>
      <sz val="12"/>
      <name val="Times New Roman"/>
      <family val="1"/>
    </font>
    <font>
      <b/>
      <sz val="15"/>
      <name val="Times New Roman"/>
      <family val="1"/>
    </font>
    <font>
      <sz val="8"/>
      <color indexed="72"/>
      <name val="Arial"/>
      <family val="2"/>
    </font>
    <font>
      <sz val="11"/>
      <color indexed="8"/>
      <name val="Times New Roman"/>
      <family val="1"/>
    </font>
    <font>
      <b/>
      <i/>
      <sz val="11"/>
      <color indexed="8"/>
      <name val="Times New Roman"/>
      <family val="1"/>
    </font>
    <font>
      <b/>
      <sz val="11"/>
      <color indexed="16"/>
      <name val="Times New Roman"/>
      <family val="1"/>
    </font>
    <font>
      <u/>
      <sz val="8"/>
      <name val="Book Antiqua"/>
      <family val="1"/>
    </font>
    <font>
      <sz val="9"/>
      <name val="Times New Roman"/>
      <family val="1"/>
    </font>
    <font>
      <b/>
      <sz val="9"/>
      <name val="Times New Roman"/>
      <family val="1"/>
    </font>
    <font>
      <sz val="12"/>
      <name val="Arial MT"/>
    </font>
    <font>
      <b/>
      <sz val="10"/>
      <color indexed="8"/>
      <name val="Arial Narrow"/>
      <family val="2"/>
    </font>
    <font>
      <b/>
      <sz val="10"/>
      <name val="MS Sans Serif"/>
      <family val="2"/>
    </font>
    <font>
      <sz val="7"/>
      <color indexed="12"/>
      <name val="Arial"/>
      <family val="2"/>
    </font>
    <font>
      <sz val="8"/>
      <name val="Wingdings"/>
      <charset val="2"/>
    </font>
    <font>
      <sz val="9"/>
      <color indexed="8"/>
      <name val="Times New Roman"/>
      <family val="1"/>
    </font>
    <font>
      <sz val="8"/>
      <name val="MS Sans Serif"/>
      <family val="2"/>
    </font>
    <font>
      <b/>
      <sz val="8"/>
      <color indexed="10"/>
      <name val="Times New Roman"/>
      <family val="1"/>
    </font>
    <font>
      <b/>
      <sz val="8"/>
      <color indexed="8"/>
      <name val="Helv"/>
    </font>
    <font>
      <b/>
      <sz val="14"/>
      <color indexed="8"/>
      <name val="Times New Roman"/>
      <family val="1"/>
    </font>
    <font>
      <b/>
      <u/>
      <sz val="14"/>
      <name val="Book Antiqua"/>
      <family val="1"/>
    </font>
    <font>
      <b/>
      <sz val="10"/>
      <name val="Book Antiqua"/>
      <family val="1"/>
    </font>
    <font>
      <b/>
      <sz val="7"/>
      <name val="Arial"/>
      <family val="2"/>
    </font>
    <font>
      <b/>
      <sz val="7"/>
      <color indexed="12"/>
      <name val="Arial"/>
      <family val="2"/>
    </font>
    <font>
      <b/>
      <u/>
      <sz val="10"/>
      <name val="Book Antiqua"/>
      <family val="1"/>
    </font>
    <font>
      <b/>
      <sz val="8"/>
      <name val="Times New Roman"/>
      <family val="1"/>
    </font>
    <font>
      <sz val="9"/>
      <color indexed="81"/>
      <name val="Tahoma"/>
      <family val="2"/>
    </font>
    <font>
      <b/>
      <sz val="9"/>
      <color indexed="81"/>
      <name val="Tahoma"/>
      <family val="2"/>
    </font>
    <font>
      <b/>
      <sz val="11"/>
      <color indexed="9"/>
      <name val="Calibri"/>
      <family val="2"/>
    </font>
    <font>
      <b/>
      <sz val="10"/>
      <name val="Calibri"/>
      <family val="2"/>
    </font>
    <font>
      <b/>
      <sz val="10"/>
      <color indexed="8"/>
      <name val="Arial"/>
      <family val="2"/>
    </font>
    <font>
      <sz val="11"/>
      <color theme="1"/>
      <name val="Calibri"/>
      <family val="2"/>
      <scheme val="minor"/>
    </font>
    <font>
      <sz val="10"/>
      <name val="Calibri"/>
      <family val="2"/>
      <scheme val="minor"/>
    </font>
    <font>
      <b/>
      <sz val="10"/>
      <color indexed="9"/>
      <name val="Calibri"/>
      <family val="2"/>
      <scheme val="minor"/>
    </font>
    <font>
      <b/>
      <sz val="10"/>
      <color indexed="12"/>
      <name val="Calibri"/>
      <family val="2"/>
      <scheme val="minor"/>
    </font>
    <font>
      <sz val="10"/>
      <color indexed="12"/>
      <name val="Calibri"/>
      <family val="2"/>
      <scheme val="minor"/>
    </font>
    <font>
      <b/>
      <sz val="10"/>
      <name val="Calibri"/>
      <family val="2"/>
      <scheme val="minor"/>
    </font>
    <font>
      <b/>
      <u/>
      <sz val="16"/>
      <name val="Calibri"/>
      <family val="2"/>
      <scheme val="minor"/>
    </font>
    <font>
      <i/>
      <sz val="10"/>
      <name val="Calibri"/>
      <family val="2"/>
      <scheme val="minor"/>
    </font>
    <font>
      <i/>
      <sz val="10"/>
      <color indexed="8"/>
      <name val="Calibri"/>
      <family val="2"/>
      <scheme val="minor"/>
    </font>
    <font>
      <sz val="10"/>
      <color rgb="FFFF0000"/>
      <name val="Calibri"/>
      <family val="2"/>
      <scheme val="minor"/>
    </font>
    <font>
      <b/>
      <sz val="10"/>
      <color indexed="8"/>
      <name val="Calibri"/>
      <family val="2"/>
      <scheme val="minor"/>
    </font>
    <font>
      <sz val="10"/>
      <color rgb="FF0000FF"/>
      <name val="Calibri"/>
      <family val="2"/>
      <scheme val="minor"/>
    </font>
    <font>
      <i/>
      <sz val="8"/>
      <color rgb="FFFF0000"/>
      <name val="Calibri"/>
      <family val="2"/>
      <scheme val="minor"/>
    </font>
    <font>
      <b/>
      <sz val="10"/>
      <color theme="1"/>
      <name val="Calibri"/>
      <family val="2"/>
      <scheme val="minor"/>
    </font>
    <font>
      <sz val="10"/>
      <color theme="1"/>
      <name val="Calibri"/>
      <family val="2"/>
      <scheme val="minor"/>
    </font>
    <font>
      <i/>
      <sz val="10"/>
      <color theme="1"/>
      <name val="Calibri"/>
      <family val="2"/>
      <scheme val="minor"/>
    </font>
    <font>
      <i/>
      <sz val="10"/>
      <color rgb="FFFF0000"/>
      <name val="Calibri"/>
      <family val="2"/>
      <scheme val="minor"/>
    </font>
    <font>
      <b/>
      <sz val="10"/>
      <color rgb="FF0000FF"/>
      <name val="Calibri"/>
      <family val="2"/>
      <scheme val="minor"/>
    </font>
    <font>
      <b/>
      <sz val="10"/>
      <color rgb="FFFF0000"/>
      <name val="Calibri"/>
      <family val="2"/>
      <scheme val="minor"/>
    </font>
    <font>
      <sz val="9"/>
      <color indexed="81"/>
      <name val="Tahoma"/>
      <charset val="1"/>
    </font>
    <font>
      <i/>
      <sz val="8"/>
      <color indexed="12"/>
      <name val="Calibri"/>
      <family val="2"/>
      <scheme val="minor"/>
    </font>
    <font>
      <b/>
      <i/>
      <sz val="8"/>
      <name val="Calibri"/>
      <family val="2"/>
      <scheme val="minor"/>
    </font>
    <font>
      <b/>
      <sz val="9"/>
      <color indexed="81"/>
      <name val="Tahoma"/>
      <charset val="1"/>
    </font>
  </fonts>
  <fills count="35">
    <fill>
      <patternFill patternType="none"/>
    </fill>
    <fill>
      <patternFill patternType="gray125"/>
    </fill>
    <fill>
      <patternFill patternType="solid">
        <fgColor indexed="43"/>
      </patternFill>
    </fill>
    <fill>
      <patternFill patternType="solid">
        <fgColor indexed="44"/>
      </patternFill>
    </fill>
    <fill>
      <patternFill patternType="lightGray">
        <fgColor indexed="15"/>
      </patternFill>
    </fill>
    <fill>
      <patternFill patternType="solid">
        <fgColor indexed="60"/>
        <bgColor indexed="64"/>
      </patternFill>
    </fill>
    <fill>
      <patternFill patternType="solid">
        <fgColor indexed="9"/>
        <bgColor indexed="64"/>
      </patternFill>
    </fill>
    <fill>
      <patternFill patternType="solid">
        <fgColor indexed="22"/>
        <bgColor indexed="64"/>
      </patternFill>
    </fill>
    <fill>
      <patternFill patternType="solid">
        <fgColor indexed="55"/>
        <bgColor indexed="64"/>
      </patternFill>
    </fill>
    <fill>
      <patternFill patternType="solid">
        <fgColor indexed="65"/>
        <bgColor indexed="64"/>
      </patternFill>
    </fill>
    <fill>
      <patternFill patternType="solid">
        <fgColor indexed="26"/>
        <bgColor indexed="64"/>
      </patternFill>
    </fill>
    <fill>
      <patternFill patternType="solid">
        <fgColor indexed="62"/>
        <bgColor indexed="64"/>
      </patternFill>
    </fill>
    <fill>
      <patternFill patternType="solid">
        <fgColor indexed="63"/>
        <bgColor indexed="64"/>
      </patternFill>
    </fill>
    <fill>
      <patternFill patternType="solid">
        <fgColor indexed="13"/>
        <bgColor indexed="64"/>
      </patternFill>
    </fill>
    <fill>
      <patternFill patternType="solid">
        <fgColor indexed="43"/>
        <bgColor indexed="64"/>
      </patternFill>
    </fill>
    <fill>
      <patternFill patternType="solid">
        <fgColor indexed="52"/>
        <bgColor indexed="64"/>
      </patternFill>
    </fill>
    <fill>
      <patternFill patternType="solid">
        <fgColor indexed="42"/>
        <bgColor indexed="64"/>
      </patternFill>
    </fill>
    <fill>
      <patternFill patternType="solid">
        <fgColor indexed="41"/>
        <bgColor indexed="64"/>
      </patternFill>
    </fill>
    <fill>
      <patternFill patternType="solid">
        <fgColor indexed="44"/>
        <bgColor indexed="64"/>
      </patternFill>
    </fill>
    <fill>
      <patternFill patternType="solid">
        <fgColor indexed="50"/>
        <bgColor indexed="64"/>
      </patternFill>
    </fill>
    <fill>
      <patternFill patternType="mediumGray">
        <fgColor indexed="22"/>
      </patternFill>
    </fill>
    <fill>
      <patternFill patternType="darkVertical"/>
    </fill>
    <fill>
      <patternFill patternType="solid">
        <fgColor indexed="56"/>
        <bgColor indexed="64"/>
      </patternFill>
    </fill>
    <fill>
      <patternFill patternType="solid">
        <fgColor indexed="15"/>
        <bgColor indexed="64"/>
      </patternFill>
    </fill>
    <fill>
      <patternFill patternType="lightGray">
        <fgColor indexed="13"/>
      </patternFill>
    </fill>
    <fill>
      <patternFill patternType="solid">
        <fgColor rgb="FF4F81BD"/>
        <bgColor indexed="64"/>
      </patternFill>
    </fill>
    <fill>
      <patternFill patternType="solid">
        <fgColor rgb="FFFFFFFF"/>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bgColor indexed="64"/>
      </patternFill>
    </fill>
    <fill>
      <patternFill patternType="solid">
        <fgColor theme="0" tint="-0.14999847407452621"/>
        <bgColor indexed="64"/>
      </patternFill>
    </fill>
    <fill>
      <patternFill patternType="solid">
        <fgColor rgb="FFFFC000"/>
        <bgColor indexed="64"/>
      </patternFill>
    </fill>
    <fill>
      <patternFill patternType="solid">
        <fgColor theme="9" tint="0.79998168889431442"/>
        <bgColor indexed="64"/>
      </patternFill>
    </fill>
  </fills>
  <borders count="51">
    <border>
      <left/>
      <right/>
      <top/>
      <bottom/>
      <diagonal/>
    </border>
    <border>
      <left/>
      <right/>
      <top style="hair">
        <color indexed="8"/>
      </top>
      <bottom style="hair">
        <color indexed="8"/>
      </bottom>
      <diagonal/>
    </border>
    <border>
      <left/>
      <right/>
      <top/>
      <bottom style="medium">
        <color indexed="18"/>
      </bottom>
      <diagonal/>
    </border>
    <border>
      <left/>
      <right/>
      <top/>
      <bottom style="thin">
        <color indexed="64"/>
      </bottom>
      <diagonal/>
    </border>
    <border>
      <left/>
      <right/>
      <top style="thin">
        <color indexed="8"/>
      </top>
      <bottom/>
      <diagonal/>
    </border>
    <border>
      <left/>
      <right/>
      <top/>
      <bottom style="thin">
        <color indexed="8"/>
      </bottom>
      <diagonal/>
    </border>
    <border>
      <left/>
      <right/>
      <top style="double">
        <color indexed="64"/>
      </top>
      <bottom style="double">
        <color indexed="64"/>
      </bottom>
      <diagonal/>
    </border>
    <border>
      <left/>
      <right/>
      <top/>
      <bottom style="double">
        <color indexed="64"/>
      </bottom>
      <diagonal/>
    </border>
    <border>
      <left style="thin">
        <color indexed="64"/>
      </left>
      <right style="thin">
        <color indexed="64"/>
      </right>
      <top/>
      <bottom/>
      <diagonal/>
    </border>
    <border>
      <left/>
      <right/>
      <top style="thin">
        <color indexed="64"/>
      </top>
      <bottom style="thin">
        <color indexed="64"/>
      </bottom>
      <diagonal/>
    </border>
    <border>
      <left/>
      <right/>
      <top style="medium">
        <color indexed="64"/>
      </top>
      <bottom style="medium">
        <color indexed="6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22"/>
      </left>
      <right style="thin">
        <color indexed="22"/>
      </right>
      <top style="thin">
        <color indexed="22"/>
      </top>
      <bottom style="thin">
        <color indexed="22"/>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right/>
      <top/>
      <bottom style="medium">
        <color indexed="45"/>
      </bottom>
      <diagonal/>
    </border>
    <border>
      <left/>
      <right/>
      <top/>
      <bottom style="thin">
        <color indexed="45"/>
      </bottom>
      <diagonal/>
    </border>
    <border>
      <left/>
      <right/>
      <top style="medium">
        <color indexed="45"/>
      </top>
      <bottom/>
      <diagonal/>
    </border>
    <border>
      <left/>
      <right/>
      <top/>
      <bottom style="double">
        <color indexed="45"/>
      </bottom>
      <diagonal/>
    </border>
    <border>
      <left style="thick">
        <color indexed="9"/>
      </left>
      <right style="thick">
        <color indexed="9"/>
      </right>
      <top/>
      <bottom style="double">
        <color indexed="64"/>
      </bottom>
      <diagonal/>
    </border>
    <border>
      <left style="thick">
        <color indexed="64"/>
      </left>
      <right style="thin">
        <color indexed="64"/>
      </right>
      <top/>
      <bottom/>
      <diagonal/>
    </border>
    <border>
      <left/>
      <right/>
      <top/>
      <bottom style="thin">
        <color indexed="9"/>
      </bottom>
      <diagonal/>
    </border>
    <border>
      <left/>
      <right/>
      <top style="thin">
        <color indexed="64"/>
      </top>
      <bottom style="double">
        <color indexed="64"/>
      </bottom>
      <diagonal/>
    </border>
    <border>
      <left style="medium">
        <color indexed="64"/>
      </left>
      <right/>
      <top style="medium">
        <color indexed="64"/>
      </top>
      <bottom style="thin">
        <color indexed="64"/>
      </bottom>
      <diagonal/>
    </border>
    <border>
      <left/>
      <right/>
      <top style="double">
        <color indexed="64"/>
      </top>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s>
  <cellStyleXfs count="1038">
    <xf numFmtId="0" fontId="0" fillId="0" borderId="0"/>
    <xf numFmtId="173" fontId="27" fillId="0" borderId="0"/>
    <xf numFmtId="0" fontId="28" fillId="0" borderId="0">
      <alignment horizontal="right"/>
    </xf>
    <xf numFmtId="0" fontId="7" fillId="0" borderId="0"/>
    <xf numFmtId="174" fontId="23" fillId="0" borderId="0" applyFont="0" applyFill="0" applyBorder="0" applyAlignment="0"/>
    <xf numFmtId="175" fontId="7" fillId="0" borderId="0" applyFont="0" applyFill="0" applyBorder="0" applyAlignment="0" applyProtection="0"/>
    <xf numFmtId="176" fontId="7" fillId="0" borderId="0" applyFont="0" applyFill="0" applyBorder="0" applyAlignment="0" applyProtection="0"/>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pplyNumberFormat="0" applyFill="0" applyBorder="0" applyAlignment="0" applyProtection="0">
      <alignment horizontal="left" wrapText="1"/>
    </xf>
    <xf numFmtId="0" fontId="5" fillId="0" borderId="0">
      <alignment vertical="top"/>
    </xf>
    <xf numFmtId="0" fontId="5" fillId="0" borderId="0">
      <alignment vertical="top"/>
    </xf>
    <xf numFmtId="0" fontId="5" fillId="0" borderId="0">
      <alignment vertical="top"/>
    </xf>
    <xf numFmtId="0" fontId="5" fillId="0" borderId="0">
      <alignment vertical="top"/>
    </xf>
    <xf numFmtId="0" fontId="5" fillId="0" borderId="0">
      <alignment vertical="top"/>
    </xf>
    <xf numFmtId="0" fontId="7" fillId="0" borderId="0" applyNumberFormat="0" applyFill="0" applyBorder="0" applyAlignment="0" applyProtection="0">
      <alignment horizontal="left" wrapText="1"/>
    </xf>
    <xf numFmtId="0" fontId="5" fillId="0" borderId="0">
      <alignment vertical="top"/>
    </xf>
    <xf numFmtId="0" fontId="5" fillId="0" borderId="0">
      <alignment vertical="top"/>
    </xf>
    <xf numFmtId="0" fontId="5" fillId="0" borderId="0">
      <alignment vertical="top"/>
    </xf>
    <xf numFmtId="0" fontId="5" fillId="0" borderId="0">
      <alignment vertical="top"/>
    </xf>
    <xf numFmtId="0" fontId="5" fillId="0" borderId="0">
      <alignment vertical="top"/>
    </xf>
    <xf numFmtId="0" fontId="5" fillId="0" borderId="0">
      <alignment vertical="top"/>
    </xf>
    <xf numFmtId="0" fontId="5" fillId="0" borderId="0">
      <alignment vertical="top"/>
    </xf>
    <xf numFmtId="0" fontId="5" fillId="0" borderId="0">
      <alignment vertical="top"/>
    </xf>
    <xf numFmtId="0" fontId="5" fillId="0" borderId="0">
      <alignment vertical="top"/>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vertical="top"/>
    </xf>
    <xf numFmtId="0" fontId="7" fillId="0" borderId="0" applyNumberFormat="0" applyFill="0" applyBorder="0" applyAlignment="0" applyProtection="0">
      <alignment horizontal="left" wrapText="1"/>
    </xf>
    <xf numFmtId="0" fontId="7" fillId="0" borderId="0">
      <alignment vertical="top"/>
    </xf>
    <xf numFmtId="177" fontId="7" fillId="0" borderId="0" applyFont="0" applyFill="0" applyBorder="0" applyAlignment="0" applyProtection="0"/>
    <xf numFmtId="165" fontId="7" fillId="0" borderId="0" applyFont="0" applyFill="0" applyBorder="0" applyAlignment="0" applyProtection="0"/>
    <xf numFmtId="178" fontId="7" fillId="0" borderId="0" applyFont="0" applyFill="0" applyBorder="0" applyAlignment="0" applyProtection="0"/>
    <xf numFmtId="179" fontId="7" fillId="0" borderId="0" applyFont="0" applyFill="0" applyBorder="0" applyAlignment="0" applyProtection="0"/>
    <xf numFmtId="180" fontId="7" fillId="0" borderId="0" applyFont="0" applyFill="0" applyBorder="0" applyAlignment="0" applyProtection="0"/>
    <xf numFmtId="39" fontId="7" fillId="0" borderId="0" applyFont="0" applyFill="0" applyBorder="0" applyAlignment="0" applyProtection="0"/>
    <xf numFmtId="181" fontId="7" fillId="0" borderId="0" applyFont="0" applyFill="0" applyBorder="0" applyAlignment="0" applyProtection="0"/>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29" fillId="0" borderId="0" applyNumberFormat="0" applyFill="0" applyBorder="0" applyAlignment="0" applyProtection="0"/>
    <xf numFmtId="0" fontId="29" fillId="0" borderId="0" applyNumberFormat="0" applyFill="0" applyBorder="0" applyAlignment="0" applyProtection="0"/>
    <xf numFmtId="0" fontId="7" fillId="2" borderId="0" applyNumberFormat="0" applyFont="0" applyAlignment="0" applyProtection="0"/>
    <xf numFmtId="0" fontId="7" fillId="0" borderId="0" applyFont="0" applyFill="0" applyBorder="0" applyAlignment="0" applyProtection="0"/>
    <xf numFmtId="182" fontId="7" fillId="0" borderId="0" applyFont="0" applyFill="0" applyBorder="0" applyAlignment="0" applyProtection="0"/>
    <xf numFmtId="183" fontId="7" fillId="0" borderId="0" applyFont="0" applyFill="0" applyBorder="0" applyAlignment="0" applyProtection="0"/>
    <xf numFmtId="184" fontId="7" fillId="0" borderId="0" applyFont="0" applyFill="0" applyBorder="0" applyProtection="0">
      <alignment horizontal="right"/>
    </xf>
    <xf numFmtId="185" fontId="7" fillId="0" borderId="0" applyFont="0" applyFill="0" applyBorder="0" applyAlignment="0" applyProtection="0"/>
    <xf numFmtId="0" fontId="7" fillId="0" borderId="0">
      <alignment horizontal="left" wrapText="1"/>
    </xf>
    <xf numFmtId="0" fontId="7" fillId="0" borderId="0">
      <alignment horizontal="left" wrapText="1"/>
    </xf>
    <xf numFmtId="186" fontId="7" fillId="0" borderId="0" applyFont="0" applyFill="0" applyBorder="0" applyAlignment="0" applyProtection="0"/>
    <xf numFmtId="187" fontId="7" fillId="0" borderId="0" applyFont="0" applyFill="0" applyBorder="0" applyAlignment="0" applyProtection="0"/>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7" fillId="0" borderId="0" applyFont="0" applyFill="0" applyBorder="0" applyAlignment="0" applyProtection="0"/>
    <xf numFmtId="0" fontId="5" fillId="0" borderId="0">
      <alignment vertical="top"/>
    </xf>
    <xf numFmtId="0" fontId="5" fillId="0" borderId="0">
      <alignment vertical="top"/>
    </xf>
    <xf numFmtId="0" fontId="5" fillId="0" borderId="0">
      <alignment vertical="top"/>
    </xf>
    <xf numFmtId="0" fontId="5" fillId="0" borderId="0">
      <alignment vertical="top"/>
    </xf>
    <xf numFmtId="0" fontId="5" fillId="0" borderId="0">
      <alignment vertical="top"/>
    </xf>
    <xf numFmtId="0" fontId="5" fillId="0" borderId="0">
      <alignment vertical="top"/>
    </xf>
    <xf numFmtId="0" fontId="5" fillId="0" borderId="0">
      <alignment vertical="top"/>
    </xf>
    <xf numFmtId="0" fontId="7" fillId="0" borderId="0">
      <alignment horizontal="left" wrapText="1"/>
    </xf>
    <xf numFmtId="0" fontId="7" fillId="0" borderId="0">
      <alignment horizontal="left" wrapText="1"/>
    </xf>
    <xf numFmtId="0" fontId="7" fillId="0" borderId="0">
      <alignment horizontal="left" wrapText="1"/>
    </xf>
    <xf numFmtId="0" fontId="7" fillId="0" borderId="0">
      <alignment horizontal="left" wrapText="1"/>
    </xf>
    <xf numFmtId="0" fontId="30" fillId="0" borderId="0" applyNumberFormat="0" applyFill="0" applyBorder="0" applyProtection="0">
      <alignment vertical="top"/>
    </xf>
    <xf numFmtId="0" fontId="30" fillId="0" borderId="0" applyNumberFormat="0" applyFill="0" applyBorder="0" applyProtection="0">
      <alignment vertical="top"/>
    </xf>
    <xf numFmtId="0" fontId="31" fillId="0" borderId="1" applyNumberFormat="0" applyFill="0" applyAlignment="0" applyProtection="0"/>
    <xf numFmtId="0" fontId="32" fillId="0" borderId="2" applyNumberFormat="0" applyFill="0" applyProtection="0">
      <alignment horizontal="center"/>
    </xf>
    <xf numFmtId="0" fontId="32" fillId="0" borderId="0" applyNumberFormat="0" applyFill="0" applyBorder="0" applyProtection="0">
      <alignment horizontal="left"/>
    </xf>
    <xf numFmtId="0" fontId="33" fillId="0" borderId="0" applyNumberFormat="0" applyFill="0" applyBorder="0" applyProtection="0">
      <alignment horizontal="centerContinuous"/>
    </xf>
    <xf numFmtId="188" fontId="34" fillId="0" borderId="0" applyFont="0" applyFill="0" applyBorder="0" applyAlignment="0" applyProtection="0"/>
    <xf numFmtId="189" fontId="34" fillId="0" borderId="0" applyFont="0" applyFill="0" applyBorder="0" applyAlignment="0" applyProtection="0"/>
    <xf numFmtId="190" fontId="34" fillId="0" borderId="0" applyFont="0" applyFill="0" applyBorder="0" applyAlignment="0" applyProtection="0"/>
    <xf numFmtId="191" fontId="34" fillId="0" borderId="0" applyFont="0" applyFill="0" applyBorder="0" applyAlignment="0" applyProtection="0"/>
    <xf numFmtId="192" fontId="34" fillId="0" borderId="0" applyFont="0" applyFill="0" applyBorder="0" applyAlignment="0" applyProtection="0"/>
    <xf numFmtId="193" fontId="35" fillId="0" borderId="0" applyFont="0" applyFill="0" applyBorder="0" applyAlignment="0" applyProtection="0"/>
    <xf numFmtId="42" fontId="7" fillId="0" borderId="0" applyFont="0" applyFill="0" applyBorder="0" applyAlignment="0" applyProtection="0"/>
    <xf numFmtId="0" fontId="36" fillId="0" borderId="0" applyNumberFormat="0" applyFont="0" applyFill="0" applyBorder="0" applyProtection="0">
      <alignment horizontal="centerContinuous"/>
    </xf>
    <xf numFmtId="0" fontId="4" fillId="0" borderId="0" applyNumberFormat="0" applyFill="0" applyBorder="0" applyAlignment="0">
      <protection locked="0"/>
    </xf>
    <xf numFmtId="0" fontId="37" fillId="0" borderId="0"/>
    <xf numFmtId="0" fontId="38" fillId="0" borderId="0"/>
    <xf numFmtId="0" fontId="28" fillId="0" borderId="0">
      <alignment horizontal="center" wrapText="1"/>
      <protection locked="0"/>
    </xf>
    <xf numFmtId="0" fontId="7" fillId="0" borderId="0" applyNumberFormat="0" applyFill="0" applyBorder="0" applyAlignment="0" applyProtection="0"/>
    <xf numFmtId="0" fontId="39" fillId="0" borderId="0" applyNumberFormat="0" applyFill="0" applyBorder="0" applyAlignment="0" applyProtection="0"/>
    <xf numFmtId="0" fontId="23" fillId="3" borderId="0" applyNumberFormat="0" applyBorder="0" applyAlignment="0">
      <protection locked="0"/>
    </xf>
    <xf numFmtId="194" fontId="23" fillId="0" borderId="0" applyFont="0" applyFill="0" applyBorder="0" applyAlignment="0" applyProtection="0"/>
    <xf numFmtId="195" fontId="40" fillId="0" borderId="0" applyFont="0" applyFill="0" applyBorder="0" applyAlignment="0" applyProtection="0"/>
    <xf numFmtId="196" fontId="23" fillId="0" borderId="0" applyFont="0" applyFill="0" applyBorder="0" applyAlignment="0" applyProtection="0"/>
    <xf numFmtId="0" fontId="107" fillId="25" borderId="0"/>
    <xf numFmtId="0" fontId="41" fillId="0" borderId="0" applyNumberFormat="0" applyFill="0" applyBorder="0" applyAlignment="0" applyProtection="0"/>
    <xf numFmtId="197" fontId="42" fillId="0" borderId="0"/>
    <xf numFmtId="0" fontId="43" fillId="0" borderId="0" applyNumberFormat="0" applyFill="0" applyBorder="0" applyAlignment="0" applyProtection="0"/>
    <xf numFmtId="0" fontId="6" fillId="0" borderId="0"/>
    <xf numFmtId="0" fontId="44" fillId="0" borderId="0"/>
    <xf numFmtId="0" fontId="36" fillId="0" borderId="3" applyNumberFormat="0" applyFont="0" applyFill="0" applyAlignment="0" applyProtection="0"/>
    <xf numFmtId="0" fontId="45" fillId="0" borderId="4" applyFill="0" applyProtection="0">
      <alignment horizontal="right"/>
    </xf>
    <xf numFmtId="198" fontId="22" fillId="0" borderId="0" applyFont="0" applyFill="0" applyBorder="0" applyAlignment="0" applyProtection="0"/>
    <xf numFmtId="0" fontId="8" fillId="0" borderId="0" applyNumberFormat="0" applyFill="0" applyBorder="0" applyAlignment="0" applyProtection="0"/>
    <xf numFmtId="0" fontId="46" fillId="0" borderId="0"/>
    <xf numFmtId="0" fontId="27" fillId="0" borderId="0" applyFill="0" applyBorder="0" applyAlignment="0"/>
    <xf numFmtId="0" fontId="27" fillId="0" borderId="0" applyFill="0" applyBorder="0" applyAlignment="0"/>
    <xf numFmtId="199" fontId="27" fillId="0" borderId="0" applyFill="0" applyBorder="0" applyAlignment="0"/>
    <xf numFmtId="200" fontId="27" fillId="0" borderId="0" applyFill="0" applyBorder="0" applyAlignment="0"/>
    <xf numFmtId="201" fontId="7" fillId="0" borderId="0" applyFill="0" applyBorder="0" applyAlignment="0"/>
    <xf numFmtId="0" fontId="27" fillId="0" borderId="0" applyFill="0" applyBorder="0" applyAlignment="0"/>
    <xf numFmtId="0" fontId="27" fillId="0" borderId="0" applyFill="0" applyBorder="0" applyAlignment="0"/>
    <xf numFmtId="0" fontId="27" fillId="0" borderId="0" applyFill="0" applyBorder="0" applyAlignment="0"/>
    <xf numFmtId="39" fontId="28" fillId="4" borderId="0" applyNumberFormat="0" applyFont="0" applyBorder="0" applyAlignment="0"/>
    <xf numFmtId="0" fontId="47" fillId="0" borderId="0"/>
    <xf numFmtId="0" fontId="36" fillId="0" borderId="0" applyNumberFormat="0" applyFont="0" applyFill="0" applyBorder="0" applyProtection="0">
      <alignment horizontal="center"/>
    </xf>
    <xf numFmtId="49" fontId="21" fillId="0" borderId="0" applyFill="0" applyBorder="0" applyProtection="0">
      <alignment horizontal="center"/>
    </xf>
    <xf numFmtId="49" fontId="48" fillId="0" borderId="0" applyFill="0" applyBorder="0" applyProtection="0">
      <alignment horizontal="center"/>
    </xf>
    <xf numFmtId="8" fontId="7" fillId="0" borderId="5" applyFont="0" applyFill="0" applyBorder="0" applyProtection="0">
      <alignment horizontal="right"/>
    </xf>
    <xf numFmtId="0" fontId="5" fillId="0" borderId="0"/>
    <xf numFmtId="0" fontId="3" fillId="0" borderId="0" applyNumberFormat="0" applyFill="0" applyBorder="0" applyAlignment="0" applyProtection="0"/>
    <xf numFmtId="0" fontId="49" fillId="0" borderId="0" applyNumberFormat="0" applyFill="0" applyBorder="0" applyAlignment="0" applyProtection="0"/>
    <xf numFmtId="0" fontId="3" fillId="0" borderId="0" applyNumberFormat="0" applyFill="0" applyBorder="0" applyAlignment="0" applyProtection="0"/>
    <xf numFmtId="0" fontId="50" fillId="0" borderId="3" applyNumberFormat="0" applyFill="0" applyBorder="0" applyAlignment="0" applyProtection="0">
      <alignment horizontal="center"/>
    </xf>
    <xf numFmtId="0" fontId="9" fillId="5" borderId="0"/>
    <xf numFmtId="43" fontId="2" fillId="0" borderId="0" applyFont="0" applyFill="0" applyBorder="0" applyAlignment="0" applyProtection="0"/>
    <xf numFmtId="202" fontId="7" fillId="0" borderId="0"/>
    <xf numFmtId="202" fontId="7" fillId="0" borderId="0"/>
    <xf numFmtId="202" fontId="7" fillId="0" borderId="0"/>
    <xf numFmtId="202" fontId="7" fillId="0" borderId="0"/>
    <xf numFmtId="202" fontId="7" fillId="0" borderId="0"/>
    <xf numFmtId="202" fontId="7" fillId="0" borderId="0"/>
    <xf numFmtId="202" fontId="7" fillId="0" borderId="0"/>
    <xf numFmtId="202" fontId="7" fillId="0" borderId="0"/>
    <xf numFmtId="203" fontId="51" fillId="0" borderId="0"/>
    <xf numFmtId="0" fontId="27" fillId="0" borderId="0" applyFont="0" applyFill="0" applyBorder="0" applyAlignment="0" applyProtection="0"/>
    <xf numFmtId="170" fontId="52" fillId="0" borderId="0" applyFont="0" applyFill="0" applyBorder="0" applyAlignment="0" applyProtection="0"/>
    <xf numFmtId="164" fontId="7" fillId="0" borderId="0" applyFont="0" applyFill="0" applyBorder="0" applyAlignment="0" applyProtection="0"/>
    <xf numFmtId="43" fontId="7" fillId="0" borderId="0" applyFont="0" applyFill="0" applyBorder="0" applyAlignment="0" applyProtection="0"/>
    <xf numFmtId="40" fontId="7" fillId="0" borderId="0" applyFont="0" applyFill="0" applyBorder="0" applyProtection="0">
      <alignment horizontal="right"/>
    </xf>
    <xf numFmtId="3" fontId="7" fillId="0" borderId="0" applyFill="0" applyBorder="0" applyAlignment="0" applyProtection="0"/>
    <xf numFmtId="3" fontId="3" fillId="0" borderId="0" applyFont="0" applyFill="0" applyBorder="0" applyAlignment="0" applyProtection="0"/>
    <xf numFmtId="3" fontId="21" fillId="0" borderId="0" applyFill="0" applyBorder="0" applyAlignment="0" applyProtection="0"/>
    <xf numFmtId="38" fontId="53" fillId="0" borderId="0" applyNumberFormat="0" applyFill="0" applyBorder="0">
      <alignment vertical="center"/>
    </xf>
    <xf numFmtId="0" fontId="54" fillId="0" borderId="0" applyNumberFormat="0" applyAlignment="0">
      <alignment horizontal="left"/>
    </xf>
    <xf numFmtId="7" fontId="7" fillId="0" borderId="0" applyFont="0" applyFill="0" applyBorder="0" applyAlignment="0" applyProtection="0"/>
    <xf numFmtId="204" fontId="51" fillId="0" borderId="0"/>
    <xf numFmtId="0" fontId="27" fillId="0" borderId="0" applyFont="0" applyFill="0" applyBorder="0" applyAlignment="0" applyProtection="0"/>
    <xf numFmtId="205" fontId="23" fillId="0" borderId="0" applyFont="0" applyFill="0" applyBorder="0" applyAlignment="0" applyProtection="0"/>
    <xf numFmtId="8" fontId="36" fillId="0" borderId="0" applyBorder="0"/>
    <xf numFmtId="206" fontId="7" fillId="0" borderId="0" applyNumberFormat="0">
      <alignment horizontal="right"/>
    </xf>
    <xf numFmtId="15" fontId="7" fillId="0" borderId="0" applyFont="0" applyFill="0" applyBorder="0" applyProtection="0">
      <alignment horizontal="right"/>
    </xf>
    <xf numFmtId="14" fontId="5" fillId="0" borderId="0" applyFill="0" applyBorder="0" applyAlignment="0"/>
    <xf numFmtId="15" fontId="7" fillId="0" borderId="0" applyFont="0" applyFill="0" applyBorder="0" applyProtection="0">
      <alignment horizontal="right"/>
    </xf>
    <xf numFmtId="207" fontId="21" fillId="0" borderId="0" applyFill="0" applyBorder="0" applyProtection="0">
      <alignment horizontal="left"/>
    </xf>
    <xf numFmtId="0" fontId="7" fillId="0" borderId="0">
      <alignment horizontal="left"/>
    </xf>
    <xf numFmtId="38" fontId="55" fillId="0" borderId="6">
      <alignment vertical="center"/>
    </xf>
    <xf numFmtId="208" fontId="35" fillId="0" borderId="0" applyFont="0" applyFill="0" applyBorder="0" applyAlignment="0" applyProtection="0"/>
    <xf numFmtId="4" fontId="56" fillId="0" borderId="0" applyFont="0" applyFill="0" applyBorder="0" applyAlignment="0" applyProtection="0"/>
    <xf numFmtId="0" fontId="35" fillId="0" borderId="0" applyFont="0" applyFill="0" applyBorder="0" applyAlignment="0" applyProtection="0"/>
    <xf numFmtId="0" fontId="36" fillId="0" borderId="7" applyNumberFormat="0" applyFont="0" applyFill="0" applyAlignment="0" applyProtection="0"/>
    <xf numFmtId="42" fontId="57" fillId="0" borderId="0" applyFill="0" applyBorder="0" applyAlignment="0" applyProtection="0"/>
    <xf numFmtId="0" fontId="27" fillId="0" borderId="0" applyFill="0" applyBorder="0" applyAlignment="0"/>
    <xf numFmtId="0" fontId="27" fillId="0" borderId="0" applyFill="0" applyBorder="0" applyAlignment="0"/>
    <xf numFmtId="0" fontId="27" fillId="0" borderId="0" applyFill="0" applyBorder="0" applyAlignment="0"/>
    <xf numFmtId="0" fontId="27" fillId="0" borderId="0" applyFill="0" applyBorder="0" applyAlignment="0"/>
    <xf numFmtId="0" fontId="27" fillId="0" borderId="0" applyFill="0" applyBorder="0" applyAlignment="0"/>
    <xf numFmtId="0" fontId="58" fillId="0" borderId="0" applyNumberFormat="0" applyAlignment="0">
      <alignment horizontal="left"/>
    </xf>
    <xf numFmtId="209" fontId="7" fillId="0" borderId="0" applyFont="0" applyFill="0" applyBorder="0" applyAlignment="0" applyProtection="0"/>
    <xf numFmtId="260" fontId="109" fillId="26" borderId="8">
      <alignment horizontal="right"/>
    </xf>
    <xf numFmtId="169" fontId="36" fillId="0" borderId="0" applyNumberFormat="0" applyFont="0" applyAlignment="0">
      <alignment vertical="center"/>
    </xf>
    <xf numFmtId="0" fontId="59" fillId="0" borderId="0">
      <alignment horizontal="center"/>
    </xf>
    <xf numFmtId="0" fontId="60" fillId="0" borderId="0" applyNumberFormat="0" applyFill="0" applyBorder="0" applyAlignment="0" applyProtection="0"/>
    <xf numFmtId="38" fontId="3" fillId="7" borderId="0" applyNumberFormat="0" applyBorder="0" applyAlignment="0" applyProtection="0"/>
    <xf numFmtId="0" fontId="6" fillId="8" borderId="9" applyAlignment="0" applyProtection="0"/>
    <xf numFmtId="0" fontId="61" fillId="0" borderId="3" applyFill="0" applyProtection="0">
      <alignment horizontal="centerContinuous"/>
    </xf>
    <xf numFmtId="41" fontId="62" fillId="0" borderId="0">
      <alignment horizontal="center"/>
    </xf>
    <xf numFmtId="0" fontId="7" fillId="0" borderId="0">
      <alignment horizontal="center"/>
    </xf>
    <xf numFmtId="0" fontId="7" fillId="0" borderId="0">
      <alignment horizontal="left"/>
    </xf>
    <xf numFmtId="0" fontId="7" fillId="0" borderId="0">
      <alignment horizontal="right"/>
    </xf>
    <xf numFmtId="0" fontId="63" fillId="9" borderId="0"/>
    <xf numFmtId="0" fontId="64" fillId="0" borderId="0">
      <alignment horizontal="center" vertical="center"/>
    </xf>
    <xf numFmtId="0" fontId="65" fillId="0" borderId="10" applyNumberFormat="0" applyAlignment="0" applyProtection="0">
      <alignment horizontal="left" vertical="center"/>
    </xf>
    <xf numFmtId="0" fontId="65" fillId="0" borderId="9">
      <alignment horizontal="left" vertical="center"/>
    </xf>
    <xf numFmtId="0" fontId="66" fillId="0" borderId="0">
      <alignment horizontal="center"/>
    </xf>
    <xf numFmtId="0" fontId="67" fillId="0" borderId="0" applyFill="0" applyBorder="0" applyProtection="0">
      <alignment horizontal="right"/>
    </xf>
    <xf numFmtId="0" fontId="68" fillId="0" borderId="11">
      <alignment horizontal="center"/>
    </xf>
    <xf numFmtId="0" fontId="68" fillId="0" borderId="0">
      <alignment horizontal="center"/>
    </xf>
    <xf numFmtId="10" fontId="41" fillId="0" borderId="0" applyNumberFormat="0" applyFill="0" applyBorder="0" applyAlignment="0" applyProtection="0">
      <alignment horizontal="right"/>
    </xf>
    <xf numFmtId="10" fontId="3" fillId="10" borderId="12" applyNumberFormat="0" applyBorder="0" applyAlignment="0" applyProtection="0"/>
    <xf numFmtId="0" fontId="10" fillId="0" borderId="0"/>
    <xf numFmtId="0" fontId="69" fillId="0" borderId="0"/>
    <xf numFmtId="0" fontId="3" fillId="0" borderId="0" applyNumberFormat="0" applyFill="0" applyBorder="0" applyAlignment="0" applyProtection="0"/>
    <xf numFmtId="0" fontId="21" fillId="0" borderId="0" applyNumberFormat="0" applyFill="0" applyBorder="0" applyAlignment="0" applyProtection="0"/>
    <xf numFmtId="0" fontId="3" fillId="0" borderId="0" applyNumberFormat="0" applyFill="0" applyBorder="0" applyAlignment="0" applyProtection="0"/>
    <xf numFmtId="49" fontId="3" fillId="0" borderId="0" applyFont="0" applyFill="0" applyBorder="0" applyProtection="0">
      <alignment horizontal="left"/>
    </xf>
    <xf numFmtId="49" fontId="21" fillId="0" borderId="0" applyFill="0" applyBorder="0" applyProtection="0">
      <alignment horizontal="left"/>
    </xf>
    <xf numFmtId="49" fontId="21" fillId="0" borderId="3" applyFill="0" applyProtection="0">
      <alignment horizontal="left"/>
    </xf>
    <xf numFmtId="49" fontId="21" fillId="0" borderId="13" applyFill="0" applyProtection="0">
      <alignment horizontal="left"/>
    </xf>
    <xf numFmtId="0" fontId="70" fillId="0" borderId="0"/>
    <xf numFmtId="0" fontId="27" fillId="0" borderId="0" applyFill="0" applyBorder="0" applyAlignment="0"/>
    <xf numFmtId="0" fontId="27" fillId="0" borderId="0" applyFill="0" applyBorder="0" applyAlignment="0"/>
    <xf numFmtId="0" fontId="27" fillId="0" borderId="0" applyFill="0" applyBorder="0" applyAlignment="0"/>
    <xf numFmtId="0" fontId="27" fillId="0" borderId="0" applyFill="0" applyBorder="0" applyAlignment="0"/>
    <xf numFmtId="0" fontId="27" fillId="0" borderId="0" applyFill="0" applyBorder="0" applyAlignment="0"/>
    <xf numFmtId="165" fontId="7" fillId="0" borderId="0" applyNumberFormat="0" applyFont="0" applyFill="0" applyBorder="0" applyAlignment="0"/>
    <xf numFmtId="17" fontId="23" fillId="0" borderId="0"/>
    <xf numFmtId="0" fontId="28" fillId="0" borderId="0" applyNumberFormat="0" applyFill="0" applyBorder="0" applyProtection="0"/>
    <xf numFmtId="0" fontId="23" fillId="0" borderId="0" applyNumberFormat="0" applyFill="0" applyBorder="0" applyProtection="0"/>
    <xf numFmtId="38" fontId="71" fillId="0" borderId="0" applyNumberFormat="0" applyFill="0" applyBorder="0">
      <alignment horizontal="left" vertical="center"/>
    </xf>
    <xf numFmtId="164" fontId="7" fillId="0" borderId="0" applyFont="0" applyFill="0" applyBorder="0" applyAlignment="0" applyProtection="0"/>
    <xf numFmtId="38" fontId="72" fillId="0" borderId="0" applyFont="0" applyFill="0" applyBorder="0" applyAlignment="0" applyProtection="0"/>
    <xf numFmtId="40" fontId="72" fillId="0" borderId="0" applyFont="0" applyFill="0" applyBorder="0" applyAlignment="0" applyProtection="0"/>
    <xf numFmtId="169" fontId="73" fillId="0" borderId="0" applyFill="0" applyBorder="0">
      <alignment vertical="center"/>
    </xf>
    <xf numFmtId="210" fontId="28" fillId="0" borderId="0">
      <alignment horizontal="center"/>
    </xf>
    <xf numFmtId="211" fontId="72" fillId="0" borderId="0" applyFont="0" applyFill="0" applyBorder="0" applyAlignment="0" applyProtection="0"/>
    <xf numFmtId="212" fontId="72" fillId="0" borderId="0" applyFont="0" applyFill="0" applyBorder="0" applyAlignment="0" applyProtection="0"/>
    <xf numFmtId="7" fontId="7" fillId="0" borderId="0"/>
    <xf numFmtId="213" fontId="74" fillId="0" borderId="0" applyFont="0" applyFill="0" applyBorder="0" applyProtection="0">
      <alignment horizontal="right"/>
    </xf>
    <xf numFmtId="214" fontId="56" fillId="0" borderId="0" applyFont="0" applyFill="0" applyBorder="0" applyAlignment="0" applyProtection="0"/>
    <xf numFmtId="215" fontId="23" fillId="0" borderId="0" applyFont="0" applyFill="0" applyBorder="0" applyAlignment="0" applyProtection="0"/>
    <xf numFmtId="216" fontId="56" fillId="0" borderId="0" applyFont="0" applyFill="0" applyBorder="0" applyAlignment="0" applyProtection="0"/>
    <xf numFmtId="217" fontId="28" fillId="0" borderId="0" applyFont="0" applyFill="0" applyBorder="0" applyAlignment="0" applyProtection="0"/>
    <xf numFmtId="218" fontId="23" fillId="0" borderId="0" applyFont="0" applyFill="0" applyBorder="0" applyAlignment="0" applyProtection="0"/>
    <xf numFmtId="219" fontId="56" fillId="0" borderId="0" applyFont="0" applyFill="0" applyBorder="0" applyAlignment="0" applyProtection="0"/>
    <xf numFmtId="220" fontId="56" fillId="0" borderId="0" applyFont="0" applyFill="0" applyBorder="0" applyAlignment="0" applyProtection="0"/>
    <xf numFmtId="221" fontId="23" fillId="0" borderId="0" applyFont="0" applyFill="0" applyBorder="0" applyAlignment="0" applyProtection="0"/>
    <xf numFmtId="222" fontId="7" fillId="0" borderId="0"/>
    <xf numFmtId="0" fontId="11" fillId="11" borderId="0"/>
    <xf numFmtId="0" fontId="12" fillId="12" borderId="0"/>
    <xf numFmtId="0" fontId="13" fillId="0" borderId="0"/>
    <xf numFmtId="223" fontId="75" fillId="0" borderId="0"/>
    <xf numFmtId="0" fontId="7" fillId="0" borderId="0"/>
    <xf numFmtId="0" fontId="7" fillId="0" borderId="0"/>
    <xf numFmtId="0" fontId="7" fillId="0" borderId="0"/>
    <xf numFmtId="0" fontId="7" fillId="0" borderId="0"/>
    <xf numFmtId="0" fontId="7" fillId="0" borderId="0"/>
    <xf numFmtId="0" fontId="7" fillId="0" borderId="0"/>
    <xf numFmtId="0" fontId="76" fillId="0" borderId="0">
      <alignment horizontal="center"/>
    </xf>
    <xf numFmtId="0" fontId="24" fillId="0" borderId="0">
      <alignment horizontal="center" vertical="center"/>
    </xf>
    <xf numFmtId="0" fontId="23" fillId="0" borderId="14"/>
    <xf numFmtId="0" fontId="23" fillId="0" borderId="15"/>
    <xf numFmtId="49" fontId="23" fillId="0" borderId="15">
      <alignment horizontal="left"/>
    </xf>
    <xf numFmtId="0" fontId="23" fillId="0" borderId="16"/>
    <xf numFmtId="0" fontId="23" fillId="0" borderId="3"/>
    <xf numFmtId="0" fontId="23" fillId="0" borderId="17"/>
    <xf numFmtId="0" fontId="23" fillId="7" borderId="18"/>
    <xf numFmtId="0" fontId="24" fillId="7" borderId="13">
      <alignment horizontal="left"/>
    </xf>
    <xf numFmtId="0" fontId="24" fillId="7" borderId="19">
      <alignment horizontal="left"/>
    </xf>
    <xf numFmtId="0" fontId="23" fillId="7" borderId="13"/>
    <xf numFmtId="0" fontId="23" fillId="0" borderId="0">
      <alignment horizontal="left"/>
    </xf>
    <xf numFmtId="0" fontId="24" fillId="7" borderId="13">
      <alignment horizontal="left"/>
    </xf>
    <xf numFmtId="0" fontId="40" fillId="7" borderId="13">
      <alignment horizontal="left"/>
    </xf>
    <xf numFmtId="0" fontId="23" fillId="7" borderId="19"/>
    <xf numFmtId="0" fontId="23" fillId="0" borderId="14">
      <alignment horizontal="left"/>
    </xf>
    <xf numFmtId="0" fontId="23" fillId="0" borderId="0">
      <alignment horizontal="left"/>
    </xf>
    <xf numFmtId="0" fontId="23" fillId="0" borderId="15">
      <alignment horizontal="center"/>
    </xf>
    <xf numFmtId="0" fontId="23" fillId="0" borderId="0">
      <alignment horizontal="left"/>
    </xf>
    <xf numFmtId="0" fontId="24" fillId="7" borderId="18">
      <alignment horizontal="left"/>
    </xf>
    <xf numFmtId="0" fontId="23" fillId="0" borderId="14">
      <alignment horizontal="left"/>
    </xf>
    <xf numFmtId="0" fontId="23" fillId="0" borderId="14">
      <alignment horizontal="right"/>
    </xf>
    <xf numFmtId="172" fontId="24" fillId="0" borderId="0"/>
    <xf numFmtId="0" fontId="23" fillId="0" borderId="14"/>
    <xf numFmtId="169" fontId="23" fillId="0" borderId="15"/>
    <xf numFmtId="0" fontId="23" fillId="0" borderId="14"/>
    <xf numFmtId="0" fontId="23" fillId="0" borderId="14">
      <alignment horizontal="left"/>
    </xf>
    <xf numFmtId="0" fontId="24" fillId="7" borderId="18"/>
    <xf numFmtId="0" fontId="77" fillId="7" borderId="14">
      <alignment horizontal="left"/>
    </xf>
    <xf numFmtId="0" fontId="23" fillId="7" borderId="15"/>
    <xf numFmtId="0" fontId="24" fillId="7" borderId="14">
      <alignment horizontal="left"/>
    </xf>
    <xf numFmtId="0" fontId="23" fillId="0" borderId="14">
      <alignment horizontal="left"/>
    </xf>
    <xf numFmtId="0" fontId="23" fillId="0" borderId="14">
      <alignment horizontal="left"/>
    </xf>
    <xf numFmtId="14" fontId="76" fillId="0" borderId="0">
      <alignment horizontal="center"/>
    </xf>
    <xf numFmtId="49" fontId="78" fillId="0" borderId="14">
      <alignment horizontal="left"/>
    </xf>
    <xf numFmtId="0" fontId="78" fillId="0" borderId="14"/>
    <xf numFmtId="0" fontId="24" fillId="7" borderId="14">
      <alignment horizontal="left"/>
    </xf>
    <xf numFmtId="0" fontId="24" fillId="7" borderId="14"/>
    <xf numFmtId="49" fontId="23" fillId="0" borderId="15">
      <alignment horizontal="left"/>
    </xf>
    <xf numFmtId="0" fontId="76" fillId="0" borderId="14"/>
    <xf numFmtId="0" fontId="76" fillId="0" borderId="0">
      <alignment horizontal="center"/>
    </xf>
    <xf numFmtId="14" fontId="76" fillId="0" borderId="0">
      <alignment horizontal="center"/>
    </xf>
    <xf numFmtId="0" fontId="76" fillId="0" borderId="16"/>
    <xf numFmtId="0" fontId="23" fillId="0" borderId="3">
      <alignment horizontal="center"/>
    </xf>
    <xf numFmtId="0" fontId="23" fillId="0" borderId="0"/>
    <xf numFmtId="0" fontId="76" fillId="0" borderId="3">
      <alignment horizontal="center"/>
    </xf>
    <xf numFmtId="14" fontId="76" fillId="0" borderId="3">
      <alignment horizontal="center"/>
    </xf>
    <xf numFmtId="0" fontId="24" fillId="0" borderId="0">
      <alignment horizontal="left" vertical="center" wrapText="1"/>
    </xf>
    <xf numFmtId="0" fontId="24" fillId="7" borderId="10">
      <alignment horizontal="left" wrapText="1"/>
    </xf>
    <xf numFmtId="0" fontId="24" fillId="0" borderId="0">
      <alignment horizontal="right" vertical="center"/>
    </xf>
    <xf numFmtId="172" fontId="24" fillId="0" borderId="0">
      <alignment horizontal="right"/>
    </xf>
    <xf numFmtId="14" fontId="79" fillId="0" borderId="0">
      <alignment horizontal="center"/>
    </xf>
    <xf numFmtId="0" fontId="24" fillId="7" borderId="20">
      <alignment horizontal="center" wrapText="1"/>
    </xf>
    <xf numFmtId="0" fontId="56" fillId="0" borderId="0">
      <alignment horizontal="center" vertical="center"/>
    </xf>
    <xf numFmtId="1" fontId="80" fillId="0" borderId="0">
      <alignment horizontal="center" wrapText="1"/>
    </xf>
    <xf numFmtId="0" fontId="24" fillId="7" borderId="10">
      <alignment horizontal="center" wrapText="1"/>
    </xf>
    <xf numFmtId="0" fontId="80" fillId="7" borderId="21">
      <alignment horizontal="center" wrapText="1"/>
    </xf>
    <xf numFmtId="0" fontId="80" fillId="7" borderId="20">
      <alignment horizontal="left" wrapText="1"/>
    </xf>
    <xf numFmtId="0" fontId="23" fillId="0" borderId="15">
      <alignment horizontal="left"/>
    </xf>
    <xf numFmtId="0" fontId="56" fillId="0" borderId="0">
      <alignment horizontal="center"/>
    </xf>
    <xf numFmtId="2" fontId="56" fillId="13" borderId="0">
      <alignment horizontal="center"/>
    </xf>
    <xf numFmtId="0" fontId="23" fillId="0" borderId="0">
      <alignment horizontal="left" vertical="top"/>
    </xf>
    <xf numFmtId="16" fontId="23" fillId="0" borderId="0"/>
    <xf numFmtId="0" fontId="23" fillId="13" borderId="0"/>
    <xf numFmtId="14" fontId="23" fillId="0" borderId="0">
      <alignment horizontal="center"/>
    </xf>
    <xf numFmtId="2" fontId="56" fillId="0" borderId="13">
      <alignment horizontal="center" vertical="center"/>
    </xf>
    <xf numFmtId="0" fontId="24" fillId="7" borderId="0">
      <alignment horizontal="center"/>
    </xf>
    <xf numFmtId="2" fontId="56" fillId="0" borderId="0">
      <alignment horizontal="center"/>
    </xf>
    <xf numFmtId="2" fontId="56" fillId="0" borderId="0">
      <alignment horizontal="center"/>
    </xf>
    <xf numFmtId="0" fontId="23" fillId="0" borderId="0">
      <alignment horizontal="left" vertical="top"/>
    </xf>
    <xf numFmtId="15" fontId="23" fillId="0" borderId="0">
      <alignment horizontal="left" vertical="top"/>
    </xf>
    <xf numFmtId="0" fontId="23" fillId="0" borderId="0">
      <alignment horizontal="left" vertical="top"/>
    </xf>
    <xf numFmtId="14" fontId="23" fillId="0" borderId="0">
      <alignment horizontal="center" vertical="top"/>
    </xf>
    <xf numFmtId="0" fontId="56" fillId="0" borderId="0"/>
    <xf numFmtId="0" fontId="80" fillId="0" borderId="3"/>
    <xf numFmtId="14" fontId="80" fillId="0" borderId="3"/>
    <xf numFmtId="2" fontId="56" fillId="0" borderId="3">
      <alignment horizontal="center"/>
    </xf>
    <xf numFmtId="0" fontId="23" fillId="0" borderId="0">
      <alignment horizontal="center"/>
    </xf>
    <xf numFmtId="2" fontId="56" fillId="0" borderId="3">
      <alignment horizontal="center"/>
    </xf>
    <xf numFmtId="0" fontId="56" fillId="0" borderId="3"/>
    <xf numFmtId="0" fontId="56" fillId="0" borderId="3">
      <alignment horizontal="center"/>
    </xf>
    <xf numFmtId="0" fontId="56" fillId="0" borderId="3">
      <alignment horizontal="center"/>
    </xf>
    <xf numFmtId="0" fontId="24" fillId="0" borderId="0">
      <alignment horizontal="left" vertical="top"/>
    </xf>
    <xf numFmtId="0" fontId="24" fillId="0" borderId="0">
      <alignment horizontal="left" vertical="top"/>
    </xf>
    <xf numFmtId="0" fontId="23" fillId="0" borderId="0">
      <alignment horizontal="center" vertical="top"/>
    </xf>
    <xf numFmtId="43" fontId="56" fillId="0" borderId="0">
      <alignment horizontal="left"/>
    </xf>
    <xf numFmtId="172" fontId="23" fillId="0" borderId="0"/>
    <xf numFmtId="0" fontId="23" fillId="0" borderId="0">
      <alignment horizontal="center"/>
    </xf>
    <xf numFmtId="0" fontId="76" fillId="0" borderId="0"/>
    <xf numFmtId="43" fontId="23" fillId="0" borderId="0"/>
    <xf numFmtId="1" fontId="23" fillId="0" borderId="0"/>
    <xf numFmtId="0" fontId="24" fillId="0" borderId="0"/>
    <xf numFmtId="43" fontId="23" fillId="0" borderId="0">
      <alignment horizontal="center"/>
    </xf>
    <xf numFmtId="43" fontId="23" fillId="0" borderId="22"/>
    <xf numFmtId="43" fontId="23" fillId="0" borderId="23"/>
    <xf numFmtId="0" fontId="23" fillId="0" borderId="11"/>
    <xf numFmtId="43" fontId="23" fillId="0" borderId="0"/>
    <xf numFmtId="1" fontId="80" fillId="0" borderId="17">
      <alignment horizontal="center" wrapText="1"/>
    </xf>
    <xf numFmtId="0" fontId="56" fillId="0" borderId="0">
      <alignment horizontal="center"/>
    </xf>
    <xf numFmtId="0" fontId="23" fillId="0" borderId="0">
      <alignment horizontal="left"/>
    </xf>
    <xf numFmtId="0" fontId="56" fillId="0" borderId="0"/>
    <xf numFmtId="43" fontId="23" fillId="0" borderId="0">
      <alignment horizontal="center"/>
    </xf>
    <xf numFmtId="0" fontId="24" fillId="0" borderId="3">
      <alignment horizontal="left" vertical="top"/>
    </xf>
    <xf numFmtId="0" fontId="23" fillId="0" borderId="3">
      <alignment horizontal="center" vertical="top"/>
    </xf>
    <xf numFmtId="14" fontId="23" fillId="0" borderId="3">
      <alignment horizontal="center" vertical="top"/>
    </xf>
    <xf numFmtId="15" fontId="23" fillId="0" borderId="3">
      <alignment horizontal="left" vertical="top"/>
    </xf>
    <xf numFmtId="0" fontId="26" fillId="0" borderId="0"/>
    <xf numFmtId="224" fontId="23" fillId="0" borderId="0">
      <alignment vertical="top"/>
    </xf>
    <xf numFmtId="0" fontId="23" fillId="0" borderId="3">
      <alignment horizontal="left" vertical="top"/>
    </xf>
    <xf numFmtId="0" fontId="23" fillId="0" borderId="0">
      <alignment horizontal="center" wrapText="1"/>
    </xf>
    <xf numFmtId="0" fontId="23" fillId="0" borderId="0">
      <alignment horizontal="center"/>
    </xf>
    <xf numFmtId="0" fontId="23" fillId="0" borderId="0">
      <alignment horizontal="center" vertical="top"/>
    </xf>
    <xf numFmtId="0" fontId="24" fillId="0" borderId="0"/>
    <xf numFmtId="14" fontId="23" fillId="0" borderId="0">
      <alignment horizontal="center"/>
    </xf>
    <xf numFmtId="14" fontId="23" fillId="0" borderId="0">
      <alignment horizontal="left" vertical="top"/>
    </xf>
    <xf numFmtId="41" fontId="23" fillId="0" borderId="0"/>
    <xf numFmtId="3" fontId="24" fillId="0" borderId="24">
      <alignment horizontal="right" vertical="center"/>
    </xf>
    <xf numFmtId="172" fontId="24" fillId="0" borderId="23">
      <alignment horizontal="right"/>
    </xf>
    <xf numFmtId="225" fontId="80" fillId="0" borderId="0">
      <alignment wrapText="1"/>
    </xf>
    <xf numFmtId="0" fontId="23" fillId="0" borderId="0">
      <alignment horizontal="center"/>
    </xf>
    <xf numFmtId="226" fontId="24" fillId="0" borderId="11"/>
    <xf numFmtId="226" fontId="24" fillId="0" borderId="0"/>
    <xf numFmtId="0" fontId="23" fillId="0" borderId="0">
      <alignment vertical="top"/>
    </xf>
    <xf numFmtId="3" fontId="24" fillId="0" borderId="22">
      <alignment horizontal="right" vertical="center"/>
    </xf>
    <xf numFmtId="0" fontId="80" fillId="0" borderId="16">
      <alignment horizontal="center" wrapText="1"/>
    </xf>
    <xf numFmtId="3" fontId="24" fillId="0" borderId="25">
      <alignment horizontal="right" vertical="center"/>
    </xf>
    <xf numFmtId="3" fontId="24" fillId="0" borderId="0">
      <alignment horizontal="right" vertical="center"/>
    </xf>
    <xf numFmtId="172" fontId="24" fillId="0" borderId="11">
      <alignment horizontal="right"/>
    </xf>
    <xf numFmtId="0" fontId="5" fillId="0" borderId="26">
      <alignment wrapText="1"/>
    </xf>
    <xf numFmtId="227" fontId="5" fillId="0" borderId="26">
      <alignment horizontal="right" wrapText="1"/>
    </xf>
    <xf numFmtId="4" fontId="23" fillId="0" borderId="0">
      <alignment horizontal="center"/>
    </xf>
    <xf numFmtId="0" fontId="24" fillId="7" borderId="10">
      <alignment horizontal="center"/>
    </xf>
    <xf numFmtId="0" fontId="24" fillId="7" borderId="21">
      <alignment horizontal="center"/>
    </xf>
    <xf numFmtId="14" fontId="23" fillId="0" borderId="0">
      <alignment horizontal="center" vertical="top"/>
    </xf>
    <xf numFmtId="0" fontId="23" fillId="14" borderId="0">
      <alignment vertical="top"/>
    </xf>
    <xf numFmtId="0" fontId="23" fillId="14" borderId="0"/>
    <xf numFmtId="0" fontId="5" fillId="0" borderId="26">
      <alignment wrapText="1"/>
    </xf>
    <xf numFmtId="228" fontId="27" fillId="0" borderId="0">
      <alignment horizontal="right" vertical="center" wrapText="1"/>
    </xf>
    <xf numFmtId="0" fontId="27" fillId="0" borderId="0">
      <alignment horizontal="right" vertical="center" wrapText="1"/>
    </xf>
    <xf numFmtId="0" fontId="5" fillId="0" borderId="0">
      <alignment wrapText="1"/>
    </xf>
    <xf numFmtId="172" fontId="23" fillId="0" borderId="0"/>
    <xf numFmtId="0" fontId="23" fillId="14" borderId="0">
      <alignment horizontal="center"/>
    </xf>
    <xf numFmtId="0" fontId="24" fillId="14" borderId="0"/>
    <xf numFmtId="0" fontId="23" fillId="14" borderId="0">
      <alignment horizontal="center" vertical="top"/>
    </xf>
    <xf numFmtId="0" fontId="23" fillId="0" borderId="0">
      <alignment vertical="top"/>
    </xf>
    <xf numFmtId="14" fontId="23" fillId="14" borderId="0">
      <alignment horizontal="center" vertical="top"/>
    </xf>
    <xf numFmtId="15" fontId="23" fillId="14" borderId="0">
      <alignment horizontal="left" vertical="top"/>
    </xf>
    <xf numFmtId="0" fontId="23" fillId="14" borderId="0">
      <alignment horizontal="left" vertical="top"/>
    </xf>
    <xf numFmtId="14" fontId="23" fillId="14" borderId="0">
      <alignment horizontal="left" vertical="top"/>
    </xf>
    <xf numFmtId="0" fontId="23" fillId="15" borderId="0">
      <alignment horizontal="center"/>
    </xf>
    <xf numFmtId="0" fontId="24" fillId="15" borderId="0"/>
    <xf numFmtId="0" fontId="23" fillId="15" borderId="0">
      <alignment horizontal="center" vertical="top"/>
    </xf>
    <xf numFmtId="14" fontId="23" fillId="15" borderId="0">
      <alignment horizontal="center" vertical="top"/>
    </xf>
    <xf numFmtId="0" fontId="23" fillId="15" borderId="0">
      <alignment vertical="top"/>
    </xf>
    <xf numFmtId="15" fontId="23" fillId="15" borderId="0">
      <alignment horizontal="left" vertical="top"/>
    </xf>
    <xf numFmtId="15" fontId="76" fillId="0" borderId="0">
      <alignment horizontal="left"/>
    </xf>
    <xf numFmtId="0" fontId="23" fillId="15" borderId="0">
      <alignment horizontal="left" vertical="top"/>
    </xf>
    <xf numFmtId="172" fontId="23" fillId="15" borderId="0">
      <alignment vertical="top"/>
    </xf>
    <xf numFmtId="14" fontId="23" fillId="15" borderId="0">
      <alignment horizontal="left" vertical="top"/>
    </xf>
    <xf numFmtId="0" fontId="23" fillId="15" borderId="0">
      <alignment horizontal="center"/>
    </xf>
    <xf numFmtId="0" fontId="23" fillId="15" borderId="0"/>
    <xf numFmtId="0" fontId="24" fillId="15" borderId="0">
      <alignment horizontal="left" vertical="top"/>
    </xf>
    <xf numFmtId="14" fontId="23" fillId="15" borderId="0">
      <alignment horizontal="center" vertical="top"/>
    </xf>
    <xf numFmtId="0" fontId="56" fillId="15" borderId="0">
      <alignment horizontal="center"/>
    </xf>
    <xf numFmtId="0" fontId="76" fillId="15" borderId="0">
      <alignment horizontal="center"/>
    </xf>
    <xf numFmtId="0" fontId="23" fillId="15" borderId="0"/>
    <xf numFmtId="0" fontId="56" fillId="0" borderId="0"/>
    <xf numFmtId="0" fontId="24" fillId="0" borderId="0">
      <alignment horizontal="center"/>
    </xf>
    <xf numFmtId="0" fontId="24" fillId="0" borderId="0">
      <alignment horizontal="center"/>
    </xf>
    <xf numFmtId="172" fontId="24" fillId="7" borderId="24">
      <alignment horizontal="center"/>
    </xf>
    <xf numFmtId="172" fontId="24" fillId="7" borderId="25">
      <alignment horizontal="center"/>
    </xf>
    <xf numFmtId="2" fontId="56" fillId="0" borderId="0"/>
    <xf numFmtId="0" fontId="56" fillId="0" borderId="0"/>
    <xf numFmtId="2" fontId="56" fillId="0" borderId="0">
      <alignment horizontal="center"/>
    </xf>
    <xf numFmtId="0" fontId="56" fillId="0" borderId="0">
      <alignment horizontal="center"/>
    </xf>
    <xf numFmtId="0" fontId="76" fillId="0" borderId="0">
      <alignment wrapText="1"/>
    </xf>
    <xf numFmtId="0" fontId="56" fillId="0" borderId="0">
      <alignment horizontal="center"/>
    </xf>
    <xf numFmtId="0" fontId="80" fillId="0" borderId="0">
      <alignment horizontal="left" vertical="center"/>
    </xf>
    <xf numFmtId="2" fontId="56" fillId="0" borderId="13">
      <alignment horizontal="center" vertical="center"/>
    </xf>
    <xf numFmtId="0" fontId="56" fillId="0" borderId="13">
      <alignment horizontal="center" vertical="center"/>
    </xf>
    <xf numFmtId="0" fontId="56" fillId="0" borderId="19">
      <alignment horizontal="center" vertical="center"/>
    </xf>
    <xf numFmtId="0" fontId="56" fillId="0" borderId="0">
      <alignment horizontal="center" vertical="center"/>
    </xf>
    <xf numFmtId="0" fontId="56" fillId="0" borderId="0">
      <alignment horizontal="left" vertical="center"/>
    </xf>
    <xf numFmtId="0" fontId="80" fillId="0" borderId="0">
      <alignment horizontal="left"/>
    </xf>
    <xf numFmtId="0" fontId="80" fillId="0" borderId="0">
      <alignment horizontal="left"/>
    </xf>
    <xf numFmtId="0" fontId="80" fillId="0" borderId="0">
      <alignment horizontal="center"/>
    </xf>
    <xf numFmtId="0" fontId="23" fillId="0" borderId="0">
      <alignment horizontal="center" vertical="center" wrapText="1"/>
    </xf>
    <xf numFmtId="0" fontId="80" fillId="0" borderId="0">
      <alignment horizontal="center" wrapText="1"/>
    </xf>
    <xf numFmtId="0" fontId="80" fillId="0" borderId="14">
      <alignment horizontal="center" wrapText="1"/>
    </xf>
    <xf numFmtId="1" fontId="80" fillId="0" borderId="15">
      <alignment horizontal="center" wrapText="1"/>
    </xf>
    <xf numFmtId="0" fontId="80" fillId="0" borderId="0">
      <alignment horizontal="center"/>
    </xf>
    <xf numFmtId="229" fontId="80" fillId="0" borderId="0">
      <alignment horizontal="center" wrapText="1"/>
    </xf>
    <xf numFmtId="43" fontId="80" fillId="0" borderId="0"/>
    <xf numFmtId="0" fontId="80" fillId="0" borderId="0"/>
    <xf numFmtId="0" fontId="56" fillId="0" borderId="0">
      <alignment wrapText="1"/>
    </xf>
    <xf numFmtId="0" fontId="80" fillId="0" borderId="0">
      <alignment horizontal="center" wrapText="1"/>
    </xf>
    <xf numFmtId="0" fontId="80" fillId="0" borderId="0">
      <alignment horizontal="center" wrapText="1"/>
    </xf>
    <xf numFmtId="43" fontId="23" fillId="0" borderId="0">
      <alignment horizontal="center" vertical="center" wrapText="1"/>
    </xf>
    <xf numFmtId="0" fontId="80" fillId="0" borderId="0">
      <alignment horizontal="center" wrapText="1"/>
    </xf>
    <xf numFmtId="230" fontId="80" fillId="0" borderId="0">
      <alignment horizontal="center" wrapText="1"/>
    </xf>
    <xf numFmtId="0" fontId="80" fillId="7" borderId="10">
      <alignment horizontal="center" wrapText="1"/>
    </xf>
    <xf numFmtId="2" fontId="80" fillId="7" borderId="10">
      <alignment horizontal="center" wrapText="1"/>
    </xf>
    <xf numFmtId="0" fontId="80" fillId="7" borderId="10">
      <alignment horizontal="center" wrapText="1"/>
    </xf>
    <xf numFmtId="0" fontId="80" fillId="0" borderId="0">
      <alignment horizontal="center" wrapText="1"/>
    </xf>
    <xf numFmtId="0" fontId="23" fillId="0" borderId="0"/>
    <xf numFmtId="0" fontId="23" fillId="0" borderId="0"/>
    <xf numFmtId="0" fontId="81" fillId="0" borderId="0">
      <alignment horizontal="left" vertical="center"/>
    </xf>
    <xf numFmtId="172" fontId="81" fillId="0" borderId="0">
      <alignment horizontal="left" vertical="center"/>
    </xf>
    <xf numFmtId="0" fontId="24" fillId="0" borderId="0">
      <alignment horizontal="center" vertical="center" wrapText="1"/>
    </xf>
    <xf numFmtId="0" fontId="81" fillId="0" borderId="0">
      <alignment horizontal="center" vertical="center"/>
    </xf>
    <xf numFmtId="0" fontId="24" fillId="0" borderId="24">
      <alignment horizontal="left"/>
    </xf>
    <xf numFmtId="41" fontId="24" fillId="0" borderId="27"/>
    <xf numFmtId="0" fontId="24" fillId="0" borderId="24"/>
    <xf numFmtId="41" fontId="24" fillId="0" borderId="0"/>
    <xf numFmtId="0" fontId="24" fillId="0" borderId="22"/>
    <xf numFmtId="172" fontId="24" fillId="0" borderId="28"/>
    <xf numFmtId="172" fontId="24" fillId="0" borderId="0"/>
    <xf numFmtId="43" fontId="24" fillId="0" borderId="28"/>
    <xf numFmtId="43" fontId="24" fillId="0" borderId="0"/>
    <xf numFmtId="0" fontId="23" fillId="0" borderId="0">
      <alignment wrapText="1"/>
    </xf>
    <xf numFmtId="0" fontId="24" fillId="0" borderId="23"/>
    <xf numFmtId="43" fontId="24" fillId="0" borderId="29"/>
    <xf numFmtId="0" fontId="24" fillId="0" borderId="0">
      <alignment horizontal="center"/>
    </xf>
    <xf numFmtId="0" fontId="24" fillId="7" borderId="24">
      <alignment horizontal="center"/>
    </xf>
    <xf numFmtId="172" fontId="24" fillId="7" borderId="25">
      <alignment horizontal="center"/>
    </xf>
    <xf numFmtId="0" fontId="24" fillId="7" borderId="25">
      <alignment horizontal="center"/>
    </xf>
    <xf numFmtId="0" fontId="24" fillId="7" borderId="27">
      <alignment horizontal="center"/>
    </xf>
    <xf numFmtId="0" fontId="24" fillId="7" borderId="23">
      <alignment horizontal="center"/>
    </xf>
    <xf numFmtId="172" fontId="24" fillId="7" borderId="11">
      <alignment horizontal="right"/>
    </xf>
    <xf numFmtId="0" fontId="24" fillId="7" borderId="11">
      <alignment horizontal="center"/>
    </xf>
    <xf numFmtId="0" fontId="23" fillId="0" borderId="0">
      <alignment horizontal="left" vertical="center" wrapText="1"/>
    </xf>
    <xf numFmtId="0" fontId="24" fillId="7" borderId="29">
      <alignment horizontal="center"/>
    </xf>
    <xf numFmtId="0" fontId="24" fillId="6" borderId="0">
      <alignment horizontal="center"/>
    </xf>
    <xf numFmtId="172" fontId="24" fillId="7" borderId="23">
      <alignment horizontal="center"/>
    </xf>
    <xf numFmtId="172" fontId="24" fillId="7" borderId="11">
      <alignment horizontal="center"/>
    </xf>
    <xf numFmtId="0" fontId="24" fillId="7" borderId="11">
      <alignment horizontal="center"/>
    </xf>
    <xf numFmtId="172" fontId="24" fillId="7" borderId="29">
      <alignment horizontal="center"/>
    </xf>
    <xf numFmtId="0" fontId="24" fillId="7" borderId="30">
      <alignment horizontal="center"/>
    </xf>
    <xf numFmtId="0" fontId="24" fillId="7" borderId="3">
      <alignment horizontal="center"/>
    </xf>
    <xf numFmtId="0" fontId="24" fillId="7" borderId="3">
      <alignment horizontal="center"/>
    </xf>
    <xf numFmtId="0" fontId="24" fillId="7" borderId="31">
      <alignment horizontal="center"/>
    </xf>
    <xf numFmtId="0" fontId="23" fillId="0" borderId="0"/>
    <xf numFmtId="0" fontId="24" fillId="7" borderId="22">
      <alignment horizontal="center"/>
    </xf>
    <xf numFmtId="0" fontId="24" fillId="7" borderId="0">
      <alignment horizontal="center"/>
    </xf>
    <xf numFmtId="0" fontId="24" fillId="7" borderId="28">
      <alignment horizontal="center"/>
    </xf>
    <xf numFmtId="0" fontId="40" fillId="0" borderId="0">
      <alignment horizontal="left"/>
    </xf>
    <xf numFmtId="49" fontId="23" fillId="0" borderId="0">
      <alignment horizontal="left"/>
    </xf>
    <xf numFmtId="0" fontId="40" fillId="0" borderId="0">
      <alignment horizontal="left"/>
    </xf>
    <xf numFmtId="15" fontId="76" fillId="6" borderId="0">
      <alignment horizontal="left"/>
    </xf>
    <xf numFmtId="0" fontId="23" fillId="0" borderId="0">
      <alignment horizontal="right"/>
    </xf>
    <xf numFmtId="49" fontId="23" fillId="0" borderId="0">
      <alignment horizontal="left"/>
    </xf>
    <xf numFmtId="49" fontId="23" fillId="0" borderId="0">
      <alignment horizontal="left"/>
    </xf>
    <xf numFmtId="10" fontId="76" fillId="0" borderId="0"/>
    <xf numFmtId="0" fontId="3" fillId="0" borderId="0" applyNumberFormat="0" applyFill="0" applyBorder="0" applyAlignment="0" applyProtection="0"/>
    <xf numFmtId="0" fontId="7" fillId="0" borderId="0" applyNumberFormat="0" applyFill="0" applyBorder="0" applyAlignment="0" applyProtection="0"/>
    <xf numFmtId="0" fontId="49" fillId="0" borderId="0" applyNumberFormat="0" applyFill="0" applyBorder="0" applyAlignment="0" applyProtection="0"/>
    <xf numFmtId="0" fontId="7" fillId="0" borderId="0" applyNumberFormat="0" applyFill="0" applyBorder="0" applyAlignment="0" applyProtection="0"/>
    <xf numFmtId="0" fontId="71" fillId="0" borderId="0" applyNumberFormat="0" applyFill="0" applyBorder="0" applyAlignment="0" applyProtection="0"/>
    <xf numFmtId="0" fontId="3" fillId="0" borderId="0" applyNumberFormat="0" applyFill="0" applyBorder="0" applyAlignment="0" applyProtection="0"/>
    <xf numFmtId="0" fontId="82" fillId="0" borderId="0">
      <alignment horizontal="left" vertical="top"/>
      <protection locked="0"/>
    </xf>
    <xf numFmtId="0" fontId="36" fillId="0" borderId="12" applyNumberFormat="0" applyFont="0" applyFill="0" applyAlignment="0" applyProtection="0"/>
    <xf numFmtId="40" fontId="83" fillId="6" borderId="0">
      <alignment horizontal="right"/>
    </xf>
    <xf numFmtId="0" fontId="84" fillId="6" borderId="0">
      <alignment horizontal="right"/>
    </xf>
    <xf numFmtId="0" fontId="85" fillId="6" borderId="15"/>
    <xf numFmtId="0" fontId="85" fillId="0" borderId="0" applyBorder="0">
      <alignment horizontal="centerContinuous"/>
    </xf>
    <xf numFmtId="231" fontId="86" fillId="0" borderId="0" applyFill="0">
      <alignment horizontal="center" vertical="center"/>
    </xf>
    <xf numFmtId="0" fontId="24" fillId="0" borderId="32" applyNumberFormat="0" applyAlignment="0" applyProtection="0"/>
    <xf numFmtId="0" fontId="23" fillId="16" borderId="0" applyNumberFormat="0" applyFont="0" applyBorder="0" applyAlignment="0" applyProtection="0"/>
    <xf numFmtId="0" fontId="3" fillId="17" borderId="8" applyNumberFormat="0" applyFont="0" applyBorder="0" applyAlignment="0" applyProtection="0">
      <alignment horizontal="center"/>
    </xf>
    <xf numFmtId="0" fontId="3" fillId="18" borderId="8" applyNumberFormat="0" applyFont="0" applyBorder="0" applyAlignment="0" applyProtection="0">
      <alignment horizontal="center"/>
    </xf>
    <xf numFmtId="0" fontId="23" fillId="0" borderId="33" applyNumberFormat="0" applyAlignment="0" applyProtection="0"/>
    <xf numFmtId="0" fontId="23" fillId="0" borderId="34" applyNumberFormat="0" applyAlignment="0" applyProtection="0"/>
    <xf numFmtId="0" fontId="24" fillId="0" borderId="35" applyNumberFormat="0" applyAlignment="0" applyProtection="0"/>
    <xf numFmtId="14" fontId="28" fillId="0" borderId="0">
      <alignment horizontal="center" wrapText="1"/>
      <protection locked="0"/>
    </xf>
    <xf numFmtId="9" fontId="2" fillId="0" borderId="0" applyFont="0" applyFill="0" applyBorder="0" applyAlignment="0" applyProtection="0"/>
    <xf numFmtId="9" fontId="56" fillId="0" borderId="0" applyFont="0" applyFill="0" applyBorder="0" applyAlignment="0" applyProtection="0"/>
    <xf numFmtId="232" fontId="87" fillId="0" borderId="0" applyFont="0" applyFill="0" applyBorder="0" applyAlignment="0" applyProtection="0"/>
    <xf numFmtId="169" fontId="56" fillId="0" borderId="0" applyFont="0" applyFill="0" applyBorder="0" applyAlignment="0" applyProtection="0"/>
    <xf numFmtId="233" fontId="56" fillId="0" borderId="0" applyFont="0" applyFill="0" applyBorder="0" applyAlignment="0" applyProtection="0"/>
    <xf numFmtId="234" fontId="56" fillId="0" borderId="0" applyFont="0" applyFill="0" applyBorder="0" applyAlignment="0" applyProtection="0"/>
    <xf numFmtId="10" fontId="7" fillId="0" borderId="0" applyFont="0" applyFill="0" applyBorder="0" applyAlignment="0" applyProtection="0"/>
    <xf numFmtId="9" fontId="7" fillId="0" borderId="0" applyFont="0" applyFill="0" applyBorder="0" applyAlignment="0" applyProtection="0"/>
    <xf numFmtId="0" fontId="7" fillId="0" borderId="0" applyFont="0" applyFill="0" applyBorder="0" applyProtection="0">
      <alignment horizontal="right"/>
    </xf>
    <xf numFmtId="172" fontId="76" fillId="0" borderId="0">
      <alignment horizontal="right"/>
    </xf>
    <xf numFmtId="172" fontId="24" fillId="0" borderId="0">
      <alignment horizontal="left" vertical="center"/>
    </xf>
    <xf numFmtId="171" fontId="3" fillId="0" borderId="0"/>
    <xf numFmtId="172" fontId="76" fillId="0" borderId="0">
      <alignment horizontal="right"/>
    </xf>
    <xf numFmtId="172" fontId="76" fillId="0" borderId="0">
      <alignment horizontal="center"/>
    </xf>
    <xf numFmtId="170" fontId="76" fillId="0" borderId="0">
      <alignment horizontal="right"/>
    </xf>
    <xf numFmtId="172" fontId="76" fillId="0" borderId="3">
      <alignment horizontal="right"/>
    </xf>
    <xf numFmtId="172" fontId="76" fillId="0" borderId="3">
      <alignment horizontal="center"/>
    </xf>
    <xf numFmtId="170" fontId="76" fillId="0" borderId="3">
      <alignment horizontal="right"/>
    </xf>
    <xf numFmtId="43" fontId="76" fillId="0" borderId="3">
      <alignment horizontal="center"/>
    </xf>
    <xf numFmtId="235" fontId="76" fillId="0" borderId="13"/>
    <xf numFmtId="236" fontId="76" fillId="0" borderId="13">
      <alignment horizontal="center"/>
    </xf>
    <xf numFmtId="172" fontId="24" fillId="0" borderId="0">
      <alignment horizontal="right" vertical="center"/>
    </xf>
    <xf numFmtId="236" fontId="76" fillId="0" borderId="19">
      <alignment horizontal="center" wrapText="1"/>
    </xf>
    <xf numFmtId="236" fontId="76" fillId="0" borderId="0">
      <alignment horizontal="center"/>
    </xf>
    <xf numFmtId="236" fontId="76" fillId="0" borderId="15">
      <alignment horizontal="center" wrapText="1"/>
    </xf>
    <xf numFmtId="235" fontId="76" fillId="0" borderId="15">
      <alignment wrapText="1"/>
    </xf>
    <xf numFmtId="235" fontId="76" fillId="0" borderId="3"/>
    <xf numFmtId="235" fontId="76" fillId="0" borderId="17">
      <alignment wrapText="1"/>
    </xf>
    <xf numFmtId="237" fontId="24" fillId="0" borderId="0">
      <alignment horizontal="left"/>
    </xf>
    <xf numFmtId="238" fontId="24" fillId="0" borderId="0">
      <alignment horizontal="left"/>
    </xf>
    <xf numFmtId="239" fontId="24" fillId="0" borderId="0">
      <alignment horizontal="left"/>
    </xf>
    <xf numFmtId="172" fontId="23" fillId="0" borderId="0">
      <alignment vertical="top"/>
    </xf>
    <xf numFmtId="240" fontId="24" fillId="0" borderId="0">
      <alignment horizontal="center"/>
    </xf>
    <xf numFmtId="235" fontId="79" fillId="0" borderId="0"/>
    <xf numFmtId="172" fontId="56" fillId="0" borderId="0">
      <alignment horizontal="right"/>
    </xf>
    <xf numFmtId="172" fontId="56" fillId="0" borderId="0">
      <alignment horizontal="center"/>
    </xf>
    <xf numFmtId="236" fontId="23" fillId="0" borderId="0">
      <alignment horizontal="center" vertical="top"/>
    </xf>
    <xf numFmtId="172" fontId="21" fillId="0" borderId="3">
      <alignment horizontal="centerContinuous"/>
    </xf>
    <xf numFmtId="172" fontId="3" fillId="0" borderId="3">
      <alignment horizontal="center"/>
    </xf>
    <xf numFmtId="172" fontId="3" fillId="0" borderId="0"/>
    <xf numFmtId="172" fontId="3" fillId="0" borderId="3"/>
    <xf numFmtId="43" fontId="3" fillId="0" borderId="3"/>
    <xf numFmtId="43" fontId="21" fillId="0" borderId="0">
      <alignment horizontal="right"/>
    </xf>
    <xf numFmtId="170" fontId="24" fillId="0" borderId="0">
      <alignment horizontal="right" vertical="center"/>
    </xf>
    <xf numFmtId="165" fontId="80" fillId="0" borderId="0">
      <alignment horizontal="center" wrapText="1"/>
    </xf>
    <xf numFmtId="2" fontId="80" fillId="0" borderId="0">
      <alignment horizontal="center"/>
    </xf>
    <xf numFmtId="43" fontId="56" fillId="0" borderId="0"/>
    <xf numFmtId="0" fontId="3" fillId="0" borderId="0">
      <alignment horizontal="center"/>
    </xf>
    <xf numFmtId="43" fontId="23" fillId="0" borderId="0">
      <alignment horizontal="center" vertical="top"/>
    </xf>
    <xf numFmtId="235" fontId="23" fillId="0" borderId="0">
      <alignment horizontal="center" vertical="top"/>
    </xf>
    <xf numFmtId="236" fontId="23" fillId="0" borderId="0">
      <alignment horizontal="center" vertical="top" wrapText="1"/>
    </xf>
    <xf numFmtId="43" fontId="23" fillId="0" borderId="0">
      <alignment horizontal="left" vertical="top"/>
    </xf>
    <xf numFmtId="172" fontId="23" fillId="0" borderId="0">
      <alignment horizontal="right" vertical="top"/>
    </xf>
    <xf numFmtId="43" fontId="23" fillId="0" borderId="0">
      <alignment horizontal="center" vertical="top"/>
    </xf>
    <xf numFmtId="43" fontId="24" fillId="0" borderId="0">
      <alignment horizontal="center"/>
    </xf>
    <xf numFmtId="235" fontId="23" fillId="0" borderId="0">
      <alignment horizontal="center" vertical="top"/>
    </xf>
    <xf numFmtId="236" fontId="23" fillId="0" borderId="0">
      <alignment horizontal="center" vertical="top" wrapText="1"/>
    </xf>
    <xf numFmtId="172" fontId="23" fillId="0" borderId="0">
      <alignment horizontal="left" vertical="top"/>
    </xf>
    <xf numFmtId="43" fontId="23" fillId="0" borderId="0">
      <alignment horizontal="left" vertical="top"/>
    </xf>
    <xf numFmtId="172" fontId="3" fillId="0" borderId="0">
      <alignment horizontal="left"/>
    </xf>
    <xf numFmtId="172" fontId="21" fillId="0" borderId="0">
      <alignment horizontal="centerContinuous"/>
    </xf>
    <xf numFmtId="172" fontId="21" fillId="0" borderId="0">
      <alignment horizontal="left"/>
    </xf>
    <xf numFmtId="172" fontId="21" fillId="0" borderId="3">
      <alignment horizontal="left"/>
    </xf>
    <xf numFmtId="43" fontId="56" fillId="0" borderId="0"/>
    <xf numFmtId="43" fontId="56" fillId="0" borderId="3">
      <alignment horizontal="center"/>
    </xf>
    <xf numFmtId="235" fontId="24" fillId="0" borderId="0">
      <alignment horizontal="center"/>
    </xf>
    <xf numFmtId="43" fontId="56" fillId="0" borderId="3"/>
    <xf numFmtId="43" fontId="21" fillId="0" borderId="0"/>
    <xf numFmtId="172" fontId="3" fillId="15" borderId="0">
      <alignment horizontal="center"/>
    </xf>
    <xf numFmtId="172" fontId="3" fillId="15" borderId="0">
      <alignment horizontal="center"/>
    </xf>
    <xf numFmtId="172" fontId="21" fillId="15" borderId="0">
      <alignment horizontal="centerContinuous"/>
    </xf>
    <xf numFmtId="172" fontId="21" fillId="15" borderId="3">
      <alignment horizontal="center" wrapText="1"/>
    </xf>
    <xf numFmtId="172" fontId="3" fillId="19" borderId="0">
      <alignment horizontal="center"/>
    </xf>
    <xf numFmtId="172" fontId="3" fillId="19" borderId="0">
      <alignment horizontal="center"/>
    </xf>
    <xf numFmtId="172" fontId="21" fillId="19" borderId="0">
      <alignment horizontal="centerContinuous"/>
    </xf>
    <xf numFmtId="172" fontId="21" fillId="19" borderId="3">
      <alignment horizontal="centerContinuous"/>
    </xf>
    <xf numFmtId="235" fontId="24" fillId="0" borderId="0">
      <alignment horizontal="center" wrapText="1"/>
    </xf>
    <xf numFmtId="172" fontId="23" fillId="0" borderId="0"/>
    <xf numFmtId="43" fontId="23" fillId="0" borderId="0"/>
    <xf numFmtId="43" fontId="23" fillId="0" borderId="0">
      <alignment horizontal="center"/>
    </xf>
    <xf numFmtId="172" fontId="23" fillId="0" borderId="0"/>
    <xf numFmtId="171" fontId="23" fillId="0" borderId="0"/>
    <xf numFmtId="43" fontId="23" fillId="0" borderId="28"/>
    <xf numFmtId="172" fontId="23" fillId="0" borderId="3"/>
    <xf numFmtId="43" fontId="23" fillId="0" borderId="29"/>
    <xf numFmtId="171" fontId="23" fillId="0" borderId="11"/>
    <xf numFmtId="10" fontId="23" fillId="0" borderId="0"/>
    <xf numFmtId="237" fontId="24" fillId="0" borderId="0">
      <alignment horizontal="center"/>
    </xf>
    <xf numFmtId="43" fontId="23" fillId="0" borderId="0"/>
    <xf numFmtId="241" fontId="24" fillId="0" borderId="0">
      <alignment horizontal="center" vertical="top"/>
    </xf>
    <xf numFmtId="14" fontId="21" fillId="0" borderId="0">
      <alignment horizontal="center"/>
    </xf>
    <xf numFmtId="4" fontId="56" fillId="0" borderId="0">
      <alignment horizontal="right" vertical="top"/>
    </xf>
    <xf numFmtId="172" fontId="56" fillId="0" borderId="0">
      <alignment horizontal="center" vertical="top"/>
    </xf>
    <xf numFmtId="172" fontId="23" fillId="0" borderId="3">
      <alignment horizontal="right" vertical="top"/>
    </xf>
    <xf numFmtId="170" fontId="23" fillId="0" borderId="3">
      <alignment horizontal="center" vertical="top"/>
    </xf>
    <xf numFmtId="43" fontId="23" fillId="0" borderId="3">
      <alignment horizontal="center" vertical="top"/>
    </xf>
    <xf numFmtId="235" fontId="23" fillId="0" borderId="3">
      <alignment horizontal="center" vertical="top"/>
    </xf>
    <xf numFmtId="236" fontId="23" fillId="0" borderId="3">
      <alignment horizontal="center" vertical="top" wrapText="1"/>
    </xf>
    <xf numFmtId="237" fontId="24" fillId="0" borderId="0">
      <alignment horizontal="center" wrapText="1"/>
    </xf>
    <xf numFmtId="172" fontId="23" fillId="0" borderId="3">
      <alignment horizontal="center" vertical="top"/>
    </xf>
    <xf numFmtId="172" fontId="23" fillId="0" borderId="3">
      <alignment horizontal="left" vertical="top"/>
    </xf>
    <xf numFmtId="172" fontId="23" fillId="0" borderId="3">
      <alignment vertical="top"/>
    </xf>
    <xf numFmtId="43" fontId="23" fillId="0" borderId="3">
      <alignment horizontal="left" vertical="top"/>
    </xf>
    <xf numFmtId="236" fontId="23" fillId="0" borderId="3">
      <alignment horizontal="center" vertical="top"/>
    </xf>
    <xf numFmtId="43" fontId="3" fillId="0" borderId="0">
      <alignment horizontal="center"/>
    </xf>
    <xf numFmtId="172" fontId="24" fillId="0" borderId="25">
      <alignment horizontal="right" vertical="center"/>
    </xf>
    <xf numFmtId="239" fontId="24" fillId="0" borderId="25">
      <alignment horizontal="left"/>
    </xf>
    <xf numFmtId="242" fontId="24" fillId="0" borderId="25">
      <alignment horizontal="left"/>
    </xf>
    <xf numFmtId="170" fontId="24" fillId="0" borderId="25">
      <alignment horizontal="right" vertical="center"/>
    </xf>
    <xf numFmtId="172" fontId="24" fillId="0" borderId="0">
      <alignment horizontal="left"/>
    </xf>
    <xf numFmtId="172" fontId="24" fillId="0" borderId="11">
      <alignment horizontal="right" vertical="center"/>
    </xf>
    <xf numFmtId="239" fontId="24" fillId="0" borderId="11">
      <alignment horizontal="left"/>
    </xf>
    <xf numFmtId="242" fontId="24" fillId="0" borderId="11">
      <alignment horizontal="left"/>
    </xf>
    <xf numFmtId="170" fontId="24" fillId="0" borderId="11">
      <alignment horizontal="right"/>
    </xf>
    <xf numFmtId="243" fontId="24" fillId="0" borderId="29">
      <alignment horizontal="left"/>
    </xf>
    <xf numFmtId="172" fontId="24" fillId="0" borderId="11">
      <alignment horizontal="left" vertical="center"/>
    </xf>
    <xf numFmtId="171" fontId="3" fillId="0" borderId="0">
      <alignment horizontal="center"/>
    </xf>
    <xf numFmtId="43" fontId="3" fillId="15" borderId="0">
      <alignment horizontal="center"/>
    </xf>
    <xf numFmtId="43" fontId="3" fillId="19" borderId="0">
      <alignment horizontal="center"/>
    </xf>
    <xf numFmtId="242" fontId="24" fillId="0" borderId="0">
      <alignment horizontal="left"/>
    </xf>
    <xf numFmtId="169" fontId="21" fillId="0" borderId="0" applyFill="0" applyBorder="0" applyAlignment="0" applyProtection="0"/>
    <xf numFmtId="172" fontId="76" fillId="0" borderId="0">
      <alignment horizontal="center"/>
    </xf>
    <xf numFmtId="172" fontId="24" fillId="0" borderId="0">
      <alignment horizontal="right"/>
    </xf>
    <xf numFmtId="243" fontId="24" fillId="0" borderId="28">
      <alignment horizontal="left"/>
    </xf>
    <xf numFmtId="43" fontId="23" fillId="0" borderId="27">
      <alignment horizontal="center"/>
    </xf>
    <xf numFmtId="172" fontId="24" fillId="0" borderId="3">
      <alignment horizontal="right" vertical="center"/>
    </xf>
    <xf numFmtId="244" fontId="24" fillId="0" borderId="28">
      <alignment horizontal="left"/>
    </xf>
    <xf numFmtId="172" fontId="23" fillId="14" borderId="0"/>
    <xf numFmtId="172" fontId="23" fillId="14" borderId="0">
      <alignment horizontal="center" vertical="top"/>
    </xf>
    <xf numFmtId="172" fontId="23" fillId="0" borderId="11"/>
    <xf numFmtId="172" fontId="23" fillId="14" borderId="0">
      <alignment horizontal="center" vertical="top"/>
    </xf>
    <xf numFmtId="172" fontId="23" fillId="14" borderId="0">
      <alignment horizontal="right" vertical="top"/>
    </xf>
    <xf numFmtId="170" fontId="23" fillId="14" borderId="0">
      <alignment horizontal="center" vertical="top"/>
    </xf>
    <xf numFmtId="170" fontId="24" fillId="0" borderId="0">
      <alignment horizontal="right"/>
    </xf>
    <xf numFmtId="43" fontId="23" fillId="14" borderId="0">
      <alignment horizontal="center" vertical="top"/>
    </xf>
    <xf numFmtId="235" fontId="23" fillId="14" borderId="0">
      <alignment horizontal="center" vertical="top"/>
    </xf>
    <xf numFmtId="236" fontId="23" fillId="14" borderId="0">
      <alignment horizontal="center" vertical="top"/>
    </xf>
    <xf numFmtId="236" fontId="23" fillId="14" borderId="0">
      <alignment horizontal="center" vertical="top" wrapText="1"/>
    </xf>
    <xf numFmtId="172" fontId="23" fillId="14" borderId="0">
      <alignment horizontal="left" vertical="top"/>
    </xf>
    <xf numFmtId="43" fontId="23" fillId="14" borderId="0">
      <alignment horizontal="left" vertical="top"/>
    </xf>
    <xf numFmtId="43" fontId="23" fillId="14" borderId="0"/>
    <xf numFmtId="172" fontId="23" fillId="15" borderId="0">
      <alignment horizontal="center" vertical="top"/>
    </xf>
    <xf numFmtId="172" fontId="23" fillId="15" borderId="0">
      <alignment horizontal="right" vertical="top"/>
    </xf>
    <xf numFmtId="170" fontId="23" fillId="15" borderId="0">
      <alignment horizontal="center" vertical="top"/>
    </xf>
    <xf numFmtId="172" fontId="23" fillId="0" borderId="0">
      <alignment horizontal="right"/>
    </xf>
    <xf numFmtId="43" fontId="23" fillId="15" borderId="0">
      <alignment horizontal="center" vertical="top"/>
    </xf>
    <xf numFmtId="235" fontId="23" fillId="15" borderId="0">
      <alignment horizontal="center" vertical="top"/>
    </xf>
    <xf numFmtId="236" fontId="23" fillId="15" borderId="0">
      <alignment horizontal="center" vertical="top"/>
    </xf>
    <xf numFmtId="236" fontId="23" fillId="15" borderId="0">
      <alignment horizontal="center" vertical="top" wrapText="1"/>
    </xf>
    <xf numFmtId="172" fontId="23" fillId="15" borderId="0">
      <alignment horizontal="center" vertical="top"/>
    </xf>
    <xf numFmtId="172" fontId="23" fillId="15" borderId="0">
      <alignment horizontal="left" vertical="top"/>
    </xf>
    <xf numFmtId="172" fontId="23" fillId="15" borderId="0"/>
    <xf numFmtId="43" fontId="23" fillId="15" borderId="0">
      <alignment horizontal="left" vertical="top"/>
    </xf>
    <xf numFmtId="235" fontId="23" fillId="15" borderId="0">
      <alignment horizontal="center" vertical="top"/>
    </xf>
    <xf numFmtId="236" fontId="76" fillId="15" borderId="0">
      <alignment horizontal="center" wrapText="1"/>
    </xf>
    <xf numFmtId="172" fontId="23" fillId="0" borderId="0"/>
    <xf numFmtId="172" fontId="23" fillId="15" borderId="0">
      <alignment horizontal="left" vertical="top"/>
    </xf>
    <xf numFmtId="172" fontId="23" fillId="15" borderId="0">
      <alignment horizontal="right"/>
    </xf>
    <xf numFmtId="172" fontId="23" fillId="15" borderId="0">
      <alignment horizontal="right"/>
    </xf>
    <xf numFmtId="4" fontId="56" fillId="15" borderId="0">
      <alignment horizontal="right" vertical="top"/>
    </xf>
    <xf numFmtId="43" fontId="23" fillId="15" borderId="0">
      <alignment horizontal="center" vertical="top"/>
    </xf>
    <xf numFmtId="236" fontId="23" fillId="15" borderId="0">
      <alignment horizontal="center" vertical="top" wrapText="1"/>
    </xf>
    <xf numFmtId="43" fontId="23" fillId="15" borderId="0">
      <alignment horizontal="left" vertical="top"/>
    </xf>
    <xf numFmtId="172" fontId="24" fillId="7" borderId="10">
      <alignment horizontal="right" wrapText="1"/>
    </xf>
    <xf numFmtId="172" fontId="24" fillId="7" borderId="10">
      <alignment horizontal="center" wrapText="1"/>
    </xf>
    <xf numFmtId="170" fontId="24" fillId="7" borderId="10">
      <alignment horizontal="right" wrapText="1"/>
    </xf>
    <xf numFmtId="43" fontId="24" fillId="7" borderId="10">
      <alignment horizontal="center" wrapText="1"/>
    </xf>
    <xf numFmtId="235" fontId="24" fillId="7" borderId="10">
      <alignment horizontal="center" wrapText="1"/>
    </xf>
    <xf numFmtId="235" fontId="24" fillId="7" borderId="10">
      <alignment horizontal="center" wrapText="1"/>
    </xf>
    <xf numFmtId="207" fontId="25" fillId="0" borderId="0">
      <alignment horizontal="left" vertical="center" wrapText="1"/>
    </xf>
    <xf numFmtId="172" fontId="23" fillId="0" borderId="0">
      <alignment horizontal="right"/>
    </xf>
    <xf numFmtId="172" fontId="23" fillId="0" borderId="0"/>
    <xf numFmtId="170" fontId="23" fillId="0" borderId="0">
      <alignment horizontal="right"/>
    </xf>
    <xf numFmtId="43" fontId="23" fillId="0" borderId="0">
      <alignment horizontal="center"/>
    </xf>
    <xf numFmtId="235" fontId="23" fillId="0" borderId="0"/>
    <xf numFmtId="235" fontId="23" fillId="0" borderId="0">
      <alignment wrapText="1"/>
    </xf>
    <xf numFmtId="170" fontId="23" fillId="0" borderId="0">
      <alignment horizontal="center" vertical="top"/>
    </xf>
    <xf numFmtId="172" fontId="23" fillId="0" borderId="0">
      <alignment horizontal="center" vertical="top"/>
    </xf>
    <xf numFmtId="172" fontId="23" fillId="0" borderId="0">
      <alignment horizontal="center" vertical="top"/>
    </xf>
    <xf numFmtId="172" fontId="23" fillId="0" borderId="0">
      <alignment horizontal="left" vertical="top"/>
    </xf>
    <xf numFmtId="172" fontId="23" fillId="0" borderId="0">
      <alignment horizontal="right" vertical="center" wrapText="1"/>
    </xf>
    <xf numFmtId="172" fontId="23" fillId="0" borderId="0">
      <alignment horizontal="right" vertical="top"/>
    </xf>
    <xf numFmtId="170" fontId="23" fillId="0" borderId="0">
      <alignment horizontal="center" vertical="top"/>
    </xf>
    <xf numFmtId="170" fontId="76" fillId="0" borderId="0">
      <alignment horizontal="right"/>
    </xf>
    <xf numFmtId="43" fontId="76" fillId="0" borderId="0">
      <alignment horizontal="center"/>
    </xf>
    <xf numFmtId="235" fontId="76" fillId="0" borderId="0"/>
    <xf numFmtId="236" fontId="76" fillId="0" borderId="0">
      <alignment horizontal="center"/>
    </xf>
    <xf numFmtId="236" fontId="76" fillId="0" borderId="0">
      <alignment horizontal="center" wrapText="1"/>
    </xf>
    <xf numFmtId="235" fontId="76" fillId="0" borderId="0">
      <alignment wrapText="1"/>
    </xf>
    <xf numFmtId="43" fontId="56" fillId="0" borderId="0">
      <alignment horizontal="center"/>
    </xf>
    <xf numFmtId="43" fontId="56" fillId="0" borderId="0"/>
    <xf numFmtId="172" fontId="23" fillId="0" borderId="0">
      <alignment horizontal="center" vertical="center" wrapText="1"/>
    </xf>
    <xf numFmtId="43" fontId="56" fillId="0" borderId="18">
      <alignment horizontal="center" vertical="center"/>
    </xf>
    <xf numFmtId="43" fontId="56" fillId="0" borderId="13">
      <alignment horizontal="center" vertical="center"/>
    </xf>
    <xf numFmtId="43" fontId="80" fillId="0" borderId="13">
      <alignment horizontal="center" vertical="center"/>
    </xf>
    <xf numFmtId="43" fontId="80" fillId="0" borderId="14">
      <alignment horizontal="center"/>
    </xf>
    <xf numFmtId="43" fontId="80" fillId="0" borderId="0">
      <alignment horizontal="center"/>
    </xf>
    <xf numFmtId="2" fontId="80" fillId="0" borderId="0">
      <alignment horizontal="center"/>
    </xf>
    <xf numFmtId="43" fontId="80" fillId="0" borderId="15">
      <alignment horizontal="center"/>
    </xf>
    <xf numFmtId="43" fontId="80" fillId="0" borderId="0">
      <alignment horizontal="center"/>
    </xf>
    <xf numFmtId="172" fontId="80" fillId="0" borderId="0">
      <alignment horizontal="center" wrapText="1"/>
    </xf>
    <xf numFmtId="172" fontId="80" fillId="0" borderId="3">
      <alignment horizontal="center" wrapText="1"/>
    </xf>
    <xf numFmtId="170" fontId="23" fillId="0" borderId="0">
      <alignment horizontal="right" vertical="center" wrapText="1"/>
    </xf>
    <xf numFmtId="165" fontId="80" fillId="0" borderId="3">
      <alignment horizontal="center" wrapText="1"/>
    </xf>
    <xf numFmtId="43" fontId="88" fillId="0" borderId="0">
      <alignment horizontal="left"/>
    </xf>
    <xf numFmtId="43" fontId="80" fillId="0" borderId="0">
      <alignment horizontal="center" wrapText="1"/>
    </xf>
    <xf numFmtId="43" fontId="80" fillId="0" borderId="0">
      <alignment wrapText="1"/>
    </xf>
    <xf numFmtId="43" fontId="80" fillId="7" borderId="10">
      <alignment horizontal="right" wrapText="1"/>
    </xf>
    <xf numFmtId="43" fontId="80" fillId="7" borderId="10">
      <alignment horizontal="center" wrapText="1"/>
    </xf>
    <xf numFmtId="172" fontId="3" fillId="0" borderId="0"/>
    <xf numFmtId="172" fontId="3" fillId="0" borderId="0">
      <alignment horizontal="center"/>
    </xf>
    <xf numFmtId="172" fontId="3" fillId="0" borderId="0">
      <alignment horizontal="left"/>
    </xf>
    <xf numFmtId="172" fontId="3" fillId="0" borderId="0">
      <alignment horizontal="center"/>
    </xf>
    <xf numFmtId="43" fontId="24" fillId="0" borderId="0">
      <alignment horizontal="center" vertical="center" wrapText="1"/>
    </xf>
    <xf numFmtId="172" fontId="21" fillId="0" borderId="0">
      <alignment horizontal="center"/>
    </xf>
    <xf numFmtId="172" fontId="3" fillId="0" borderId="0"/>
    <xf numFmtId="172" fontId="81" fillId="0" borderId="0">
      <alignment horizontal="left" vertical="center"/>
    </xf>
    <xf numFmtId="172" fontId="24" fillId="0" borderId="28"/>
    <xf numFmtId="172" fontId="24" fillId="0" borderId="0"/>
    <xf numFmtId="43" fontId="24" fillId="0" borderId="0"/>
    <xf numFmtId="43" fontId="24" fillId="0" borderId="0">
      <alignment horizontal="center"/>
    </xf>
    <xf numFmtId="172" fontId="24" fillId="0" borderId="0">
      <alignment horizontal="center"/>
    </xf>
    <xf numFmtId="172" fontId="24" fillId="7" borderId="25">
      <alignment horizontal="center"/>
    </xf>
    <xf numFmtId="49" fontId="23" fillId="0" borderId="0">
      <alignment horizontal="left"/>
    </xf>
    <xf numFmtId="235" fontId="24" fillId="0" borderId="0">
      <alignment horizontal="center" vertical="center" wrapText="1"/>
    </xf>
    <xf numFmtId="49" fontId="23" fillId="0" borderId="14">
      <alignment horizontal="left"/>
    </xf>
    <xf numFmtId="49" fontId="23" fillId="0" borderId="16">
      <alignment horizontal="left"/>
    </xf>
    <xf numFmtId="172" fontId="78" fillId="0" borderId="15"/>
    <xf numFmtId="49" fontId="23" fillId="0" borderId="15">
      <alignment horizontal="left"/>
    </xf>
    <xf numFmtId="172" fontId="3" fillId="0" borderId="0">
      <alignment horizontal="center"/>
    </xf>
    <xf numFmtId="172" fontId="3" fillId="0" borderId="0"/>
    <xf numFmtId="172" fontId="3" fillId="0" borderId="0"/>
    <xf numFmtId="172" fontId="21" fillId="0" borderId="0">
      <alignment horizontal="right"/>
    </xf>
    <xf numFmtId="172" fontId="21" fillId="0" borderId="0">
      <alignment horizontal="center"/>
    </xf>
    <xf numFmtId="172" fontId="21" fillId="0" borderId="3"/>
    <xf numFmtId="172" fontId="24" fillId="0" borderId="0">
      <alignment horizontal="left" vertical="center" wrapText="1"/>
    </xf>
    <xf numFmtId="172" fontId="21" fillId="0" borderId="3">
      <alignment horizontal="center"/>
    </xf>
    <xf numFmtId="172" fontId="21" fillId="0" borderId="3">
      <alignment horizontal="center" wrapText="1"/>
    </xf>
    <xf numFmtId="172" fontId="21" fillId="0" borderId="0"/>
    <xf numFmtId="172" fontId="21" fillId="0" borderId="3">
      <alignment horizontal="center" wrapText="1"/>
    </xf>
    <xf numFmtId="172" fontId="21" fillId="0" borderId="0">
      <alignment horizontal="center"/>
    </xf>
    <xf numFmtId="172" fontId="21" fillId="0" borderId="3">
      <alignment horizontal="center"/>
    </xf>
    <xf numFmtId="172" fontId="21" fillId="0" borderId="0"/>
    <xf numFmtId="172" fontId="21" fillId="0" borderId="3">
      <alignment horizontal="left" wrapText="1"/>
    </xf>
    <xf numFmtId="236" fontId="3" fillId="0" borderId="0">
      <alignment horizontal="center"/>
    </xf>
    <xf numFmtId="236" fontId="3" fillId="0" borderId="0">
      <alignment horizontal="left"/>
    </xf>
    <xf numFmtId="0" fontId="89" fillId="0" borderId="0"/>
    <xf numFmtId="10" fontId="7" fillId="0" borderId="0"/>
    <xf numFmtId="0" fontId="27" fillId="0" borderId="0" applyFill="0" applyBorder="0" applyAlignment="0"/>
    <xf numFmtId="0" fontId="27" fillId="0" borderId="0" applyFill="0" applyBorder="0" applyAlignment="0"/>
    <xf numFmtId="0" fontId="27" fillId="0" borderId="0" applyFill="0" applyBorder="0" applyAlignment="0"/>
    <xf numFmtId="0" fontId="27" fillId="0" borderId="0" applyFill="0" applyBorder="0" applyAlignment="0"/>
    <xf numFmtId="0" fontId="27" fillId="0" borderId="0" applyFill="0" applyBorder="0" applyAlignment="0"/>
    <xf numFmtId="227" fontId="7" fillId="0" borderId="0"/>
    <xf numFmtId="0" fontId="90" fillId="7" borderId="0"/>
    <xf numFmtId="0" fontId="55" fillId="0" borderId="0" applyNumberFormat="0" applyFont="0" applyFill="0" applyBorder="0" applyAlignment="0" applyProtection="0">
      <alignment horizontal="left"/>
    </xf>
    <xf numFmtId="15" fontId="55" fillId="0" borderId="0" applyFont="0" applyFill="0" applyBorder="0" applyAlignment="0" applyProtection="0"/>
    <xf numFmtId="4" fontId="55" fillId="0" borderId="0" applyFont="0" applyFill="0" applyBorder="0" applyAlignment="0" applyProtection="0"/>
    <xf numFmtId="0" fontId="91" fillId="0" borderId="11">
      <alignment horizontal="center"/>
    </xf>
    <xf numFmtId="3" fontId="55" fillId="0" borderId="0" applyFont="0" applyFill="0" applyBorder="0" applyAlignment="0" applyProtection="0"/>
    <xf numFmtId="0" fontId="55" fillId="20" borderId="0" applyNumberFormat="0" applyFont="0" applyBorder="0" applyAlignment="0" applyProtection="0"/>
    <xf numFmtId="0" fontId="23" fillId="0" borderId="0">
      <alignment vertical="top"/>
    </xf>
    <xf numFmtId="0" fontId="23" fillId="0" borderId="0">
      <alignment vertical="top"/>
    </xf>
    <xf numFmtId="0" fontId="23" fillId="0" borderId="0">
      <alignment vertical="top"/>
    </xf>
    <xf numFmtId="0" fontId="23" fillId="0" borderId="0">
      <alignment vertical="top"/>
    </xf>
    <xf numFmtId="245" fontId="92" fillId="0" borderId="0"/>
    <xf numFmtId="0" fontId="7" fillId="0" borderId="0" applyFont="0" applyFill="0" applyBorder="0" applyProtection="0">
      <alignment horizontal="right"/>
    </xf>
    <xf numFmtId="0" fontId="7" fillId="0" borderId="0" applyFont="0" applyFill="0" applyBorder="0" applyProtection="0">
      <alignment horizontal="right"/>
    </xf>
    <xf numFmtId="0" fontId="7" fillId="0" borderId="0" applyFont="0" applyFill="0" applyBorder="0" applyProtection="0">
      <alignment horizontal="right"/>
    </xf>
    <xf numFmtId="0" fontId="93" fillId="21" borderId="0" applyNumberFormat="0" applyFont="0" applyBorder="0" applyAlignment="0">
      <alignment horizontal="center"/>
    </xf>
    <xf numFmtId="14" fontId="42" fillId="0" borderId="0" applyNumberFormat="0" applyFill="0" applyBorder="0" applyAlignment="0" applyProtection="0">
      <alignment horizontal="left"/>
    </xf>
    <xf numFmtId="49" fontId="3" fillId="0" borderId="0" applyFont="0" applyFill="0" applyBorder="0" applyProtection="0">
      <alignment horizontal="right"/>
    </xf>
    <xf numFmtId="49" fontId="21" fillId="0" borderId="0" applyFill="0" applyBorder="0" applyProtection="0">
      <alignment horizontal="right"/>
    </xf>
    <xf numFmtId="49" fontId="21" fillId="0" borderId="3" applyFill="0" applyProtection="0">
      <alignment horizontal="right"/>
    </xf>
    <xf numFmtId="49" fontId="21" fillId="0" borderId="13" applyFill="0" applyProtection="0">
      <alignment horizontal="right"/>
    </xf>
    <xf numFmtId="0" fontId="65" fillId="0" borderId="0" applyFill="0" applyBorder="0" applyProtection="0">
      <alignment horizontal="left"/>
    </xf>
    <xf numFmtId="0" fontId="14" fillId="22" borderId="0"/>
    <xf numFmtId="164" fontId="7" fillId="0" borderId="0" applyFont="0" applyFill="0" applyBorder="0" applyAlignment="0" applyProtection="0"/>
    <xf numFmtId="0" fontId="93" fillId="1" borderId="9" applyNumberFormat="0" applyFont="0" applyAlignment="0">
      <alignment horizontal="center"/>
    </xf>
    <xf numFmtId="246" fontId="94" fillId="0" borderId="0" applyFont="0" applyFill="0" applyBorder="0" applyAlignment="0" applyProtection="0"/>
    <xf numFmtId="1" fontId="7" fillId="0" borderId="0"/>
    <xf numFmtId="0" fontId="3" fillId="0" borderId="0" applyFont="0" applyFill="0" applyBorder="0" applyAlignment="0" applyProtection="0"/>
    <xf numFmtId="0" fontId="21" fillId="0" borderId="0" applyFill="0" applyBorder="0" applyAlignment="0" applyProtection="0"/>
    <xf numFmtId="42" fontId="22" fillId="0" borderId="0" applyFill="0" applyBorder="0" applyAlignment="0" applyProtection="0"/>
    <xf numFmtId="0" fontId="95" fillId="0" borderId="0" applyNumberFormat="0" applyFill="0" applyBorder="0" applyAlignment="0">
      <alignment horizontal="center"/>
    </xf>
    <xf numFmtId="12" fontId="7" fillId="0" borderId="0" applyFont="0" applyFill="0" applyBorder="0" applyProtection="0">
      <alignment horizontal="right"/>
    </xf>
    <xf numFmtId="0" fontId="7" fillId="23" borderId="0" applyFont="0" applyFill="0" applyBorder="0" applyProtection="0">
      <alignment horizontal="right"/>
    </xf>
    <xf numFmtId="0" fontId="5" fillId="0" borderId="0">
      <alignment vertical="top"/>
    </xf>
    <xf numFmtId="0" fontId="80" fillId="0" borderId="0" applyNumberFormat="0" applyFill="0" applyBorder="0" applyProtection="0">
      <alignment horizontal="left"/>
    </xf>
    <xf numFmtId="0" fontId="23" fillId="0" borderId="0" applyNumberFormat="0" applyFill="0" applyBorder="0" applyProtection="0">
      <alignment horizontal="left"/>
    </xf>
    <xf numFmtId="0" fontId="23" fillId="0" borderId="0" applyNumberFormat="0" applyFill="0" applyBorder="0" applyProtection="0">
      <alignment horizontal="left"/>
    </xf>
    <xf numFmtId="0" fontId="24" fillId="0" borderId="0" applyNumberFormat="0" applyFill="0" applyBorder="0" applyProtection="0">
      <alignment horizontal="left"/>
    </xf>
    <xf numFmtId="0" fontId="24" fillId="0" borderId="0" applyFill="0" applyBorder="0" applyProtection="0">
      <alignment horizontal="left" wrapText="1"/>
    </xf>
    <xf numFmtId="0" fontId="24" fillId="0" borderId="0" applyNumberFormat="0" applyFill="0" applyBorder="0" applyProtection="0">
      <alignment horizontal="right" wrapText="1"/>
    </xf>
    <xf numFmtId="1" fontId="23" fillId="0" borderId="0" applyFill="0" applyBorder="0" applyProtection="0">
      <alignment horizontal="left"/>
    </xf>
    <xf numFmtId="49" fontId="23" fillId="0" borderId="0" applyFill="0" applyBorder="0" applyProtection="0">
      <alignment horizontal="left"/>
    </xf>
    <xf numFmtId="1" fontId="23" fillId="0" borderId="0" applyFill="0" applyBorder="0" applyProtection="0">
      <alignment horizontal="center"/>
    </xf>
    <xf numFmtId="37" fontId="23" fillId="0" borderId="0" applyFill="0" applyBorder="0" applyProtection="0">
      <alignment horizontal="right"/>
    </xf>
    <xf numFmtId="7" fontId="23" fillId="0" borderId="0" applyFill="0" applyBorder="0" applyProtection="0">
      <alignment horizontal="right"/>
    </xf>
    <xf numFmtId="247" fontId="23" fillId="0" borderId="0" applyFill="0" applyBorder="0" applyProtection="0">
      <alignment horizontal="left"/>
    </xf>
    <xf numFmtId="37" fontId="24" fillId="0" borderId="0" applyFill="0" applyBorder="0" applyProtection="0">
      <alignment horizontal="right"/>
    </xf>
    <xf numFmtId="7" fontId="24" fillId="0" borderId="0" applyFill="0" applyBorder="0" applyProtection="0">
      <alignment horizontal="right"/>
    </xf>
    <xf numFmtId="248" fontId="23" fillId="0" borderId="0" applyFill="0" applyBorder="0" applyProtection="0">
      <alignment horizontal="right"/>
    </xf>
    <xf numFmtId="249" fontId="23" fillId="0" borderId="0" applyFill="0" applyBorder="0" applyProtection="0">
      <alignment horizontal="right"/>
    </xf>
    <xf numFmtId="250" fontId="23" fillId="0" borderId="0" applyFill="0" applyBorder="0" applyProtection="0">
      <alignment horizontal="right"/>
    </xf>
    <xf numFmtId="14" fontId="23" fillId="0" borderId="0" applyFill="0" applyBorder="0" applyProtection="0">
      <alignment horizontal="right"/>
    </xf>
    <xf numFmtId="14" fontId="23" fillId="0" borderId="0" applyFill="0" applyBorder="0" applyProtection="0">
      <alignment horizontal="right"/>
    </xf>
    <xf numFmtId="251" fontId="23" fillId="0" borderId="0" applyFill="0" applyBorder="0" applyProtection="0">
      <alignment horizontal="left"/>
    </xf>
    <xf numFmtId="252" fontId="23" fillId="0" borderId="0" applyFill="0" applyBorder="0" applyProtection="0">
      <alignment horizontal="left"/>
    </xf>
    <xf numFmtId="248" fontId="24" fillId="0" borderId="0" applyFill="0" applyBorder="0" applyProtection="0">
      <alignment horizontal="right"/>
    </xf>
    <xf numFmtId="1" fontId="24" fillId="0" borderId="0" applyFill="0" applyBorder="0" applyProtection="0">
      <alignment horizontal="left"/>
    </xf>
    <xf numFmtId="247" fontId="24" fillId="0" borderId="0" applyFill="0" applyBorder="0" applyProtection="0">
      <alignment horizontal="left"/>
    </xf>
    <xf numFmtId="37" fontId="24" fillId="0" borderId="0" applyFill="0" applyBorder="0" applyProtection="0">
      <alignment horizontal="right"/>
    </xf>
    <xf numFmtId="1" fontId="96" fillId="0" borderId="0" applyFill="0" applyBorder="0" applyProtection="0">
      <alignment horizontal="left"/>
    </xf>
    <xf numFmtId="49" fontId="23" fillId="0" borderId="0" applyFill="0" applyBorder="0" applyProtection="0">
      <alignment horizontal="left"/>
    </xf>
    <xf numFmtId="252" fontId="23" fillId="0" borderId="0" applyFill="0" applyBorder="0" applyProtection="0">
      <alignment horizontal="left"/>
    </xf>
    <xf numFmtId="0" fontId="5" fillId="0" borderId="0" applyNumberFormat="0" applyBorder="0" applyAlignment="0"/>
    <xf numFmtId="0" fontId="15" fillId="0" borderId="0"/>
    <xf numFmtId="40" fontId="97" fillId="0" borderId="0" applyBorder="0">
      <alignment horizontal="right"/>
    </xf>
    <xf numFmtId="6" fontId="71" fillId="0" borderId="36" applyFill="0">
      <alignment vertical="center"/>
    </xf>
    <xf numFmtId="0" fontId="16" fillId="0" borderId="0"/>
    <xf numFmtId="0" fontId="98" fillId="0" borderId="0"/>
    <xf numFmtId="0" fontId="3" fillId="0" borderId="0"/>
    <xf numFmtId="49" fontId="5" fillId="0" borderId="0" applyFill="0" applyBorder="0" applyAlignment="0"/>
    <xf numFmtId="0" fontId="27" fillId="0" borderId="0" applyFill="0" applyBorder="0" applyAlignment="0"/>
    <xf numFmtId="201" fontId="7" fillId="0" borderId="0" applyFill="0" applyBorder="0" applyAlignment="0"/>
    <xf numFmtId="0" fontId="17" fillId="0" borderId="0"/>
    <xf numFmtId="0" fontId="18" fillId="0" borderId="0"/>
    <xf numFmtId="0" fontId="19" fillId="0" borderId="0">
      <alignment vertical="top"/>
    </xf>
    <xf numFmtId="253" fontId="71" fillId="0" borderId="0" applyFill="0" applyBorder="0">
      <alignment vertical="center"/>
    </xf>
    <xf numFmtId="0" fontId="23" fillId="0" borderId="0" applyNumberFormat="0" applyFill="0" applyBorder="0" applyAlignment="0" applyProtection="0"/>
    <xf numFmtId="0" fontId="56" fillId="0" borderId="0" applyNumberFormat="0" applyFill="0" applyBorder="0" applyAlignment="0" applyProtection="0"/>
    <xf numFmtId="0" fontId="7" fillId="0" borderId="0" applyNumberFormat="0" applyFill="0" applyBorder="0" applyAlignment="0" applyProtection="0"/>
    <xf numFmtId="0" fontId="7" fillId="0" borderId="0" applyNumberFormat="0" applyFill="0" applyBorder="0" applyAlignment="0" applyProtection="0"/>
    <xf numFmtId="38" fontId="99" fillId="0" borderId="0" applyNumberFormat="0" applyFill="0" applyBorder="0">
      <alignment horizontal="left" vertical="center"/>
    </xf>
    <xf numFmtId="38" fontId="100" fillId="0" borderId="0" applyNumberFormat="0" applyFill="0" applyBorder="0">
      <alignment horizontal="centerContinuous" vertical="center"/>
    </xf>
    <xf numFmtId="0" fontId="20" fillId="0" borderId="0">
      <alignment vertical="top"/>
    </xf>
    <xf numFmtId="0" fontId="101" fillId="0" borderId="0" applyNumberFormat="0" applyFill="0" applyBorder="0" applyAlignment="0" applyProtection="0"/>
    <xf numFmtId="0" fontId="7" fillId="0" borderId="0" applyNumberFormat="0" applyFill="0" applyBorder="0" applyAlignment="0" applyProtection="0"/>
    <xf numFmtId="0" fontId="26" fillId="0" borderId="0" applyFill="0" applyBorder="0" applyAlignment="0" applyProtection="0"/>
    <xf numFmtId="0" fontId="17" fillId="0" borderId="0">
      <alignment wrapText="1"/>
    </xf>
    <xf numFmtId="0" fontId="102" fillId="0" borderId="0">
      <alignment horizontal="left"/>
      <protection locked="0"/>
    </xf>
    <xf numFmtId="164" fontId="7" fillId="0" borderId="0" applyFont="0" applyFill="0" applyBorder="0" applyAlignment="0" applyProtection="0">
      <alignment wrapText="1"/>
    </xf>
    <xf numFmtId="164" fontId="110" fillId="0" borderId="0" applyFont="0" applyFill="0" applyBorder="0" applyAlignment="0" applyProtection="0"/>
    <xf numFmtId="5" fontId="87" fillId="0" borderId="0">
      <alignment vertical="center"/>
    </xf>
    <xf numFmtId="223" fontId="27" fillId="0" borderId="0"/>
    <xf numFmtId="254" fontId="28" fillId="0" borderId="0" applyFill="0" applyBorder="0" applyAlignment="0" applyProtection="0"/>
    <xf numFmtId="14" fontId="23" fillId="0" borderId="0" applyFont="0" applyFill="0" applyBorder="0" applyProtection="0"/>
    <xf numFmtId="255" fontId="103" fillId="0" borderId="0" applyFill="0" applyBorder="0">
      <alignment vertical="center"/>
    </xf>
    <xf numFmtId="0" fontId="71" fillId="24" borderId="37" applyNumberFormat="0" applyFont="0" applyBorder="0" applyAlignment="0" applyProtection="0">
      <alignment horizontal="right"/>
    </xf>
    <xf numFmtId="256" fontId="22" fillId="0" borderId="0" applyFont="0" applyFill="0" applyBorder="0" applyAlignment="0" applyProtection="0"/>
    <xf numFmtId="255" fontId="104" fillId="0" borderId="0">
      <alignment horizontal="center"/>
    </xf>
    <xf numFmtId="43" fontId="7" fillId="0" borderId="0" applyFont="0" applyFill="0" applyBorder="0" applyAlignment="0" applyProtection="0"/>
    <xf numFmtId="41" fontId="7" fillId="0" borderId="0" applyFont="0" applyFill="0" applyBorder="0" applyAlignment="0" applyProtection="0"/>
    <xf numFmtId="0" fontId="7" fillId="0" borderId="0"/>
    <xf numFmtId="44" fontId="7" fillId="0" borderId="0" applyFont="0" applyFill="0" applyBorder="0" applyAlignment="0" applyProtection="0"/>
    <xf numFmtId="42" fontId="7" fillId="0" borderId="0" applyFont="0" applyFill="0" applyBorder="0" applyAlignment="0" applyProtection="0"/>
    <xf numFmtId="0" fontId="2" fillId="0" borderId="0"/>
    <xf numFmtId="175" fontId="2" fillId="0" borderId="0" applyFont="0" applyFill="0" applyBorder="0" applyAlignment="0" applyProtection="0"/>
    <xf numFmtId="176" fontId="2" fillId="0" borderId="0" applyFont="0" applyFill="0" applyBorder="0" applyAlignment="0" applyProtection="0"/>
    <xf numFmtId="0" fontId="2" fillId="0" borderId="0">
      <alignment horizontal="left" wrapText="1"/>
    </xf>
    <xf numFmtId="0" fontId="2" fillId="0" borderId="0">
      <alignment horizontal="left" wrapText="1"/>
    </xf>
    <xf numFmtId="0" fontId="2" fillId="0" borderId="0">
      <alignment horizontal="left" wrapText="1"/>
    </xf>
    <xf numFmtId="0" fontId="2" fillId="0" borderId="0">
      <alignment horizontal="left" wrapText="1"/>
    </xf>
    <xf numFmtId="0" fontId="2" fillId="0" borderId="0">
      <alignment horizontal="left" wrapText="1"/>
    </xf>
    <xf numFmtId="0" fontId="2" fillId="0" borderId="0">
      <alignment horizontal="left" wrapText="1"/>
    </xf>
    <xf numFmtId="0" fontId="2" fillId="0" borderId="0">
      <alignment horizontal="left" wrapText="1"/>
    </xf>
    <xf numFmtId="0" fontId="2" fillId="0" borderId="0">
      <alignment horizontal="left" wrapText="1"/>
    </xf>
    <xf numFmtId="0" fontId="2" fillId="0" borderId="0">
      <alignment horizontal="left" wrapText="1"/>
    </xf>
    <xf numFmtId="0" fontId="2" fillId="0" borderId="0">
      <alignment horizontal="left" wrapText="1"/>
    </xf>
    <xf numFmtId="0" fontId="2" fillId="0" borderId="0">
      <alignment horizontal="left" wrapText="1"/>
    </xf>
    <xf numFmtId="0" fontId="2" fillId="0" borderId="0">
      <alignment horizontal="left" wrapText="1"/>
    </xf>
    <xf numFmtId="0" fontId="2" fillId="0" borderId="0">
      <alignment horizontal="left" wrapText="1"/>
    </xf>
    <xf numFmtId="0" fontId="2" fillId="0" borderId="0">
      <alignment horizontal="left" wrapText="1"/>
    </xf>
    <xf numFmtId="0" fontId="2" fillId="0" borderId="0">
      <alignment horizontal="left" wrapText="1"/>
    </xf>
    <xf numFmtId="0" fontId="2" fillId="0" borderId="0">
      <alignment horizontal="left" wrapText="1"/>
    </xf>
    <xf numFmtId="0" fontId="2" fillId="0" borderId="0">
      <alignment horizontal="left" wrapText="1"/>
    </xf>
    <xf numFmtId="0" fontId="2" fillId="0" borderId="0">
      <alignment horizontal="left" wrapText="1"/>
    </xf>
    <xf numFmtId="0" fontId="2" fillId="0" borderId="0">
      <alignment horizontal="left" wrapText="1"/>
    </xf>
    <xf numFmtId="0" fontId="2" fillId="0" borderId="0">
      <alignment horizontal="left" wrapText="1"/>
    </xf>
    <xf numFmtId="0" fontId="2" fillId="0" borderId="0">
      <alignment horizontal="left" wrapText="1"/>
    </xf>
    <xf numFmtId="0" fontId="2" fillId="0" borderId="0">
      <alignment horizontal="left" wrapText="1"/>
    </xf>
    <xf numFmtId="0" fontId="2" fillId="0" borderId="0">
      <alignment horizontal="left" wrapText="1"/>
    </xf>
    <xf numFmtId="0" fontId="2" fillId="0" borderId="0">
      <alignment horizontal="left" wrapText="1"/>
    </xf>
    <xf numFmtId="0" fontId="2" fillId="0" borderId="0">
      <alignment horizontal="left" wrapText="1"/>
    </xf>
    <xf numFmtId="0" fontId="2" fillId="0" borderId="0">
      <alignment horizontal="left" wrapText="1"/>
    </xf>
    <xf numFmtId="0" fontId="2" fillId="0" borderId="0">
      <alignment horizontal="left" wrapText="1"/>
    </xf>
    <xf numFmtId="0" fontId="2" fillId="0" borderId="0">
      <alignment horizontal="left" wrapText="1"/>
    </xf>
    <xf numFmtId="0" fontId="2" fillId="0" borderId="0">
      <alignment horizontal="left" wrapText="1"/>
    </xf>
    <xf numFmtId="0" fontId="2" fillId="0" borderId="0" applyNumberFormat="0" applyFill="0" applyBorder="0" applyAlignment="0" applyProtection="0">
      <alignment horizontal="left" wrapText="1"/>
    </xf>
    <xf numFmtId="0" fontId="2" fillId="0" borderId="0" applyNumberFormat="0" applyFill="0" applyBorder="0" applyAlignment="0" applyProtection="0">
      <alignment horizontal="left" wrapText="1"/>
    </xf>
    <xf numFmtId="0" fontId="2" fillId="0" borderId="0">
      <alignment horizontal="left" wrapText="1"/>
    </xf>
    <xf numFmtId="0" fontId="2" fillId="0" borderId="0">
      <alignment horizontal="left" wrapText="1"/>
    </xf>
    <xf numFmtId="0" fontId="2" fillId="0" borderId="0">
      <alignment horizontal="left" wrapText="1"/>
    </xf>
    <xf numFmtId="0" fontId="2" fillId="0" borderId="0">
      <alignment horizontal="left" wrapText="1"/>
    </xf>
    <xf numFmtId="0" fontId="2" fillId="0" borderId="0">
      <alignment horizontal="left" wrapText="1"/>
    </xf>
    <xf numFmtId="0" fontId="2" fillId="0" borderId="0">
      <alignment horizontal="left" wrapText="1"/>
    </xf>
    <xf numFmtId="0" fontId="2" fillId="0" borderId="0">
      <alignment horizontal="left" wrapText="1"/>
    </xf>
    <xf numFmtId="0" fontId="2" fillId="0" borderId="0">
      <alignment horizontal="left" wrapText="1"/>
    </xf>
    <xf numFmtId="0" fontId="2" fillId="0" borderId="0">
      <alignment horizontal="left" wrapText="1"/>
    </xf>
    <xf numFmtId="0" fontId="2" fillId="0" borderId="0">
      <alignment vertical="top"/>
    </xf>
    <xf numFmtId="0" fontId="2" fillId="0" borderId="0" applyNumberFormat="0" applyFill="0" applyBorder="0" applyAlignment="0" applyProtection="0">
      <alignment horizontal="left" wrapText="1"/>
    </xf>
    <xf numFmtId="0" fontId="2" fillId="0" borderId="0">
      <alignment vertical="top"/>
    </xf>
    <xf numFmtId="177" fontId="2" fillId="0" borderId="0" applyFont="0" applyFill="0" applyBorder="0" applyAlignment="0" applyProtection="0"/>
    <xf numFmtId="165" fontId="2" fillId="0" borderId="0" applyFont="0" applyFill="0" applyBorder="0" applyAlignment="0" applyProtection="0"/>
    <xf numFmtId="178" fontId="2" fillId="0" borderId="0" applyFont="0" applyFill="0" applyBorder="0" applyAlignment="0" applyProtection="0"/>
    <xf numFmtId="179" fontId="2" fillId="0" borderId="0" applyFont="0" applyFill="0" applyBorder="0" applyAlignment="0" applyProtection="0"/>
    <xf numFmtId="180" fontId="2" fillId="0" borderId="0" applyFont="0" applyFill="0" applyBorder="0" applyAlignment="0" applyProtection="0"/>
    <xf numFmtId="39" fontId="2" fillId="0" borderId="0" applyFont="0" applyFill="0" applyBorder="0" applyAlignment="0" applyProtection="0"/>
    <xf numFmtId="181" fontId="2" fillId="0" borderId="0" applyFont="0" applyFill="0" applyBorder="0" applyAlignment="0" applyProtection="0"/>
    <xf numFmtId="0" fontId="2" fillId="0" borderId="0">
      <alignment horizontal="left" wrapText="1"/>
    </xf>
    <xf numFmtId="0" fontId="2" fillId="0" borderId="0">
      <alignment horizontal="left" wrapText="1"/>
    </xf>
    <xf numFmtId="0" fontId="2" fillId="0" borderId="0">
      <alignment horizontal="left" wrapText="1"/>
    </xf>
    <xf numFmtId="0" fontId="2" fillId="0" borderId="0">
      <alignment horizontal="left" wrapText="1"/>
    </xf>
    <xf numFmtId="0" fontId="2" fillId="2" borderId="0" applyNumberFormat="0" applyFont="0" applyAlignment="0" applyProtection="0"/>
    <xf numFmtId="0" fontId="2" fillId="0" borderId="0" applyFont="0" applyFill="0" applyBorder="0" applyAlignment="0" applyProtection="0"/>
    <xf numFmtId="182" fontId="2" fillId="0" borderId="0" applyFont="0" applyFill="0" applyBorder="0" applyAlignment="0" applyProtection="0"/>
    <xf numFmtId="183" fontId="2" fillId="0" borderId="0" applyFont="0" applyFill="0" applyBorder="0" applyAlignment="0" applyProtection="0"/>
    <xf numFmtId="184" fontId="2" fillId="0" borderId="0" applyFont="0" applyFill="0" applyBorder="0" applyProtection="0">
      <alignment horizontal="right"/>
    </xf>
    <xf numFmtId="185" fontId="2" fillId="0" borderId="0" applyFont="0" applyFill="0" applyBorder="0" applyAlignment="0" applyProtection="0"/>
    <xf numFmtId="0" fontId="2" fillId="0" borderId="0">
      <alignment horizontal="left" wrapText="1"/>
    </xf>
    <xf numFmtId="0" fontId="2" fillId="0" borderId="0">
      <alignment horizontal="left" wrapText="1"/>
    </xf>
    <xf numFmtId="186" fontId="2" fillId="0" borderId="0" applyFont="0" applyFill="0" applyBorder="0" applyAlignment="0" applyProtection="0"/>
    <xf numFmtId="187" fontId="2" fillId="0" borderId="0" applyFont="0" applyFill="0" applyBorder="0" applyAlignment="0" applyProtection="0"/>
    <xf numFmtId="0" fontId="2" fillId="0" borderId="0">
      <alignment horizontal="left" wrapText="1"/>
    </xf>
    <xf numFmtId="0" fontId="2" fillId="0" borderId="0">
      <alignment horizontal="left" wrapText="1"/>
    </xf>
    <xf numFmtId="0" fontId="2" fillId="0" borderId="0">
      <alignment horizontal="left" wrapText="1"/>
    </xf>
    <xf numFmtId="0" fontId="2" fillId="0" borderId="0">
      <alignment horizontal="left" wrapText="1"/>
    </xf>
    <xf numFmtId="0" fontId="2" fillId="0" borderId="0">
      <alignment horizontal="left" wrapText="1"/>
    </xf>
    <xf numFmtId="0" fontId="2" fillId="0" borderId="0">
      <alignment horizontal="left" wrapText="1"/>
    </xf>
    <xf numFmtId="0" fontId="2" fillId="0" borderId="0">
      <alignment horizontal="left" wrapText="1"/>
    </xf>
    <xf numFmtId="0" fontId="2" fillId="0" borderId="0">
      <alignment horizontal="left" wrapText="1"/>
    </xf>
    <xf numFmtId="0" fontId="2" fillId="0" borderId="0" applyFont="0" applyFill="0" applyBorder="0" applyAlignment="0" applyProtection="0"/>
    <xf numFmtId="0" fontId="2" fillId="0" borderId="0">
      <alignment horizontal="left" wrapText="1"/>
    </xf>
    <xf numFmtId="0" fontId="2" fillId="0" borderId="0">
      <alignment horizontal="left" wrapText="1"/>
    </xf>
    <xf numFmtId="0" fontId="2" fillId="0" borderId="0">
      <alignment horizontal="left" wrapText="1"/>
    </xf>
    <xf numFmtId="0" fontId="2" fillId="0" borderId="0">
      <alignment horizontal="left" wrapText="1"/>
    </xf>
    <xf numFmtId="42" fontId="2" fillId="0" borderId="0" applyFont="0" applyFill="0" applyBorder="0" applyAlignment="0" applyProtection="0"/>
    <xf numFmtId="0" fontId="2" fillId="0" borderId="0" applyNumberFormat="0" applyFill="0" applyBorder="0" applyAlignment="0" applyProtection="0"/>
    <xf numFmtId="201" fontId="2" fillId="0" borderId="0" applyFill="0" applyBorder="0" applyAlignment="0"/>
    <xf numFmtId="8" fontId="2" fillId="0" borderId="5" applyFont="0" applyFill="0" applyBorder="0" applyProtection="0">
      <alignment horizontal="right"/>
    </xf>
    <xf numFmtId="202" fontId="2" fillId="0" borderId="0"/>
    <xf numFmtId="202" fontId="2" fillId="0" borderId="0"/>
    <xf numFmtId="202" fontId="2" fillId="0" borderId="0"/>
    <xf numFmtId="202" fontId="2" fillId="0" borderId="0"/>
    <xf numFmtId="202" fontId="2" fillId="0" borderId="0"/>
    <xf numFmtId="202" fontId="2" fillId="0" borderId="0"/>
    <xf numFmtId="202" fontId="2" fillId="0" borderId="0"/>
    <xf numFmtId="202" fontId="2" fillId="0" borderId="0"/>
    <xf numFmtId="164" fontId="2" fillId="0" borderId="0" applyFont="0" applyFill="0" applyBorder="0" applyAlignment="0" applyProtection="0"/>
    <xf numFmtId="43" fontId="2" fillId="0" borderId="0" applyFont="0" applyFill="0" applyBorder="0" applyAlignment="0" applyProtection="0"/>
    <xf numFmtId="40" fontId="2" fillId="0" borderId="0" applyFont="0" applyFill="0" applyBorder="0" applyProtection="0">
      <alignment horizontal="right"/>
    </xf>
    <xf numFmtId="3" fontId="2" fillId="0" borderId="0" applyFill="0" applyBorder="0" applyAlignment="0" applyProtection="0"/>
    <xf numFmtId="7" fontId="2" fillId="0" borderId="0" applyFont="0" applyFill="0" applyBorder="0" applyAlignment="0" applyProtection="0"/>
    <xf numFmtId="206" fontId="2" fillId="0" borderId="0" applyNumberFormat="0">
      <alignment horizontal="right"/>
    </xf>
    <xf numFmtId="15" fontId="2" fillId="0" borderId="0" applyFont="0" applyFill="0" applyBorder="0" applyProtection="0">
      <alignment horizontal="right"/>
    </xf>
    <xf numFmtId="0" fontId="2" fillId="0" borderId="0">
      <alignment horizontal="left"/>
    </xf>
    <xf numFmtId="209" fontId="2" fillId="0" borderId="0" applyFont="0" applyFill="0" applyBorder="0" applyAlignment="0" applyProtection="0"/>
    <xf numFmtId="0" fontId="2" fillId="0" borderId="0">
      <alignment horizontal="center"/>
    </xf>
    <xf numFmtId="0" fontId="2" fillId="0" borderId="0">
      <alignment horizontal="left"/>
    </xf>
    <xf numFmtId="0" fontId="2" fillId="0" borderId="0">
      <alignment horizontal="right"/>
    </xf>
    <xf numFmtId="165" fontId="2" fillId="0" borderId="0" applyNumberFormat="0" applyFont="0" applyFill="0" applyBorder="0" applyAlignment="0"/>
    <xf numFmtId="7" fontId="2" fillId="0" borderId="0"/>
    <xf numFmtId="222"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applyNumberForma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0" applyFont="0" applyFill="0" applyBorder="0" applyProtection="0">
      <alignment horizontal="right"/>
    </xf>
    <xf numFmtId="10" fontId="2" fillId="0" borderId="0"/>
    <xf numFmtId="227" fontId="2" fillId="0" borderId="0"/>
    <xf numFmtId="0" fontId="2" fillId="0" borderId="0" applyFont="0" applyFill="0" applyBorder="0" applyProtection="0">
      <alignment horizontal="right"/>
    </xf>
    <xf numFmtId="0" fontId="2" fillId="0" borderId="0" applyFont="0" applyFill="0" applyBorder="0" applyProtection="0">
      <alignment horizontal="right"/>
    </xf>
    <xf numFmtId="164" fontId="2" fillId="0" borderId="0" applyFont="0" applyFill="0" applyBorder="0" applyAlignment="0" applyProtection="0"/>
    <xf numFmtId="1" fontId="2" fillId="0" borderId="0"/>
    <xf numFmtId="12" fontId="2" fillId="0" borderId="0" applyFont="0" applyFill="0" applyBorder="0" applyProtection="0">
      <alignment horizontal="right"/>
    </xf>
    <xf numFmtId="0" fontId="2" fillId="23" borderId="0" applyFont="0" applyFill="0" applyBorder="0" applyProtection="0">
      <alignment horizontal="right"/>
    </xf>
    <xf numFmtId="201" fontId="2" fillId="0" borderId="0" applyFill="0" applyBorder="0" applyAlignment="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164" fontId="2" fillId="0" borderId="0" applyFont="0" applyFill="0" applyBorder="0" applyAlignment="0" applyProtection="0">
      <alignment wrapText="1"/>
    </xf>
    <xf numFmtId="164" fontId="1" fillId="0" borderId="0" applyFont="0" applyFill="0" applyBorder="0" applyAlignment="0" applyProtection="0"/>
  </cellStyleXfs>
  <cellXfs count="353">
    <xf numFmtId="0" fontId="0" fillId="0" borderId="0" xfId="0"/>
    <xf numFmtId="0" fontId="111" fillId="0" borderId="0" xfId="0" applyFont="1"/>
    <xf numFmtId="0" fontId="112" fillId="0" borderId="0" xfId="0" applyFont="1"/>
    <xf numFmtId="0" fontId="113" fillId="0" borderId="0" xfId="0" applyFont="1"/>
    <xf numFmtId="165" fontId="114" fillId="0" borderId="0" xfId="0" applyNumberFormat="1" applyFont="1"/>
    <xf numFmtId="0" fontId="115" fillId="0" borderId="0" xfId="0" applyFont="1"/>
    <xf numFmtId="0" fontId="111" fillId="0" borderId="0" xfId="0" applyFont="1" applyAlignment="1">
      <alignment horizontal="left"/>
    </xf>
    <xf numFmtId="165" fontId="115" fillId="0" borderId="0" xfId="0" applyNumberFormat="1" applyFont="1"/>
    <xf numFmtId="167" fontId="111" fillId="0" borderId="0" xfId="0" applyNumberFormat="1" applyFont="1"/>
    <xf numFmtId="0" fontId="116" fillId="27" borderId="0" xfId="0" applyFont="1" applyFill="1" applyAlignment="1">
      <alignment horizontal="left"/>
    </xf>
    <xf numFmtId="0" fontId="115" fillId="27" borderId="0" xfId="0" applyFont="1" applyFill="1"/>
    <xf numFmtId="0" fontId="115" fillId="27" borderId="38" xfId="0" applyFont="1" applyFill="1" applyBorder="1" applyAlignment="1">
      <alignment horizontal="centerContinuous"/>
    </xf>
    <xf numFmtId="168" fontId="115" fillId="27" borderId="0" xfId="0" applyNumberFormat="1" applyFont="1" applyFill="1" applyAlignment="1">
      <alignment horizontal="centerContinuous"/>
    </xf>
    <xf numFmtId="168" fontId="115" fillId="27" borderId="0" xfId="0" applyNumberFormat="1" applyFont="1" applyFill="1" applyAlignment="1">
      <alignment horizontal="center"/>
    </xf>
    <xf numFmtId="0" fontId="115" fillId="0" borderId="0" xfId="0" applyFont="1" applyAlignment="1">
      <alignment horizontal="left"/>
    </xf>
    <xf numFmtId="0" fontId="115" fillId="27" borderId="3" xfId="0" applyFont="1" applyFill="1" applyBorder="1"/>
    <xf numFmtId="0" fontId="117" fillId="28" borderId="0" xfId="0" applyFont="1" applyFill="1" applyAlignment="1">
      <alignment horizontal="left" indent="1"/>
    </xf>
    <xf numFmtId="169" fontId="118" fillId="28" borderId="0" xfId="550" applyNumberFormat="1" applyFont="1" applyFill="1"/>
    <xf numFmtId="0" fontId="117" fillId="28" borderId="0" xfId="0" applyFont="1" applyFill="1" applyAlignment="1">
      <alignment horizontal="left"/>
    </xf>
    <xf numFmtId="43" fontId="113" fillId="0" borderId="0" xfId="162" applyFont="1" applyFill="1" applyBorder="1" applyAlignment="1">
      <alignment horizontal="center"/>
    </xf>
    <xf numFmtId="37" fontId="111" fillId="0" borderId="0" xfId="0" applyNumberFormat="1" applyFont="1"/>
    <xf numFmtId="0" fontId="115" fillId="0" borderId="39" xfId="0" applyFont="1" applyBorder="1"/>
    <xf numFmtId="0" fontId="111" fillId="0" borderId="3" xfId="0" applyFont="1" applyBorder="1"/>
    <xf numFmtId="0" fontId="117" fillId="28" borderId="0" xfId="0" applyFont="1" applyFill="1"/>
    <xf numFmtId="169" fontId="117" fillId="28" borderId="0" xfId="550" applyNumberFormat="1" applyFont="1" applyFill="1"/>
    <xf numFmtId="257" fontId="115" fillId="0" borderId="0" xfId="0" applyNumberFormat="1" applyFont="1"/>
    <xf numFmtId="257" fontId="111" fillId="0" borderId="0" xfId="0" applyNumberFormat="1" applyFont="1"/>
    <xf numFmtId="0" fontId="111" fillId="0" borderId="0" xfId="272" applyFont="1"/>
    <xf numFmtId="166" fontId="115" fillId="0" borderId="0" xfId="0" applyNumberFormat="1" applyFont="1"/>
    <xf numFmtId="165" fontId="119" fillId="0" borderId="0" xfId="0" applyNumberFormat="1" applyFont="1"/>
    <xf numFmtId="165" fontId="111" fillId="0" borderId="0" xfId="0" applyNumberFormat="1" applyFont="1"/>
    <xf numFmtId="165" fontId="120" fillId="0" borderId="0" xfId="0" applyNumberFormat="1" applyFont="1"/>
    <xf numFmtId="169" fontId="117" fillId="28" borderId="0" xfId="0" applyNumberFormat="1" applyFont="1" applyFill="1"/>
    <xf numFmtId="168" fontId="115" fillId="27" borderId="3" xfId="0" applyNumberFormat="1" applyFont="1" applyFill="1" applyBorder="1" applyAlignment="1">
      <alignment horizontal="centerContinuous"/>
    </xf>
    <xf numFmtId="0" fontId="117" fillId="0" borderId="0" xfId="0" applyFont="1"/>
    <xf numFmtId="0" fontId="111" fillId="0" borderId="0" xfId="0" applyFont="1" applyAlignment="1">
      <alignment horizontal="right"/>
    </xf>
    <xf numFmtId="258" fontId="115" fillId="0" borderId="0" xfId="0" applyNumberFormat="1" applyFont="1" applyAlignment="1">
      <alignment horizontal="right"/>
    </xf>
    <xf numFmtId="258" fontId="111" fillId="0" borderId="0" xfId="0" applyNumberFormat="1" applyFont="1" applyAlignment="1">
      <alignment horizontal="right"/>
    </xf>
    <xf numFmtId="165" fontId="115" fillId="0" borderId="0" xfId="0" applyNumberFormat="1" applyFont="1" applyAlignment="1">
      <alignment horizontal="right"/>
    </xf>
    <xf numFmtId="9" fontId="111" fillId="0" borderId="0" xfId="550" applyFont="1"/>
    <xf numFmtId="9" fontId="111" fillId="0" borderId="0" xfId="550" applyFont="1" applyFill="1"/>
    <xf numFmtId="0" fontId="111" fillId="0" borderId="7" xfId="0" applyFont="1" applyBorder="1"/>
    <xf numFmtId="169" fontId="117" fillId="0" borderId="0" xfId="550" applyNumberFormat="1" applyFont="1" applyFill="1"/>
    <xf numFmtId="165" fontId="115" fillId="0" borderId="39" xfId="0" applyNumberFormat="1" applyFont="1" applyBorder="1"/>
    <xf numFmtId="0" fontId="117" fillId="0" borderId="0" xfId="0" applyFont="1" applyAlignment="1">
      <alignment horizontal="left" indent="1"/>
    </xf>
    <xf numFmtId="1" fontId="111" fillId="0" borderId="0" xfId="0" applyNumberFormat="1" applyFont="1" applyAlignment="1">
      <alignment horizontal="right"/>
    </xf>
    <xf numFmtId="0" fontId="115" fillId="0" borderId="7" xfId="0" applyFont="1" applyBorder="1"/>
    <xf numFmtId="169" fontId="117" fillId="28" borderId="0" xfId="550" applyNumberFormat="1" applyFont="1" applyFill="1" applyAlignment="1">
      <alignment horizontal="right"/>
    </xf>
    <xf numFmtId="0" fontId="115" fillId="0" borderId="0" xfId="272" applyFont="1"/>
    <xf numFmtId="2" fontId="111" fillId="0" borderId="0" xfId="0" applyNumberFormat="1" applyFont="1"/>
    <xf numFmtId="0" fontId="112" fillId="0" borderId="9" xfId="0" applyFont="1" applyBorder="1"/>
    <xf numFmtId="0" fontId="115" fillId="27" borderId="9" xfId="0" applyFont="1" applyFill="1" applyBorder="1"/>
    <xf numFmtId="0" fontId="115" fillId="0" borderId="6" xfId="0" applyFont="1" applyBorder="1"/>
    <xf numFmtId="0" fontId="115" fillId="0" borderId="40" xfId="272" applyFont="1" applyBorder="1" applyAlignment="1">
      <alignment horizontal="left" wrapText="1"/>
    </xf>
    <xf numFmtId="0" fontId="111" fillId="0" borderId="22" xfId="272" applyFont="1" applyBorder="1" applyAlignment="1">
      <alignment horizontal="left" wrapText="1"/>
    </xf>
    <xf numFmtId="165" fontId="121" fillId="0" borderId="0" xfId="0" applyNumberFormat="1" applyFont="1"/>
    <xf numFmtId="170" fontId="111" fillId="0" borderId="0" xfId="162" applyNumberFormat="1" applyFont="1" applyFill="1" applyBorder="1"/>
    <xf numFmtId="170" fontId="115" fillId="0" borderId="0" xfId="162" applyNumberFormat="1" applyFont="1" applyFill="1" applyBorder="1"/>
    <xf numFmtId="169" fontId="115" fillId="0" borderId="0" xfId="550" applyNumberFormat="1" applyFont="1" applyFill="1" applyAlignment="1">
      <alignment horizontal="right"/>
    </xf>
    <xf numFmtId="170" fontId="115" fillId="0" borderId="0" xfId="162" applyNumberFormat="1" applyFont="1" applyFill="1"/>
    <xf numFmtId="168" fontId="115" fillId="27" borderId="3" xfId="0" applyNumberFormat="1" applyFont="1" applyFill="1" applyBorder="1" applyAlignment="1">
      <alignment horizontal="center" vertical="center"/>
    </xf>
    <xf numFmtId="170" fontId="111" fillId="0" borderId="0" xfId="162" applyNumberFormat="1" applyFont="1" applyAlignment="1">
      <alignment horizontal="right"/>
    </xf>
    <xf numFmtId="170" fontId="115" fillId="0" borderId="39" xfId="162" applyNumberFormat="1" applyFont="1" applyFill="1" applyBorder="1" applyAlignment="1">
      <alignment horizontal="right"/>
    </xf>
    <xf numFmtId="170" fontId="111" fillId="0" borderId="0" xfId="162" applyNumberFormat="1" applyFont="1" applyBorder="1"/>
    <xf numFmtId="170" fontId="111" fillId="0" borderId="7" xfId="162" applyNumberFormat="1" applyFont="1" applyBorder="1"/>
    <xf numFmtId="170" fontId="115" fillId="0" borderId="7" xfId="162" applyNumberFormat="1" applyFont="1" applyBorder="1"/>
    <xf numFmtId="170" fontId="111" fillId="0" borderId="0" xfId="162" applyNumberFormat="1" applyFont="1"/>
    <xf numFmtId="259" fontId="115" fillId="0" borderId="0" xfId="0" applyNumberFormat="1" applyFont="1" applyAlignment="1">
      <alignment horizontal="right"/>
    </xf>
    <xf numFmtId="172" fontId="111" fillId="0" borderId="28" xfId="162" applyNumberFormat="1" applyFont="1" applyFill="1" applyBorder="1" applyAlignment="1">
      <alignment horizontal="left" wrapText="1"/>
    </xf>
    <xf numFmtId="169" fontId="114" fillId="0" borderId="0" xfId="550" applyNumberFormat="1" applyFont="1" applyFill="1"/>
    <xf numFmtId="0" fontId="111" fillId="0" borderId="41" xfId="0" applyFont="1" applyBorder="1"/>
    <xf numFmtId="170" fontId="111" fillId="0" borderId="41" xfId="162" applyNumberFormat="1" applyFont="1" applyBorder="1"/>
    <xf numFmtId="0" fontId="122" fillId="0" borderId="0" xfId="0" applyFont="1"/>
    <xf numFmtId="170" fontId="111" fillId="28" borderId="0" xfId="162" applyNumberFormat="1" applyFont="1" applyFill="1" applyBorder="1" applyAlignment="1">
      <alignment horizontal="center" wrapText="1"/>
    </xf>
    <xf numFmtId="165" fontId="123" fillId="0" borderId="0" xfId="0" applyNumberFormat="1" applyFont="1"/>
    <xf numFmtId="165" fontId="124" fillId="0" borderId="0" xfId="0" applyNumberFormat="1" applyFont="1"/>
    <xf numFmtId="0" fontId="121" fillId="0" borderId="0" xfId="0" applyFont="1"/>
    <xf numFmtId="169" fontId="125" fillId="28" borderId="0" xfId="550" applyNumberFormat="1" applyFont="1" applyFill="1"/>
    <xf numFmtId="0" fontId="115" fillId="28" borderId="42" xfId="272" applyFont="1" applyFill="1" applyBorder="1" applyAlignment="1">
      <alignment horizontal="right" wrapText="1"/>
    </xf>
    <xf numFmtId="0" fontId="111" fillId="28" borderId="15" xfId="272" applyFont="1" applyFill="1" applyBorder="1" applyAlignment="1">
      <alignment horizontal="right" wrapText="1"/>
    </xf>
    <xf numFmtId="0" fontId="126" fillId="0" borderId="0" xfId="272" applyFont="1"/>
    <xf numFmtId="0" fontId="117" fillId="0" borderId="0" xfId="272" applyFont="1"/>
    <xf numFmtId="172" fontId="111" fillId="0" borderId="43" xfId="162" applyNumberFormat="1" applyFont="1" applyFill="1" applyBorder="1" applyAlignment="1">
      <alignment horizontal="left" wrapText="1"/>
    </xf>
    <xf numFmtId="165" fontId="111" fillId="0" borderId="0" xfId="0" applyNumberFormat="1" applyFont="1" applyAlignment="1">
      <alignment horizontal="right"/>
    </xf>
    <xf numFmtId="168" fontId="115" fillId="30" borderId="3" xfId="0" applyNumberFormat="1" applyFont="1" applyFill="1" applyBorder="1" applyAlignment="1">
      <alignment horizontal="center" vertical="center"/>
    </xf>
    <xf numFmtId="0" fontId="115" fillId="0" borderId="40" xfId="272" applyFont="1" applyBorder="1"/>
    <xf numFmtId="0" fontId="115" fillId="0" borderId="44" xfId="272" applyFont="1" applyBorder="1"/>
    <xf numFmtId="0" fontId="111" fillId="0" borderId="22" xfId="272" applyFont="1" applyBorder="1" applyAlignment="1">
      <alignment horizontal="left"/>
    </xf>
    <xf numFmtId="0" fontId="115" fillId="0" borderId="45" xfId="272" applyFont="1" applyBorder="1" applyAlignment="1">
      <alignment horizontal="left"/>
    </xf>
    <xf numFmtId="169" fontId="111" fillId="0" borderId="0" xfId="550" applyNumberFormat="1" applyFont="1" applyFill="1"/>
    <xf numFmtId="0" fontId="123" fillId="27" borderId="0" xfId="0" applyFont="1" applyFill="1"/>
    <xf numFmtId="170" fontId="121" fillId="0" borderId="43" xfId="272" applyNumberFormat="1" applyFont="1" applyBorder="1"/>
    <xf numFmtId="0" fontId="115" fillId="0" borderId="46" xfId="272" applyFont="1" applyBorder="1"/>
    <xf numFmtId="168" fontId="115" fillId="27" borderId="3" xfId="0" applyNumberFormat="1" applyFont="1" applyFill="1" applyBorder="1" applyAlignment="1">
      <alignment horizontal="left" vertical="center"/>
    </xf>
    <xf numFmtId="169" fontId="111" fillId="0" borderId="0" xfId="550" applyNumberFormat="1" applyFont="1"/>
    <xf numFmtId="170" fontId="111" fillId="0" borderId="43" xfId="162" applyNumberFormat="1" applyFont="1" applyFill="1" applyBorder="1" applyAlignment="1">
      <alignment horizontal="left" wrapText="1"/>
    </xf>
    <xf numFmtId="170" fontId="111" fillId="0" borderId="28" xfId="162" applyNumberFormat="1" applyFont="1" applyFill="1" applyBorder="1" applyAlignment="1">
      <alignment horizontal="left" wrapText="1"/>
    </xf>
    <xf numFmtId="170" fontId="111" fillId="0" borderId="28" xfId="272" applyNumberFormat="1" applyFont="1" applyBorder="1"/>
    <xf numFmtId="170" fontId="115" fillId="0" borderId="47" xfId="162" applyNumberFormat="1" applyFont="1" applyFill="1" applyBorder="1" applyAlignment="1">
      <alignment horizontal="left" wrapText="1"/>
    </xf>
    <xf numFmtId="0" fontId="115" fillId="0" borderId="48" xfId="272" applyFont="1" applyBorder="1" applyAlignment="1">
      <alignment horizontal="right"/>
    </xf>
    <xf numFmtId="0" fontId="115" fillId="0" borderId="44" xfId="272" applyFont="1" applyBorder="1" applyAlignment="1">
      <alignment horizontal="right"/>
    </xf>
    <xf numFmtId="170" fontId="121" fillId="28" borderId="14" xfId="162" applyNumberFormat="1" applyFont="1" applyFill="1" applyBorder="1" applyAlignment="1">
      <alignment horizontal="center" wrapText="1"/>
    </xf>
    <xf numFmtId="170" fontId="111" fillId="0" borderId="43" xfId="272" applyNumberFormat="1" applyFont="1" applyBorder="1"/>
    <xf numFmtId="0" fontId="115" fillId="0" borderId="11" xfId="272" applyFont="1" applyBorder="1" applyAlignment="1">
      <alignment horizontal="center"/>
    </xf>
    <xf numFmtId="165" fontId="127" fillId="0" borderId="0" xfId="0" applyNumberFormat="1" applyFont="1"/>
    <xf numFmtId="170" fontId="115" fillId="0" borderId="45" xfId="175" applyNumberFormat="1" applyFont="1" applyFill="1" applyBorder="1" applyAlignment="1">
      <alignment horizontal="left" wrapText="1"/>
    </xf>
    <xf numFmtId="170" fontId="119" fillId="0" borderId="0" xfId="272" applyNumberFormat="1" applyFont="1"/>
    <xf numFmtId="0" fontId="115" fillId="28" borderId="12" xfId="272" applyFont="1" applyFill="1" applyBorder="1" applyAlignment="1">
      <alignment horizontal="right" wrapText="1"/>
    </xf>
    <xf numFmtId="0" fontId="111" fillId="28" borderId="8" xfId="272" applyFont="1" applyFill="1" applyBorder="1" applyAlignment="1">
      <alignment horizontal="right" wrapText="1"/>
    </xf>
    <xf numFmtId="0" fontId="111" fillId="28" borderId="8" xfId="272" applyFont="1" applyFill="1" applyBorder="1"/>
    <xf numFmtId="0" fontId="115" fillId="28" borderId="49" xfId="272" applyFont="1" applyFill="1" applyBorder="1" applyAlignment="1">
      <alignment horizontal="left" wrapText="1"/>
    </xf>
    <xf numFmtId="0" fontId="115" fillId="28" borderId="14" xfId="272" applyFont="1" applyFill="1" applyBorder="1" applyAlignment="1">
      <alignment horizontal="left" wrapText="1"/>
    </xf>
    <xf numFmtId="0" fontId="111" fillId="28" borderId="15" xfId="272" applyFont="1" applyFill="1" applyBorder="1"/>
    <xf numFmtId="170" fontId="115" fillId="0" borderId="0" xfId="175" applyNumberFormat="1" applyFont="1" applyFill="1" applyBorder="1" applyAlignment="1">
      <alignment horizontal="left" wrapText="1"/>
    </xf>
    <xf numFmtId="170" fontId="119" fillId="0" borderId="0" xfId="175" applyNumberFormat="1" applyFont="1" applyFill="1" applyBorder="1" applyAlignment="1">
      <alignment horizontal="left" wrapText="1"/>
    </xf>
    <xf numFmtId="169" fontId="115" fillId="0" borderId="7" xfId="550" applyNumberFormat="1" applyFont="1" applyFill="1" applyBorder="1" applyAlignment="1">
      <alignment horizontal="right"/>
    </xf>
    <xf numFmtId="170" fontId="115" fillId="28" borderId="49" xfId="162" applyNumberFormat="1" applyFont="1" applyFill="1" applyBorder="1"/>
    <xf numFmtId="170" fontId="115" fillId="28" borderId="9" xfId="162" applyNumberFormat="1" applyFont="1" applyFill="1" applyBorder="1"/>
    <xf numFmtId="258" fontId="115" fillId="28" borderId="42" xfId="273" applyNumberFormat="1" applyFont="1" applyFill="1" applyBorder="1"/>
    <xf numFmtId="258" fontId="115" fillId="28" borderId="12" xfId="273" applyNumberFormat="1" applyFont="1" applyFill="1" applyBorder="1"/>
    <xf numFmtId="170" fontId="111" fillId="28" borderId="14" xfId="162" applyNumberFormat="1" applyFont="1" applyFill="1" applyBorder="1"/>
    <xf numFmtId="258" fontId="111" fillId="28" borderId="15" xfId="273" applyNumberFormat="1" applyFont="1" applyFill="1" applyBorder="1"/>
    <xf numFmtId="258" fontId="111" fillId="28" borderId="8" xfId="273" applyNumberFormat="1" applyFont="1" applyFill="1" applyBorder="1"/>
    <xf numFmtId="170" fontId="115" fillId="28" borderId="14" xfId="162" applyNumberFormat="1" applyFont="1" applyFill="1" applyBorder="1"/>
    <xf numFmtId="165" fontId="111" fillId="28" borderId="16" xfId="0" applyNumberFormat="1" applyFont="1" applyFill="1" applyBorder="1"/>
    <xf numFmtId="170" fontId="111" fillId="28" borderId="9" xfId="162" applyNumberFormat="1" applyFont="1" applyFill="1" applyBorder="1" applyAlignment="1">
      <alignment horizontal="center" wrapText="1"/>
    </xf>
    <xf numFmtId="0" fontId="111" fillId="28" borderId="17" xfId="272" applyFont="1" applyFill="1" applyBorder="1"/>
    <xf numFmtId="0" fontId="111" fillId="28" borderId="50" xfId="272" applyFont="1" applyFill="1" applyBorder="1"/>
    <xf numFmtId="172" fontId="115" fillId="28" borderId="14" xfId="162" applyNumberFormat="1" applyFont="1" applyFill="1" applyBorder="1" applyAlignment="1">
      <alignment horizontal="center" wrapText="1"/>
    </xf>
    <xf numFmtId="172" fontId="115" fillId="28" borderId="0" xfId="162" applyNumberFormat="1" applyFont="1" applyFill="1" applyBorder="1" applyAlignment="1">
      <alignment horizontal="center" wrapText="1"/>
    </xf>
    <xf numFmtId="0" fontId="115" fillId="28" borderId="49" xfId="273" applyFont="1" applyFill="1" applyBorder="1"/>
    <xf numFmtId="0" fontId="111" fillId="28" borderId="14" xfId="273" applyFont="1" applyFill="1" applyBorder="1"/>
    <xf numFmtId="0" fontId="115" fillId="28" borderId="14" xfId="273" applyFont="1" applyFill="1" applyBorder="1"/>
    <xf numFmtId="0" fontId="111" fillId="28" borderId="16" xfId="273" applyFont="1" applyFill="1" applyBorder="1"/>
    <xf numFmtId="168" fontId="115" fillId="0" borderId="0" xfId="0" applyNumberFormat="1" applyFont="1" applyAlignment="1">
      <alignment horizontal="center"/>
    </xf>
    <xf numFmtId="169" fontId="125" fillId="0" borderId="0" xfId="550" applyNumberFormat="1" applyFont="1" applyFill="1"/>
    <xf numFmtId="169" fontId="118" fillId="0" borderId="0" xfId="550" applyNumberFormat="1" applyFont="1" applyFill="1"/>
    <xf numFmtId="169" fontId="117" fillId="0" borderId="0" xfId="0" applyNumberFormat="1" applyFont="1"/>
    <xf numFmtId="169" fontId="117" fillId="0" borderId="0" xfId="550" applyNumberFormat="1" applyFont="1" applyFill="1" applyAlignment="1">
      <alignment horizontal="right"/>
    </xf>
    <xf numFmtId="170" fontId="111" fillId="0" borderId="0" xfId="162" applyNumberFormat="1" applyFont="1" applyFill="1" applyAlignment="1">
      <alignment horizontal="right"/>
    </xf>
    <xf numFmtId="170" fontId="111" fillId="0" borderId="0" xfId="162" applyNumberFormat="1" applyFont="1" applyFill="1"/>
    <xf numFmtId="168" fontId="115" fillId="30" borderId="3" xfId="0" applyNumberFormat="1" applyFont="1" applyFill="1" applyBorder="1" applyAlignment="1">
      <alignment horizontal="center"/>
    </xf>
    <xf numFmtId="0" fontId="119" fillId="0" borderId="0" xfId="272" applyFont="1" applyAlignment="1">
      <alignment horizontal="left"/>
    </xf>
    <xf numFmtId="43" fontId="111" fillId="0" borderId="0" xfId="272" applyNumberFormat="1" applyFont="1"/>
    <xf numFmtId="0" fontId="115" fillId="27" borderId="38" xfId="0" applyFont="1" applyFill="1" applyBorder="1" applyAlignment="1">
      <alignment horizontal="left"/>
    </xf>
    <xf numFmtId="168" fontId="115" fillId="27" borderId="0" xfId="0" applyNumberFormat="1" applyFont="1" applyFill="1" applyAlignment="1">
      <alignment horizontal="left"/>
    </xf>
    <xf numFmtId="37" fontId="114" fillId="0" borderId="0" xfId="0" applyNumberFormat="1" applyFont="1"/>
    <xf numFmtId="171" fontId="119" fillId="0" borderId="0" xfId="162" applyNumberFormat="1" applyFont="1" applyFill="1"/>
    <xf numFmtId="0" fontId="115" fillId="27" borderId="0" xfId="0" applyFont="1" applyFill="1" applyAlignment="1">
      <alignment horizontal="centerContinuous"/>
    </xf>
    <xf numFmtId="0" fontId="111" fillId="28" borderId="14" xfId="272" applyFont="1" applyFill="1" applyBorder="1" applyAlignment="1">
      <alignment horizontal="left" vertical="top" wrapText="1"/>
    </xf>
    <xf numFmtId="37" fontId="121" fillId="0" borderId="0" xfId="0" applyNumberFormat="1" applyFont="1"/>
    <xf numFmtId="3" fontId="121" fillId="0" borderId="0" xfId="0" applyNumberFormat="1" applyFont="1"/>
    <xf numFmtId="2" fontId="114" fillId="0" borderId="0" xfId="0" applyNumberFormat="1" applyFont="1"/>
    <xf numFmtId="2" fontId="121" fillId="0" borderId="0" xfId="0" applyNumberFormat="1" applyFont="1"/>
    <xf numFmtId="3" fontId="111" fillId="0" borderId="0" xfId="0" applyNumberFormat="1" applyFont="1"/>
    <xf numFmtId="169" fontId="111" fillId="0" borderId="0" xfId="0" applyNumberFormat="1" applyFont="1"/>
    <xf numFmtId="0" fontId="128" fillId="0" borderId="0" xfId="272" applyFont="1"/>
    <xf numFmtId="0" fontId="115" fillId="0" borderId="0" xfId="272" applyFont="1" applyAlignment="1">
      <alignment horizontal="right" wrapText="1"/>
    </xf>
    <xf numFmtId="0" fontId="111" fillId="0" borderId="0" xfId="272" applyFont="1" applyAlignment="1">
      <alignment horizontal="left" wrapText="1"/>
    </xf>
    <xf numFmtId="172" fontId="115" fillId="0" borderId="0" xfId="162" applyNumberFormat="1" applyFont="1" applyFill="1" applyBorder="1" applyAlignment="1">
      <alignment horizontal="center" wrapText="1"/>
    </xf>
    <xf numFmtId="0" fontId="111" fillId="0" borderId="0" xfId="272" applyFont="1" applyAlignment="1">
      <alignment horizontal="right" wrapText="1"/>
    </xf>
    <xf numFmtId="170" fontId="121" fillId="0" borderId="0" xfId="162" applyNumberFormat="1" applyFont="1" applyFill="1" applyBorder="1" applyAlignment="1">
      <alignment horizontal="center" wrapText="1"/>
    </xf>
    <xf numFmtId="170" fontId="111" fillId="0" borderId="0" xfId="162" applyNumberFormat="1" applyFont="1" applyFill="1" applyBorder="1" applyAlignment="1">
      <alignment horizontal="center" wrapText="1"/>
    </xf>
    <xf numFmtId="170" fontId="121" fillId="0" borderId="0" xfId="175" applyNumberFormat="1" applyFont="1" applyFill="1" applyBorder="1" applyAlignment="1">
      <alignment horizontal="center" wrapText="1"/>
    </xf>
    <xf numFmtId="0" fontId="115" fillId="0" borderId="0" xfId="273" applyFont="1"/>
    <xf numFmtId="258" fontId="115" fillId="0" borderId="0" xfId="273" applyNumberFormat="1" applyFont="1"/>
    <xf numFmtId="0" fontId="111" fillId="0" borderId="0" xfId="273" applyFont="1"/>
    <xf numFmtId="258" fontId="111" fillId="0" borderId="0" xfId="273" applyNumberFormat="1" applyFont="1"/>
    <xf numFmtId="0" fontId="115" fillId="0" borderId="0" xfId="272" applyFont="1" applyAlignment="1">
      <alignment horizontal="left" wrapText="1"/>
    </xf>
    <xf numFmtId="170" fontId="127" fillId="0" borderId="0" xfId="175" applyNumberFormat="1" applyFont="1" applyFill="1" applyBorder="1" applyAlignment="1">
      <alignment horizontal="center" wrapText="1"/>
    </xf>
    <xf numFmtId="170" fontId="115" fillId="0" borderId="0" xfId="175" applyNumberFormat="1" applyFont="1" applyFill="1" applyBorder="1" applyAlignment="1">
      <alignment horizontal="center" wrapText="1"/>
    </xf>
    <xf numFmtId="170" fontId="115" fillId="0" borderId="0" xfId="162" applyNumberFormat="1" applyFont="1" applyFill="1" applyBorder="1" applyAlignment="1">
      <alignment horizontal="center" wrapText="1"/>
    </xf>
    <xf numFmtId="235" fontId="126" fillId="0" borderId="0" xfId="272" applyNumberFormat="1" applyFont="1"/>
    <xf numFmtId="170" fontId="124" fillId="28" borderId="14" xfId="162" applyNumberFormat="1" applyFont="1" applyFill="1" applyBorder="1" applyAlignment="1">
      <alignment horizontal="center" wrapText="1"/>
    </xf>
    <xf numFmtId="0" fontId="111" fillId="0" borderId="22" xfId="272" quotePrefix="1" applyFont="1" applyBorder="1" applyAlignment="1">
      <alignment horizontal="left"/>
    </xf>
    <xf numFmtId="170" fontId="124" fillId="0" borderId="43" xfId="272" applyNumberFormat="1" applyFont="1" applyBorder="1"/>
    <xf numFmtId="0" fontId="111" fillId="0" borderId="18" xfId="273" applyFont="1" applyBorder="1"/>
    <xf numFmtId="170" fontId="121" fillId="0" borderId="19" xfId="162" applyNumberFormat="1" applyFont="1" applyFill="1" applyBorder="1"/>
    <xf numFmtId="0" fontId="111" fillId="0" borderId="14" xfId="273" applyFont="1" applyBorder="1"/>
    <xf numFmtId="165" fontId="124" fillId="0" borderId="15" xfId="272" applyNumberFormat="1" applyFont="1" applyBorder="1" applyAlignment="1">
      <alignment horizontal="right" wrapText="1"/>
    </xf>
    <xf numFmtId="170" fontId="111" fillId="0" borderId="14" xfId="272" applyNumberFormat="1" applyFont="1" applyBorder="1" applyAlignment="1">
      <alignment horizontal="left" wrapText="1"/>
    </xf>
    <xf numFmtId="258" fontId="115" fillId="0" borderId="15" xfId="273" applyNumberFormat="1" applyFont="1" applyBorder="1"/>
    <xf numFmtId="170" fontId="111" fillId="0" borderId="16" xfId="272" applyNumberFormat="1" applyFont="1" applyBorder="1" applyAlignment="1">
      <alignment horizontal="left" wrapText="1"/>
    </xf>
    <xf numFmtId="258" fontId="115" fillId="0" borderId="17" xfId="273" applyNumberFormat="1" applyFont="1" applyBorder="1"/>
    <xf numFmtId="0" fontId="111" fillId="0" borderId="14" xfId="272" applyFont="1" applyBorder="1"/>
    <xf numFmtId="165" fontId="121" fillId="0" borderId="15" xfId="272" applyNumberFormat="1" applyFont="1" applyBorder="1"/>
    <xf numFmtId="257" fontId="113" fillId="0" borderId="0" xfId="162" applyNumberFormat="1" applyFont="1" applyFill="1" applyBorder="1" applyAlignment="1"/>
    <xf numFmtId="257" fontId="123" fillId="0" borderId="0" xfId="162" applyNumberFormat="1" applyFont="1" applyFill="1" applyBorder="1" applyAlignment="1"/>
    <xf numFmtId="263" fontId="111" fillId="0" borderId="0" xfId="272" applyNumberFormat="1" applyFont="1"/>
    <xf numFmtId="0" fontId="115" fillId="0" borderId="0" xfId="272" applyFont="1" applyAlignment="1">
      <alignment horizontal="left"/>
    </xf>
    <xf numFmtId="0" fontId="115" fillId="27" borderId="38" xfId="0" applyFont="1" applyFill="1" applyBorder="1" applyAlignment="1">
      <alignment horizontal="center"/>
    </xf>
    <xf numFmtId="170" fontId="121" fillId="28" borderId="43" xfId="272" applyNumberFormat="1" applyFont="1" applyFill="1" applyBorder="1"/>
    <xf numFmtId="170" fontId="121" fillId="28" borderId="19" xfId="162" applyNumberFormat="1" applyFont="1" applyFill="1" applyBorder="1"/>
    <xf numFmtId="165" fontId="121" fillId="28" borderId="15" xfId="272" applyNumberFormat="1" applyFont="1" applyFill="1" applyBorder="1"/>
    <xf numFmtId="258" fontId="115" fillId="28" borderId="15" xfId="273" applyNumberFormat="1" applyFont="1" applyFill="1" applyBorder="1"/>
    <xf numFmtId="258" fontId="115" fillId="28" borderId="17" xfId="273" applyNumberFormat="1" applyFont="1" applyFill="1" applyBorder="1"/>
    <xf numFmtId="1" fontId="121" fillId="0" borderId="0" xfId="0" applyNumberFormat="1" applyFont="1"/>
    <xf numFmtId="170" fontId="121" fillId="31" borderId="19" xfId="162" applyNumberFormat="1" applyFont="1" applyFill="1" applyBorder="1"/>
    <xf numFmtId="165" fontId="121" fillId="31" borderId="15" xfId="272" applyNumberFormat="1" applyFont="1" applyFill="1" applyBorder="1"/>
    <xf numFmtId="170" fontId="121" fillId="29" borderId="19" xfId="162" applyNumberFormat="1" applyFont="1" applyFill="1" applyBorder="1"/>
    <xf numFmtId="165" fontId="121" fillId="29" borderId="15" xfId="272" applyNumberFormat="1" applyFont="1" applyFill="1" applyBorder="1"/>
    <xf numFmtId="258" fontId="111" fillId="32" borderId="0" xfId="0" applyNumberFormat="1" applyFont="1" applyFill="1" applyAlignment="1">
      <alignment horizontal="right"/>
    </xf>
    <xf numFmtId="0" fontId="111" fillId="0" borderId="22" xfId="273" applyFont="1" applyBorder="1"/>
    <xf numFmtId="170" fontId="121" fillId="0" borderId="28" xfId="162" applyNumberFormat="1" applyFont="1" applyFill="1" applyBorder="1"/>
    <xf numFmtId="0" fontId="111" fillId="0" borderId="22" xfId="272" applyFont="1" applyBorder="1"/>
    <xf numFmtId="165" fontId="121" fillId="0" borderId="28" xfId="272" applyNumberFormat="1" applyFont="1" applyBorder="1"/>
    <xf numFmtId="165" fontId="124" fillId="0" borderId="28" xfId="272" applyNumberFormat="1" applyFont="1" applyBorder="1" applyAlignment="1">
      <alignment horizontal="right" wrapText="1"/>
    </xf>
    <xf numFmtId="170" fontId="111" fillId="0" borderId="22" xfId="272" applyNumberFormat="1" applyFont="1" applyBorder="1" applyAlignment="1">
      <alignment horizontal="left" wrapText="1"/>
    </xf>
    <xf numFmtId="258" fontId="115" fillId="0" borderId="28" xfId="273" applyNumberFormat="1" applyFont="1" applyBorder="1"/>
    <xf numFmtId="170" fontId="111" fillId="0" borderId="23" xfId="272" applyNumberFormat="1" applyFont="1" applyBorder="1" applyAlignment="1">
      <alignment horizontal="left" wrapText="1"/>
    </xf>
    <xf numFmtId="258" fontId="115" fillId="0" borderId="29" xfId="273" applyNumberFormat="1" applyFont="1" applyBorder="1"/>
    <xf numFmtId="0" fontId="115" fillId="28" borderId="24" xfId="272" applyFont="1" applyFill="1" applyBorder="1" applyAlignment="1">
      <alignment horizontal="left" wrapText="1"/>
    </xf>
    <xf numFmtId="170" fontId="121" fillId="28" borderId="27" xfId="175" applyNumberFormat="1" applyFont="1" applyFill="1" applyBorder="1" applyAlignment="1">
      <alignment horizontal="center" wrapText="1"/>
    </xf>
    <xf numFmtId="0" fontId="115" fillId="0" borderId="14" xfId="272" applyFont="1" applyBorder="1" applyAlignment="1">
      <alignment horizontal="left" wrapText="1"/>
    </xf>
    <xf numFmtId="172" fontId="115" fillId="0" borderId="14" xfId="162" applyNumberFormat="1" applyFont="1" applyFill="1" applyBorder="1" applyAlignment="1">
      <alignment horizontal="center" wrapText="1"/>
    </xf>
    <xf numFmtId="0" fontId="111" fillId="0" borderId="15" xfId="272" applyFont="1" applyBorder="1" applyAlignment="1">
      <alignment horizontal="right" wrapText="1"/>
    </xf>
    <xf numFmtId="0" fontId="111" fillId="0" borderId="8" xfId="272" applyFont="1" applyBorder="1" applyAlignment="1">
      <alignment horizontal="right" wrapText="1"/>
    </xf>
    <xf numFmtId="0" fontId="111" fillId="0" borderId="14" xfId="272" applyFont="1" applyBorder="1" applyAlignment="1">
      <alignment horizontal="left" vertical="top" wrapText="1"/>
    </xf>
    <xf numFmtId="170" fontId="121" fillId="0" borderId="14" xfId="162" applyNumberFormat="1" applyFont="1" applyFill="1" applyBorder="1" applyAlignment="1">
      <alignment horizontal="center" wrapText="1"/>
    </xf>
    <xf numFmtId="170" fontId="124" fillId="0" borderId="14" xfId="162" applyNumberFormat="1" applyFont="1" applyFill="1" applyBorder="1" applyAlignment="1">
      <alignment horizontal="center" wrapText="1"/>
    </xf>
    <xf numFmtId="0" fontId="115" fillId="0" borderId="49" xfId="273" applyFont="1" applyBorder="1"/>
    <xf numFmtId="170" fontId="115" fillId="0" borderId="49" xfId="162" applyNumberFormat="1" applyFont="1" applyFill="1" applyBorder="1"/>
    <xf numFmtId="170" fontId="115" fillId="0" borderId="9" xfId="162" applyNumberFormat="1" applyFont="1" applyFill="1" applyBorder="1"/>
    <xf numFmtId="258" fontId="115" fillId="0" borderId="42" xfId="273" applyNumberFormat="1" applyFont="1" applyBorder="1"/>
    <xf numFmtId="258" fontId="115" fillId="0" borderId="12" xfId="273" applyNumberFormat="1" applyFont="1" applyBorder="1"/>
    <xf numFmtId="170" fontId="111" fillId="0" borderId="14" xfId="162" applyNumberFormat="1" applyFont="1" applyFill="1" applyBorder="1"/>
    <xf numFmtId="258" fontId="111" fillId="0" borderId="15" xfId="273" applyNumberFormat="1" applyFont="1" applyBorder="1"/>
    <xf numFmtId="258" fontId="111" fillId="0" borderId="8" xfId="273" applyNumberFormat="1" applyFont="1" applyBorder="1"/>
    <xf numFmtId="0" fontId="115" fillId="0" borderId="14" xfId="273" applyFont="1" applyBorder="1"/>
    <xf numFmtId="170" fontId="115" fillId="0" borderId="14" xfId="162" applyNumberFormat="1" applyFont="1" applyFill="1" applyBorder="1"/>
    <xf numFmtId="0" fontId="111" fillId="0" borderId="15" xfId="272" applyFont="1" applyBorder="1"/>
    <xf numFmtId="0" fontId="111" fillId="0" borderId="8" xfId="272" applyFont="1" applyBorder="1"/>
    <xf numFmtId="0" fontId="111" fillId="0" borderId="16" xfId="273" applyFont="1" applyBorder="1"/>
    <xf numFmtId="165" fontId="111" fillId="0" borderId="16" xfId="0" applyNumberFormat="1" applyFont="1" applyBorder="1"/>
    <xf numFmtId="170" fontId="111" fillId="0" borderId="9" xfId="162" applyNumberFormat="1" applyFont="1" applyFill="1" applyBorder="1" applyAlignment="1">
      <alignment horizontal="center" wrapText="1"/>
    </xf>
    <xf numFmtId="0" fontId="111" fillId="0" borderId="17" xfId="272" applyFont="1" applyBorder="1"/>
    <xf numFmtId="0" fontId="111" fillId="0" borderId="50" xfId="272" applyFont="1" applyBorder="1"/>
    <xf numFmtId="3" fontId="115" fillId="0" borderId="0" xfId="0" applyNumberFormat="1" applyFont="1"/>
    <xf numFmtId="165" fontId="117" fillId="0" borderId="0" xfId="0" applyNumberFormat="1" applyFont="1"/>
    <xf numFmtId="165" fontId="0" fillId="0" borderId="0" xfId="0" applyNumberFormat="1"/>
    <xf numFmtId="259" fontId="111" fillId="0" borderId="0" xfId="0" applyNumberFormat="1" applyFont="1"/>
    <xf numFmtId="165" fontId="115" fillId="28" borderId="0" xfId="0" applyNumberFormat="1" applyFont="1" applyFill="1"/>
    <xf numFmtId="257" fontId="111" fillId="28" borderId="0" xfId="0" applyNumberFormat="1" applyFont="1" applyFill="1"/>
    <xf numFmtId="257" fontId="115" fillId="28" borderId="0" xfId="0" applyNumberFormat="1" applyFont="1" applyFill="1"/>
    <xf numFmtId="165" fontId="111" fillId="33" borderId="0" xfId="0" applyNumberFormat="1" applyFont="1" applyFill="1" applyAlignment="1">
      <alignment horizontal="right"/>
    </xf>
    <xf numFmtId="39" fontId="115" fillId="34" borderId="0" xfId="0" applyNumberFormat="1" applyFont="1" applyFill="1" applyAlignment="1">
      <alignment horizontal="right"/>
    </xf>
    <xf numFmtId="264" fontId="111" fillId="0" borderId="0" xfId="0" applyNumberFormat="1" applyFont="1" applyAlignment="1">
      <alignment horizontal="right"/>
    </xf>
    <xf numFmtId="3" fontId="0" fillId="0" borderId="0" xfId="0" applyNumberFormat="1"/>
    <xf numFmtId="3" fontId="111" fillId="0" borderId="0" xfId="272" applyNumberFormat="1" applyFont="1"/>
    <xf numFmtId="0" fontId="115" fillId="27" borderId="49" xfId="272" applyFont="1" applyFill="1" applyBorder="1" applyAlignment="1">
      <alignment horizontal="left" wrapText="1"/>
    </xf>
    <xf numFmtId="0" fontId="115" fillId="27" borderId="49" xfId="272" applyFont="1" applyFill="1" applyBorder="1" applyAlignment="1">
      <alignment horizontal="center" wrapText="1"/>
    </xf>
    <xf numFmtId="0" fontId="115" fillId="27" borderId="40" xfId="272" applyFont="1" applyFill="1" applyBorder="1" applyAlignment="1">
      <alignment horizontal="left" wrapText="1"/>
    </xf>
    <xf numFmtId="0" fontId="115" fillId="27" borderId="48" xfId="272" applyFont="1" applyFill="1" applyBorder="1" applyAlignment="1">
      <alignment horizontal="center"/>
    </xf>
    <xf numFmtId="0" fontId="115" fillId="27" borderId="44" xfId="272" applyFont="1" applyFill="1" applyBorder="1" applyAlignment="1">
      <alignment horizontal="center"/>
    </xf>
    <xf numFmtId="0" fontId="115" fillId="27" borderId="42" xfId="272" applyFont="1" applyFill="1" applyBorder="1" applyAlignment="1">
      <alignment horizontal="center" wrapText="1"/>
    </xf>
    <xf numFmtId="0" fontId="115" fillId="27" borderId="12" xfId="272" applyFont="1" applyFill="1" applyBorder="1" applyAlignment="1">
      <alignment horizontal="center" wrapText="1"/>
    </xf>
    <xf numFmtId="0" fontId="115" fillId="27" borderId="40" xfId="272" applyFont="1" applyFill="1" applyBorder="1"/>
    <xf numFmtId="0" fontId="115" fillId="27" borderId="48" xfId="272" applyFont="1" applyFill="1" applyBorder="1" applyAlignment="1">
      <alignment horizontal="center" vertical="center"/>
    </xf>
    <xf numFmtId="0" fontId="115" fillId="27" borderId="44" xfId="272" applyFont="1" applyFill="1" applyBorder="1" applyAlignment="1">
      <alignment horizontal="center" vertical="center"/>
    </xf>
    <xf numFmtId="258" fontId="127" fillId="0" borderId="29" xfId="273" applyNumberFormat="1" applyFont="1" applyBorder="1"/>
    <xf numFmtId="0" fontId="111" fillId="0" borderId="23" xfId="272" applyFont="1" applyBorder="1"/>
    <xf numFmtId="0" fontId="115" fillId="27" borderId="24" xfId="272" applyFont="1" applyFill="1" applyBorder="1" applyAlignment="1">
      <alignment horizontal="left" wrapText="1"/>
    </xf>
    <xf numFmtId="170" fontId="121" fillId="27" borderId="27" xfId="175" applyNumberFormat="1" applyFont="1" applyFill="1" applyBorder="1" applyAlignment="1">
      <alignment horizontal="center" wrapText="1"/>
    </xf>
    <xf numFmtId="43" fontId="111" fillId="0" borderId="0" xfId="272" applyNumberFormat="1" applyFont="1" applyAlignment="1">
      <alignment horizontal="right" wrapText="1"/>
    </xf>
    <xf numFmtId="170" fontId="115" fillId="0" borderId="0" xfId="162" applyNumberFormat="1" applyFont="1" applyFill="1" applyBorder="1" applyAlignment="1">
      <alignment horizontal="right"/>
    </xf>
    <xf numFmtId="169" fontId="115" fillId="0" borderId="0" xfId="550" applyNumberFormat="1" applyFont="1" applyFill="1" applyBorder="1" applyAlignment="1">
      <alignment horizontal="right"/>
    </xf>
    <xf numFmtId="0" fontId="115" fillId="0" borderId="0" xfId="0" applyFont="1" applyAlignment="1">
      <alignment horizontal="center"/>
    </xf>
    <xf numFmtId="168" fontId="115" fillId="0" borderId="0" xfId="0" applyNumberFormat="1" applyFont="1" applyAlignment="1">
      <alignment horizontal="centerContinuous"/>
    </xf>
    <xf numFmtId="168" fontId="115" fillId="0" borderId="0" xfId="0" applyNumberFormat="1" applyFont="1" applyAlignment="1">
      <alignment horizontal="center" vertical="center"/>
    </xf>
    <xf numFmtId="170" fontId="117" fillId="0" borderId="0" xfId="162" applyNumberFormat="1" applyFont="1" applyFill="1" applyBorder="1"/>
    <xf numFmtId="43" fontId="115" fillId="0" borderId="0" xfId="162" applyFont="1" applyFill="1" applyBorder="1" applyAlignment="1">
      <alignment horizontal="center"/>
    </xf>
    <xf numFmtId="0" fontId="119" fillId="34" borderId="0" xfId="0" applyFont="1" applyFill="1" applyAlignment="1">
      <alignment horizontal="left"/>
    </xf>
    <xf numFmtId="165" fontId="111" fillId="34" borderId="0" xfId="0" applyNumberFormat="1" applyFont="1" applyFill="1"/>
    <xf numFmtId="165" fontId="113" fillId="0" borderId="0" xfId="0" applyNumberFormat="1" applyFont="1"/>
    <xf numFmtId="37" fontId="115" fillId="0" borderId="0" xfId="0" applyNumberFormat="1" applyFont="1"/>
    <xf numFmtId="0" fontId="6" fillId="0" borderId="0" xfId="0" applyFont="1"/>
    <xf numFmtId="0" fontId="117" fillId="0" borderId="0" xfId="0" applyFont="1" applyAlignment="1">
      <alignment horizontal="left"/>
    </xf>
    <xf numFmtId="39" fontId="111" fillId="34" borderId="0" xfId="0" applyNumberFormat="1" applyFont="1" applyFill="1" applyAlignment="1">
      <alignment horizontal="right"/>
    </xf>
    <xf numFmtId="43" fontId="111" fillId="29" borderId="0" xfId="162" applyFont="1" applyFill="1" applyBorder="1" applyAlignment="1">
      <alignment horizontal="center"/>
    </xf>
    <xf numFmtId="43" fontId="111" fillId="34" borderId="0" xfId="162" applyFont="1" applyFill="1" applyBorder="1" applyAlignment="1">
      <alignment horizontal="center"/>
    </xf>
    <xf numFmtId="0" fontId="111" fillId="27" borderId="0" xfId="0" applyFont="1" applyFill="1"/>
    <xf numFmtId="37" fontId="124" fillId="0" borderId="0" xfId="0" applyNumberFormat="1" applyFont="1"/>
    <xf numFmtId="3" fontId="124" fillId="0" borderId="0" xfId="0" applyNumberFormat="1" applyFont="1"/>
    <xf numFmtId="43" fontId="115" fillId="27" borderId="38" xfId="0" applyNumberFormat="1" applyFont="1" applyFill="1" applyBorder="1" applyAlignment="1">
      <alignment horizontal="center"/>
    </xf>
    <xf numFmtId="0" fontId="111" fillId="34" borderId="0" xfId="0" applyFont="1" applyFill="1" applyAlignment="1">
      <alignment horizontal="left"/>
    </xf>
    <xf numFmtId="165" fontId="114" fillId="34" borderId="0" xfId="0" applyNumberFormat="1" applyFont="1" applyFill="1"/>
    <xf numFmtId="261" fontId="114" fillId="0" borderId="0" xfId="0" applyNumberFormat="1" applyFont="1"/>
    <xf numFmtId="257" fontId="115" fillId="0" borderId="0" xfId="0" applyNumberFormat="1" applyFont="1" applyAlignment="1">
      <alignment horizontal="left" indent="3"/>
    </xf>
    <xf numFmtId="257" fontId="115" fillId="28" borderId="0" xfId="0" applyNumberFormat="1" applyFont="1" applyFill="1" applyAlignment="1">
      <alignment horizontal="left" indent="3"/>
    </xf>
    <xf numFmtId="0" fontId="111" fillId="28" borderId="0" xfId="0" applyFont="1" applyFill="1"/>
    <xf numFmtId="0" fontId="119" fillId="0" borderId="3" xfId="0" applyFont="1" applyBorder="1"/>
    <xf numFmtId="0" fontId="119" fillId="27" borderId="3" xfId="0" applyFont="1" applyFill="1" applyBorder="1"/>
    <xf numFmtId="0" fontId="119" fillId="30" borderId="3" xfId="0" applyFont="1" applyFill="1" applyBorder="1"/>
    <xf numFmtId="2" fontId="119" fillId="27" borderId="3" xfId="0" applyNumberFormat="1" applyFont="1" applyFill="1" applyBorder="1" applyAlignment="1">
      <alignment horizontal="center"/>
    </xf>
    <xf numFmtId="2" fontId="119" fillId="0" borderId="0" xfId="0" applyNumberFormat="1" applyFont="1" applyAlignment="1">
      <alignment horizontal="center"/>
    </xf>
    <xf numFmtId="0" fontId="119" fillId="27" borderId="3" xfId="0" applyFont="1" applyFill="1" applyBorder="1" applyAlignment="1">
      <alignment horizontal="center" vertical="center"/>
    </xf>
    <xf numFmtId="0" fontId="119" fillId="0" borderId="0" xfId="0" applyFont="1"/>
    <xf numFmtId="0" fontId="119" fillId="27" borderId="3" xfId="0" applyFont="1" applyFill="1" applyBorder="1" applyAlignment="1">
      <alignment horizontal="center" vertical="center" wrapText="1"/>
    </xf>
    <xf numFmtId="2" fontId="119" fillId="27" borderId="3" xfId="0" applyNumberFormat="1" applyFont="1" applyFill="1" applyBorder="1" applyAlignment="1">
      <alignment horizontal="center" vertical="center"/>
    </xf>
    <xf numFmtId="0" fontId="122" fillId="0" borderId="0" xfId="0" applyFont="1" applyAlignment="1">
      <alignment horizontal="left"/>
    </xf>
    <xf numFmtId="165" fontId="122" fillId="0" borderId="0" xfId="0" applyNumberFormat="1" applyFont="1"/>
    <xf numFmtId="0" fontId="131" fillId="0" borderId="0" xfId="0" applyFont="1"/>
    <xf numFmtId="0" fontId="111" fillId="28" borderId="0" xfId="0" applyFont="1" applyFill="1" applyAlignment="1">
      <alignment horizontal="left"/>
    </xf>
    <xf numFmtId="172" fontId="122" fillId="0" borderId="0" xfId="162" applyNumberFormat="1" applyFont="1" applyFill="1"/>
    <xf numFmtId="235" fontId="122" fillId="0" borderId="0" xfId="162" applyNumberFormat="1" applyFont="1" applyFill="1"/>
    <xf numFmtId="262" fontId="122" fillId="0" borderId="0" xfId="162" applyNumberFormat="1" applyFont="1" applyFill="1"/>
    <xf numFmtId="171" fontId="122" fillId="0" borderId="0" xfId="162" applyNumberFormat="1" applyFont="1" applyFill="1"/>
    <xf numFmtId="0" fontId="111" fillId="34" borderId="0" xfId="0" applyFont="1" applyFill="1"/>
    <xf numFmtId="166" fontId="115" fillId="28" borderId="0" xfId="0" applyNumberFormat="1" applyFont="1" applyFill="1"/>
    <xf numFmtId="43" fontId="121" fillId="34" borderId="0" xfId="162" applyFont="1" applyFill="1" applyBorder="1" applyAlignment="1">
      <alignment horizontal="center"/>
    </xf>
    <xf numFmtId="2" fontId="111" fillId="28" borderId="0" xfId="0" applyNumberFormat="1" applyFont="1" applyFill="1"/>
    <xf numFmtId="37" fontId="115" fillId="0" borderId="0" xfId="0" applyNumberFormat="1" applyFont="1" applyAlignment="1">
      <alignment horizontal="right"/>
    </xf>
    <xf numFmtId="258" fontId="115" fillId="32" borderId="0" xfId="0" applyNumberFormat="1" applyFont="1" applyFill="1" applyAlignment="1">
      <alignment horizontal="right"/>
    </xf>
    <xf numFmtId="169" fontId="125" fillId="0" borderId="0" xfId="550" applyNumberFormat="1" applyFont="1" applyFill="1" applyBorder="1"/>
    <xf numFmtId="261" fontId="115" fillId="0" borderId="0" xfId="0" applyNumberFormat="1" applyFont="1"/>
    <xf numFmtId="165" fontId="130" fillId="0" borderId="0" xfId="0" applyNumberFormat="1" applyFont="1"/>
    <xf numFmtId="169" fontId="117" fillId="0" borderId="0" xfId="550" applyNumberFormat="1" applyFont="1" applyFill="1" applyBorder="1"/>
    <xf numFmtId="169" fontId="118" fillId="0" borderId="0" xfId="550" applyNumberFormat="1" applyFont="1" applyFill="1" applyBorder="1"/>
    <xf numFmtId="9" fontId="111" fillId="0" borderId="0" xfId="550" applyFont="1" applyFill="1" applyBorder="1"/>
    <xf numFmtId="172" fontId="122" fillId="0" borderId="0" xfId="162" applyNumberFormat="1" applyFont="1" applyFill="1" applyBorder="1"/>
    <xf numFmtId="169" fontId="117" fillId="0" borderId="0" xfId="550" applyNumberFormat="1" applyFont="1" applyFill="1" applyBorder="1" applyAlignment="1">
      <alignment horizontal="right"/>
    </xf>
    <xf numFmtId="170" fontId="111" fillId="0" borderId="0" xfId="162" applyNumberFormat="1" applyFont="1" applyFill="1" applyBorder="1" applyAlignment="1">
      <alignment horizontal="right"/>
    </xf>
    <xf numFmtId="39" fontId="111" fillId="0" borderId="0" xfId="0" applyNumberFormat="1" applyFont="1" applyAlignment="1">
      <alignment horizontal="right"/>
    </xf>
    <xf numFmtId="169" fontId="111" fillId="0" borderId="0" xfId="550" applyNumberFormat="1" applyFont="1" applyFill="1" applyBorder="1"/>
    <xf numFmtId="257" fontId="115" fillId="0" borderId="0" xfId="0" applyNumberFormat="1" applyFont="1" applyAlignment="1">
      <alignment horizontal="right"/>
    </xf>
    <xf numFmtId="0" fontId="115" fillId="27" borderId="9" xfId="272" applyFont="1" applyFill="1" applyBorder="1" applyAlignment="1">
      <alignment horizontal="left" wrapText="1"/>
    </xf>
    <xf numFmtId="0" fontId="111" fillId="0" borderId="0" xfId="272" applyFont="1" applyAlignment="1">
      <alignment horizontal="left" vertical="top" wrapText="1"/>
    </xf>
    <xf numFmtId="0" fontId="115" fillId="0" borderId="9" xfId="273" applyFont="1" applyBorder="1"/>
    <xf numFmtId="0" fontId="111" fillId="0" borderId="13" xfId="272" applyFont="1" applyBorder="1" applyAlignment="1">
      <alignment horizontal="right" wrapText="1"/>
    </xf>
    <xf numFmtId="258" fontId="115" fillId="0" borderId="9" xfId="273" applyNumberFormat="1" applyFont="1" applyBorder="1"/>
    <xf numFmtId="170" fontId="124" fillId="0" borderId="0" xfId="162" applyNumberFormat="1" applyFont="1" applyFill="1" applyBorder="1" applyAlignment="1">
      <alignment horizontal="center" wrapText="1"/>
    </xf>
    <xf numFmtId="0" fontId="115" fillId="0" borderId="13" xfId="272" applyFont="1" applyBorder="1" applyAlignment="1">
      <alignment horizontal="left" wrapText="1"/>
    </xf>
    <xf numFmtId="0" fontId="115" fillId="27" borderId="9" xfId="272" applyFont="1" applyFill="1" applyBorder="1" applyAlignment="1">
      <alignment horizontal="center" wrapText="1"/>
    </xf>
    <xf numFmtId="259" fontId="111" fillId="0" borderId="0" xfId="0" applyNumberFormat="1" applyFont="1" applyAlignment="1">
      <alignment horizontal="right"/>
    </xf>
    <xf numFmtId="0" fontId="115" fillId="0" borderId="0" xfId="272" applyFont="1" applyAlignment="1">
      <alignment horizontal="left" vertical="top" wrapText="1"/>
    </xf>
    <xf numFmtId="0" fontId="111" fillId="0" borderId="0" xfId="272" applyFont="1" applyAlignment="1">
      <alignment horizontal="left" vertical="top" wrapText="1" indent="1"/>
    </xf>
    <xf numFmtId="0" fontId="115" fillId="0" borderId="13" xfId="273" applyFont="1" applyBorder="1"/>
    <xf numFmtId="165" fontId="115" fillId="0" borderId="13" xfId="0" applyNumberFormat="1" applyFont="1" applyBorder="1"/>
    <xf numFmtId="170" fontId="115" fillId="0" borderId="13" xfId="162" applyNumberFormat="1" applyFont="1" applyFill="1" applyBorder="1" applyAlignment="1">
      <alignment horizontal="center" wrapText="1"/>
    </xf>
    <xf numFmtId="0" fontId="115" fillId="0" borderId="13" xfId="272" applyFont="1" applyBorder="1"/>
    <xf numFmtId="0" fontId="115" fillId="27" borderId="0" xfId="272" applyFont="1" applyFill="1" applyAlignment="1">
      <alignment horizontal="left" wrapText="1"/>
    </xf>
    <xf numFmtId="0" fontId="111" fillId="27" borderId="0" xfId="272" applyFont="1" applyFill="1"/>
    <xf numFmtId="0" fontId="115" fillId="27" borderId="0" xfId="272" applyFont="1" applyFill="1" applyAlignment="1">
      <alignment horizontal="left"/>
    </xf>
    <xf numFmtId="0" fontId="122" fillId="0" borderId="0" xfId="272" applyFont="1" applyAlignment="1">
      <alignment horizontal="left"/>
    </xf>
    <xf numFmtId="170" fontId="122" fillId="0" borderId="0" xfId="175" applyNumberFormat="1" applyFont="1" applyFill="1" applyBorder="1" applyAlignment="1">
      <alignment horizontal="left" wrapText="1"/>
    </xf>
    <xf numFmtId="0" fontId="115" fillId="27" borderId="0" xfId="272" applyFont="1" applyFill="1" applyAlignment="1">
      <alignment horizontal="center" wrapText="1"/>
    </xf>
    <xf numFmtId="170" fontId="121" fillId="27" borderId="0" xfId="175" applyNumberFormat="1" applyFont="1" applyFill="1" applyBorder="1" applyAlignment="1">
      <alignment horizontal="center" wrapText="1"/>
    </xf>
    <xf numFmtId="170" fontId="121" fillId="0" borderId="0" xfId="162" applyNumberFormat="1" applyFont="1" applyFill="1" applyBorder="1"/>
    <xf numFmtId="165" fontId="121" fillId="0" borderId="0" xfId="272" applyNumberFormat="1" applyFont="1"/>
    <xf numFmtId="258" fontId="127" fillId="0" borderId="0" xfId="273" applyNumberFormat="1" applyFont="1"/>
    <xf numFmtId="0" fontId="115" fillId="28" borderId="49" xfId="272" applyFont="1" applyFill="1" applyBorder="1" applyAlignment="1">
      <alignment horizontal="center" wrapText="1"/>
    </xf>
    <xf numFmtId="0" fontId="115" fillId="28" borderId="9" xfId="272" applyFont="1" applyFill="1" applyBorder="1" applyAlignment="1">
      <alignment horizontal="center" wrapText="1"/>
    </xf>
    <xf numFmtId="0" fontId="115" fillId="0" borderId="0" xfId="272" applyFont="1" applyAlignment="1">
      <alignment horizontal="center"/>
    </xf>
  </cellXfs>
  <cellStyles count="1038">
    <cellStyle name="$" xfId="1" xr:uid="{00000000-0005-0000-0000-000000000000}"/>
    <cellStyle name="$_TSA Model - 1 8 06 - v2" xfId="2" xr:uid="{00000000-0005-0000-0000-000001000000}"/>
    <cellStyle name="%" xfId="3" xr:uid="{00000000-0005-0000-0000-000002000000}"/>
    <cellStyle name="% 2" xfId="907" xr:uid="{E23BD409-E790-4F53-8902-AC265557E2EA}"/>
    <cellStyle name=";;;" xfId="4" xr:uid="{00000000-0005-0000-0000-000003000000}"/>
    <cellStyle name="_%(SignOnly)" xfId="5" xr:uid="{00000000-0005-0000-0000-000004000000}"/>
    <cellStyle name="_%(SignOnly) 2" xfId="908" xr:uid="{3655783E-70FD-453A-96E8-6F21899C4DDF}"/>
    <cellStyle name="_%(SignSpaceOnly)" xfId="6" xr:uid="{00000000-0005-0000-0000-000005000000}"/>
    <cellStyle name="_%(SignSpaceOnly) 2" xfId="909" xr:uid="{3E12D56C-BDF3-4728-80FD-74D1D0E0B9DF}"/>
    <cellStyle name="_0% CADR" xfId="7" xr:uid="{00000000-0005-0000-0000-000006000000}"/>
    <cellStyle name="_0% CADR 2" xfId="910" xr:uid="{C504913B-B106-4A7A-98B0-1359B01CD03D}"/>
    <cellStyle name="_0% IRR" xfId="8" xr:uid="{00000000-0005-0000-0000-000007000000}"/>
    <cellStyle name="_0% IRR 2" xfId="911" xr:uid="{0EA22B29-42C0-4AE0-BC94-936FC57958DF}"/>
    <cellStyle name="_1% CADR" xfId="9" xr:uid="{00000000-0005-0000-0000-000008000000}"/>
    <cellStyle name="_1% CADR 2" xfId="912" xr:uid="{7AA008BF-F252-4A21-BA28-DFC009EB289B}"/>
    <cellStyle name="_10% CADR" xfId="10" xr:uid="{00000000-0005-0000-0000-000009000000}"/>
    <cellStyle name="_10% CADR 2" xfId="913" xr:uid="{C97DA96C-516D-4D4B-85BB-85E64C46D50E}"/>
    <cellStyle name="_10% CDR" xfId="11" xr:uid="{00000000-0005-0000-0000-00000A000000}"/>
    <cellStyle name="_10% CDR 2" xfId="914" xr:uid="{DAFB63B1-0FEC-43F5-A938-984B9CFB621F}"/>
    <cellStyle name="_11% CADR" xfId="12" xr:uid="{00000000-0005-0000-0000-00000B000000}"/>
    <cellStyle name="_11% CADR 2" xfId="915" xr:uid="{4E872BE5-44A7-4B58-8DF1-6CDB1E0DBF27}"/>
    <cellStyle name="_12% CADR" xfId="13" xr:uid="{00000000-0005-0000-0000-00000C000000}"/>
    <cellStyle name="_12% CADR 2" xfId="916" xr:uid="{0CBA99D7-ED85-4F24-87FE-5FEA6ABB936A}"/>
    <cellStyle name="_12% CDR" xfId="14" xr:uid="{00000000-0005-0000-0000-00000D000000}"/>
    <cellStyle name="_12% CDR 2" xfId="917" xr:uid="{280C7119-9812-4AB5-8580-E856407BDED8}"/>
    <cellStyle name="_13% CADR" xfId="15" xr:uid="{00000000-0005-0000-0000-00000E000000}"/>
    <cellStyle name="_13% CADR 2" xfId="918" xr:uid="{CA270B67-1C12-49CD-AE9F-7D587CF793F5}"/>
    <cellStyle name="_14% CADR" xfId="16" xr:uid="{00000000-0005-0000-0000-00000F000000}"/>
    <cellStyle name="_14% CADR 2" xfId="919" xr:uid="{4C9E4B96-A887-4C86-A039-AED1FC6B63EF}"/>
    <cellStyle name="_14% CDR" xfId="17" xr:uid="{00000000-0005-0000-0000-000010000000}"/>
    <cellStyle name="_14% CDR 2" xfId="920" xr:uid="{1E9653F7-B66A-4F65-80D1-9ACFA81C1748}"/>
    <cellStyle name="_16% CDR" xfId="18" xr:uid="{00000000-0005-0000-0000-000011000000}"/>
    <cellStyle name="_16% CDR 2" xfId="921" xr:uid="{3A021B71-3F61-4C7F-BEB4-25E6E76FBA37}"/>
    <cellStyle name="_18% CDR" xfId="19" xr:uid="{00000000-0005-0000-0000-000012000000}"/>
    <cellStyle name="_18% CDR 2" xfId="922" xr:uid="{99D26E3A-F42A-4059-A024-1167AF65F752}"/>
    <cellStyle name="_19.6% CDR BBB Break In Yield" xfId="20" xr:uid="{00000000-0005-0000-0000-000013000000}"/>
    <cellStyle name="_19.6% CDR BBB Break In Yield 2" xfId="923" xr:uid="{09C4CEAC-2560-4FDD-BF44-2B6D226D4EA6}"/>
    <cellStyle name="_2% CADR" xfId="21" xr:uid="{00000000-0005-0000-0000-000014000000}"/>
    <cellStyle name="_2% CADR 2" xfId="924" xr:uid="{66314F02-395C-4C39-8E8D-A7F02B247CA9}"/>
    <cellStyle name="_20% CDR" xfId="22" xr:uid="{00000000-0005-0000-0000-000015000000}"/>
    <cellStyle name="_20% CDR 2" xfId="925" xr:uid="{ECB478C2-E2E2-4F2C-AB54-2EE32E91E08F}"/>
    <cellStyle name="_21.5% CDR BBB Break In Yield" xfId="23" xr:uid="{00000000-0005-0000-0000-000016000000}"/>
    <cellStyle name="_21.5% CDR BBB Break In Yield 2" xfId="926" xr:uid="{0C4AC304-FC69-4248-A072-AA32DA1379DF}"/>
    <cellStyle name="_3% CADR" xfId="24" xr:uid="{00000000-0005-0000-0000-000017000000}"/>
    <cellStyle name="_3% CADR 2" xfId="927" xr:uid="{3AB3DAF7-E311-42E7-945F-4AA75780AC7E}"/>
    <cellStyle name="_3% CDR" xfId="25" xr:uid="{00000000-0005-0000-0000-000018000000}"/>
    <cellStyle name="_3% CDR 2" xfId="928" xr:uid="{27C7F4FC-61D1-4D93-9BDB-CADD79B38B51}"/>
    <cellStyle name="_4% CADR" xfId="26" xr:uid="{00000000-0005-0000-0000-000019000000}"/>
    <cellStyle name="_4% CADR 2" xfId="929" xr:uid="{D78DE845-E142-4A72-8BAA-0FD83243374C}"/>
    <cellStyle name="_5% CADR" xfId="27" xr:uid="{00000000-0005-0000-0000-00001A000000}"/>
    <cellStyle name="_5% CADR 2" xfId="930" xr:uid="{A4FB4E25-C092-4248-A96A-F015B51C817A}"/>
    <cellStyle name="_5% CDR" xfId="28" xr:uid="{00000000-0005-0000-0000-00001B000000}"/>
    <cellStyle name="_5% CDR 2" xfId="931" xr:uid="{44FBBABB-7A66-4A19-B3FA-8B255C5F6E03}"/>
    <cellStyle name="_6% CADR" xfId="29" xr:uid="{00000000-0005-0000-0000-00001C000000}"/>
    <cellStyle name="_6% CADR 2" xfId="932" xr:uid="{13A22E85-EF0B-4E44-A633-B2D4CB85613B}"/>
    <cellStyle name="_7% CADR" xfId="30" xr:uid="{00000000-0005-0000-0000-00001D000000}"/>
    <cellStyle name="_7% CADR 2" xfId="933" xr:uid="{B17F8785-4870-466B-AA19-C2CFDF5F0666}"/>
    <cellStyle name="_7% CDR" xfId="31" xr:uid="{00000000-0005-0000-0000-00001E000000}"/>
    <cellStyle name="_7% CDR 2" xfId="934" xr:uid="{3D04FCAA-1431-493B-8ECF-F18DDC27E295}"/>
    <cellStyle name="_8% CADR" xfId="32" xr:uid="{00000000-0005-0000-0000-00001F000000}"/>
    <cellStyle name="_8% CADR 2" xfId="935" xr:uid="{30696A52-3ACA-479B-B61D-ED68D2672FC9}"/>
    <cellStyle name="_8.0% CDR BB Break In Yield" xfId="33" xr:uid="{00000000-0005-0000-0000-000020000000}"/>
    <cellStyle name="_8.0% CDR BB Break In Yield 2" xfId="936" xr:uid="{BCA6B65B-39B5-404F-A183-185BF2FF7DE3}"/>
    <cellStyle name="_8.1% CDR BB Break In Yield" xfId="34" xr:uid="{00000000-0005-0000-0000-000021000000}"/>
    <cellStyle name="_8.1% CDR BB Break In Yield 2" xfId="937" xr:uid="{0C26211D-F1C6-45D8-8763-BAFF5811458C}"/>
    <cellStyle name="_9% CADR" xfId="35" xr:uid="{00000000-0005-0000-0000-000022000000}"/>
    <cellStyle name="_9% CADR 2" xfId="938" xr:uid="{3EDEEA87-25AF-4C57-A2AA-E588073DAC12}"/>
    <cellStyle name="_Assets" xfId="36" xr:uid="{00000000-0005-0000-0000-000023000000}"/>
    <cellStyle name="_Assets 2" xfId="939" xr:uid="{FE68ACA4-B0F2-4DD7-8C43-6842FFCD0E7B}"/>
    <cellStyle name="_Assets_1" xfId="37" xr:uid="{00000000-0005-0000-0000-000024000000}"/>
    <cellStyle name="_Assets_1_COMPS - B2B Publishers" xfId="38" xr:uid="{00000000-0005-0000-0000-000025000000}"/>
    <cellStyle name="_Assets_1_COMPS - Directories" xfId="39" xr:uid="{00000000-0005-0000-0000-000026000000}"/>
    <cellStyle name="_Assets_1_F&amp;W Servicing Model" xfId="40" xr:uid="{00000000-0005-0000-0000-000027000000}"/>
    <cellStyle name="_Assets_1_F&amp;W Servicing Model v2" xfId="41" xr:uid="{00000000-0005-0000-0000-000028000000}"/>
    <cellStyle name="_Assets_1_S&amp;P Analysis" xfId="42" xr:uid="{00000000-0005-0000-0000-000029000000}"/>
    <cellStyle name="_Assets_1_S&amp;P Analysis 2" xfId="940" xr:uid="{B6AB7085-3269-4D54-A7F3-C571A9990658}"/>
    <cellStyle name="_Assets_1_Univision Annual Model" xfId="43" xr:uid="{00000000-0005-0000-0000-00002A000000}"/>
    <cellStyle name="_Assets_1_Yell Servicing Model" xfId="44" xr:uid="{00000000-0005-0000-0000-00002B000000}"/>
    <cellStyle name="_Assets_S&amp;P Analysis" xfId="45" xr:uid="{00000000-0005-0000-0000-00002C000000}"/>
    <cellStyle name="_Assets_S&amp;P Analysis_COMPS - B2B Publishers" xfId="46" xr:uid="{00000000-0005-0000-0000-00002D000000}"/>
    <cellStyle name="_Assets_S&amp;P Analysis_COMPS - Directories" xfId="47" xr:uid="{00000000-0005-0000-0000-00002E000000}"/>
    <cellStyle name="_Assets_S&amp;P Analysis_F&amp;W Servicing Model" xfId="48" xr:uid="{00000000-0005-0000-0000-00002F000000}"/>
    <cellStyle name="_Assets_S&amp;P Analysis_F&amp;W Servicing Model v2" xfId="49" xr:uid="{00000000-0005-0000-0000-000030000000}"/>
    <cellStyle name="_Assets_S&amp;P Analysis_Univision Annual Model" xfId="50" xr:uid="{00000000-0005-0000-0000-000031000000}"/>
    <cellStyle name="_Assets_S&amp;P Analysis_Yell Servicing Model" xfId="51" xr:uid="{00000000-0005-0000-0000-000032000000}"/>
    <cellStyle name="_Assumptions" xfId="52" xr:uid="{00000000-0005-0000-0000-000033000000}"/>
    <cellStyle name="_Assumptions 2" xfId="941" xr:uid="{6CBC2076-8B44-4B27-B65F-81F9E958F038}"/>
    <cellStyle name="_Assumptions_1" xfId="53" xr:uid="{00000000-0005-0000-0000-000034000000}"/>
    <cellStyle name="_Assumptions_1 2" xfId="942" xr:uid="{912AEC3B-B50C-4261-BA44-F0BF029028B6}"/>
    <cellStyle name="_Assumptions_1_COMPS - B2B Publishers" xfId="54" xr:uid="{00000000-0005-0000-0000-000035000000}"/>
    <cellStyle name="_Assumptions_1_COMPS - B2B Publishers 2" xfId="943" xr:uid="{78005AE0-9136-48BB-860F-62952DE2B42F}"/>
    <cellStyle name="_Assumptions_1_COMPS - Directories" xfId="55" xr:uid="{00000000-0005-0000-0000-000036000000}"/>
    <cellStyle name="_Assumptions_1_COMPS - Directories 2" xfId="944" xr:uid="{6F7F2FEA-0C1D-412F-A0C1-1F3759DA139F}"/>
    <cellStyle name="_Assumptions_1_F&amp;W Servicing Model" xfId="56" xr:uid="{00000000-0005-0000-0000-000037000000}"/>
    <cellStyle name="_Assumptions_1_F&amp;W Servicing Model 2" xfId="945" xr:uid="{142040C5-0163-4152-A0AC-7759E86A14E2}"/>
    <cellStyle name="_Assumptions_1_F&amp;W Servicing Model v2" xfId="57" xr:uid="{00000000-0005-0000-0000-000038000000}"/>
    <cellStyle name="_Assumptions_1_F&amp;W Servicing Model v2 2" xfId="946" xr:uid="{A0B3BEFB-7D1D-4C84-8CB2-D329CE7504EF}"/>
    <cellStyle name="_Assumptions_1_Univision Annual Model" xfId="58" xr:uid="{00000000-0005-0000-0000-000039000000}"/>
    <cellStyle name="_Assumptions_1_Univision Annual Model 2" xfId="947" xr:uid="{75A001F9-12B8-4DB4-8D1E-BF0E28CF676C}"/>
    <cellStyle name="_Assumptions_1_Yell Servicing Model" xfId="59" xr:uid="{00000000-0005-0000-0000-00003A000000}"/>
    <cellStyle name="_Assumptions_1_Yell Servicing Model 2" xfId="948" xr:uid="{128AC842-6205-426B-81DB-4D676AC9FBB5}"/>
    <cellStyle name="_Blue Mountain TRS (7-5-05)" xfId="60" xr:uid="{00000000-0005-0000-0000-00003B000000}"/>
    <cellStyle name="_Blue Mountain TRS (7-5-05) 2" xfId="949" xr:uid="{254DEE71-AE85-47F8-8F94-C0F358347375}"/>
    <cellStyle name="_Book2" xfId="61" xr:uid="{00000000-0005-0000-0000-00003C000000}"/>
    <cellStyle name="_Book2 2" xfId="950" xr:uid="{2DF6A505-ADA0-43EF-A958-3511875E2D85}"/>
    <cellStyle name="_CDO of CDO" xfId="62" xr:uid="{00000000-0005-0000-0000-00003D000000}"/>
    <cellStyle name="_CDO of CDO 2" xfId="951" xr:uid="{2AB98298-4334-40F3-A9C5-E6B6D41745B5}"/>
    <cellStyle name="_CLO Portfolio 10_07_2005" xfId="63" xr:uid="{00000000-0005-0000-0000-00003E000000}"/>
    <cellStyle name="_CLO Portfolio 10_07_2005 2" xfId="952" xr:uid="{ACBF5FD3-461C-4523-94CC-06D82A90C01F}"/>
    <cellStyle name="_Comma" xfId="64" xr:uid="{00000000-0005-0000-0000-00003F000000}"/>
    <cellStyle name="_Comma 2" xfId="953" xr:uid="{8AEAB215-DB3E-41C5-B15D-A4A194F5E4A3}"/>
    <cellStyle name="_Comma_dcf" xfId="65" xr:uid="{00000000-0005-0000-0000-000040000000}"/>
    <cellStyle name="_Comma_dcf 2" xfId="954" xr:uid="{0BF757F8-E658-4C05-93C9-28A9CE7E83C8}"/>
    <cellStyle name="_Currency" xfId="66" xr:uid="{00000000-0005-0000-0000-000041000000}"/>
    <cellStyle name="_Currency 2" xfId="955" xr:uid="{019E4BB2-68B7-42F3-B52B-C9C21DF77D02}"/>
    <cellStyle name="_Currency_dcf" xfId="67" xr:uid="{00000000-0005-0000-0000-000042000000}"/>
    <cellStyle name="_Currency_dcf 2" xfId="956" xr:uid="{F80E652E-108F-4DBF-83EF-68DCBFDD5C42}"/>
    <cellStyle name="_CurrencySpace" xfId="68" xr:uid="{00000000-0005-0000-0000-000043000000}"/>
    <cellStyle name="_CurrencySpace 2" xfId="957" xr:uid="{9C0424C1-5046-4023-A3E2-799E3F0BAD9D}"/>
    <cellStyle name="_CurrencySpace_dcf" xfId="69" xr:uid="{00000000-0005-0000-0000-000044000000}"/>
    <cellStyle name="_CurrencySpace_dcf 2" xfId="958" xr:uid="{80F802E1-8CFF-49F8-AE53-FC4B7081B102}"/>
    <cellStyle name="_Euro" xfId="70" xr:uid="{00000000-0005-0000-0000-000045000000}"/>
    <cellStyle name="_Euro 2" xfId="959" xr:uid="{EFFBBBF6-0576-4545-A0E3-F0FC55913C5F}"/>
    <cellStyle name="_EV8 Assumption List" xfId="71" xr:uid="{00000000-0005-0000-0000-000046000000}"/>
    <cellStyle name="_EV8 Assumption List 2" xfId="960" xr:uid="{37C98C3C-F9D1-4513-B317-A06A42CE9917}"/>
    <cellStyle name="_Exhibit I Babson Warehouse 2006-II CLO 8 18 06" xfId="72" xr:uid="{00000000-0005-0000-0000-000047000000}"/>
    <cellStyle name="_Exhibit I Babson Warehouse 2006-II CLO 8 18 06 2" xfId="961" xr:uid="{77F91D67-4186-4483-93B6-899C5949278A}"/>
    <cellStyle name="_First PIK" xfId="73" xr:uid="{00000000-0005-0000-0000-000048000000}"/>
    <cellStyle name="_First PIK 2" xfId="962" xr:uid="{AC56DDBB-1BA0-4398-A512-E111F63DE434}"/>
    <cellStyle name="_Galaxy VI CLO - WestLB Request" xfId="74" xr:uid="{00000000-0005-0000-0000-000049000000}"/>
    <cellStyle name="_Galaxy VI CLO - WestLB Request 2" xfId="963" xr:uid="{D3FAD20A-313F-43DC-B005-1353110B2F9C}"/>
    <cellStyle name="_Heading" xfId="75" xr:uid="{00000000-0005-0000-0000-00004A000000}"/>
    <cellStyle name="_Heading_prestemp" xfId="76" xr:uid="{00000000-0005-0000-0000-00004B000000}"/>
    <cellStyle name="_Highlight" xfId="77" xr:uid="{00000000-0005-0000-0000-00004C000000}"/>
    <cellStyle name="_Highlight 2" xfId="964" xr:uid="{5A6F31F4-6897-40F9-9260-B734C291830B}"/>
    <cellStyle name="_Model FINAL (2)" xfId="78" xr:uid="{00000000-0005-0000-0000-00004D000000}"/>
    <cellStyle name="_Model FINAL (2) 2" xfId="965" xr:uid="{E0358741-AF3B-40AE-B571-85297FF102BF}"/>
    <cellStyle name="_Multiple" xfId="79" xr:uid="{00000000-0005-0000-0000-00004E000000}"/>
    <cellStyle name="_Multiple 2" xfId="966" xr:uid="{1609D1F2-5AE3-4C2D-9EFE-24944235BDF4}"/>
    <cellStyle name="_Multiple_dcf" xfId="80" xr:uid="{00000000-0005-0000-0000-00004F000000}"/>
    <cellStyle name="_Multiple_dcf 2" xfId="967" xr:uid="{7105CDCC-841E-4AA7-827C-C4A71404E73E}"/>
    <cellStyle name="_MultipleSpace" xfId="81" xr:uid="{00000000-0005-0000-0000-000050000000}"/>
    <cellStyle name="_MultipleSpace 2" xfId="968" xr:uid="{94EACECE-5C3C-4D8E-8108-0080F11158DA}"/>
    <cellStyle name="_MultipleSpace_dcf" xfId="82" xr:uid="{00000000-0005-0000-0000-000051000000}"/>
    <cellStyle name="_MultipleSpace_dcf 2" xfId="969" xr:uid="{51D79C41-304A-48D9-8E75-188C9403DCF4}"/>
    <cellStyle name="_Other Defafult Scenario 1" xfId="83" xr:uid="{00000000-0005-0000-0000-000052000000}"/>
    <cellStyle name="_Other Defafult Scenario 1 2" xfId="970" xr:uid="{5CFF3592-40EA-4FA6-A6C9-2E5644C721DB}"/>
    <cellStyle name="_Other Default Scenario 2" xfId="84" xr:uid="{00000000-0005-0000-0000-000053000000}"/>
    <cellStyle name="_Other Default Scenario 2 2" xfId="971" xr:uid="{4471FFAF-6050-4D6C-A5AF-70630E6F517E}"/>
    <cellStyle name="_Percent" xfId="85" xr:uid="{00000000-0005-0000-0000-000054000000}"/>
    <cellStyle name="_Percent 2" xfId="972" xr:uid="{451C6F7E-717C-4834-B906-442A235B3E0D}"/>
    <cellStyle name="_PercentSpace" xfId="86" xr:uid="{00000000-0005-0000-0000-000055000000}"/>
    <cellStyle name="_PercentSpace 2" xfId="973" xr:uid="{7A95367A-1D61-40A1-BBD2-D4065374FB60}"/>
    <cellStyle name="_Port" xfId="87" xr:uid="{00000000-0005-0000-0000-000056000000}"/>
    <cellStyle name="_Port 2" xfId="974" xr:uid="{443EA11B-5903-4049-AB9C-1D15761959A4}"/>
    <cellStyle name="_Port For S&amp;P" xfId="88" xr:uid="{00000000-0005-0000-0000-000057000000}"/>
    <cellStyle name="_Port For S&amp;P 2" xfId="975" xr:uid="{C7B1A519-C758-4FD0-98F3-FC9C655DC577}"/>
    <cellStyle name="_Port_COMPS - B2B Publishers" xfId="89" xr:uid="{00000000-0005-0000-0000-000058000000}"/>
    <cellStyle name="_Port_COMPS - B2B Publishers 2" xfId="976" xr:uid="{B5BBB138-F142-454E-AC78-182DC034D4FA}"/>
    <cellStyle name="_Port_COMPS - Directories" xfId="90" xr:uid="{00000000-0005-0000-0000-000059000000}"/>
    <cellStyle name="_Port_COMPS - Directories 2" xfId="977" xr:uid="{BFECF79D-7292-442E-8C6A-D3E70DABDAB7}"/>
    <cellStyle name="_Port_F&amp;W Servicing Model" xfId="91" xr:uid="{00000000-0005-0000-0000-00005A000000}"/>
    <cellStyle name="_Port_F&amp;W Servicing Model 2" xfId="978" xr:uid="{5E1FFCC7-2107-4D4D-A63F-4E0C3EBD0B0A}"/>
    <cellStyle name="_Port_F&amp;W Servicing Model v2" xfId="92" xr:uid="{00000000-0005-0000-0000-00005B000000}"/>
    <cellStyle name="_Port_F&amp;W Servicing Model v2 2" xfId="979" xr:uid="{F290D4E3-1690-41D7-9F92-06B2AAD8DD00}"/>
    <cellStyle name="_Port_Univision Annual Model" xfId="93" xr:uid="{00000000-0005-0000-0000-00005C000000}"/>
    <cellStyle name="_Port_Univision Annual Model 2" xfId="980" xr:uid="{9E90AE7C-1DDC-429A-9D26-6B84B1DB3F5D}"/>
    <cellStyle name="_Port_Yell Servicing Model" xfId="94" xr:uid="{00000000-0005-0000-0000-00005D000000}"/>
    <cellStyle name="_Port_Yell Servicing Model 2" xfId="981" xr:uid="{49E72C77-958E-431F-A3D4-C61F466A125F}"/>
    <cellStyle name="_Pro Forma TTM 9.30.07 (CW NEIRB Acquisition)" xfId="95" xr:uid="{00000000-0005-0000-0000-00005E000000}"/>
    <cellStyle name="_Pro Forma TTM 9.30.07 (CW NEIRB Acquisition) 2" xfId="982" xr:uid="{85D7A1F7-874F-4141-A7AA-6947E08C0895}"/>
    <cellStyle name="_S&amp;P Analysis" xfId="96" xr:uid="{00000000-0005-0000-0000-00005F000000}"/>
    <cellStyle name="_S&amp;P Analysis_COMPS - B2B Publishers" xfId="97" xr:uid="{00000000-0005-0000-0000-000060000000}"/>
    <cellStyle name="_S&amp;P Analysis_COMPS - Directories" xfId="98" xr:uid="{00000000-0005-0000-0000-000061000000}"/>
    <cellStyle name="_S&amp;P Analysis_F&amp;W Servicing Model" xfId="99" xr:uid="{00000000-0005-0000-0000-000062000000}"/>
    <cellStyle name="_S&amp;P Analysis_F&amp;W Servicing Model v2" xfId="100" xr:uid="{00000000-0005-0000-0000-000063000000}"/>
    <cellStyle name="_S&amp;P Analysis_Univision Annual Model" xfId="101" xr:uid="{00000000-0005-0000-0000-000064000000}"/>
    <cellStyle name="_S&amp;P Analysis_Yell Servicing Model" xfId="102" xr:uid="{00000000-0005-0000-0000-000065000000}"/>
    <cellStyle name="_S&amp;P Hypothetical Port Summary" xfId="103" xr:uid="{00000000-0005-0000-0000-000066000000}"/>
    <cellStyle name="_S&amp;P Hypothetical Port Summary 2" xfId="983" xr:uid="{80E0292A-A210-4F92-95CA-2F7CA2D7521D}"/>
    <cellStyle name="_S&amp;P Port 80Div_2099WARF" xfId="104" xr:uid="{00000000-0005-0000-0000-000067000000}"/>
    <cellStyle name="_S&amp;P Port 80Div_2099WARF 2" xfId="984" xr:uid="{54BDD8B0-39DF-4CE1-95DC-161B9E622674}"/>
    <cellStyle name="_S&amp;P Stress Scenarios" xfId="105" xr:uid="{00000000-0005-0000-0000-000068000000}"/>
    <cellStyle name="_S&amp;P Stress Scenarios 2" xfId="985" xr:uid="{80C384CA-5863-4CEB-8A09-394F3FB27C83}"/>
    <cellStyle name="_Sources and Uses" xfId="106" xr:uid="{00000000-0005-0000-0000-000069000000}"/>
    <cellStyle name="_Sources and Uses 2" xfId="986" xr:uid="{168129D6-FEB0-47A9-8A8A-66B9FA10CC11}"/>
    <cellStyle name="_SubHeading" xfId="107" xr:uid="{00000000-0005-0000-0000-00006A000000}"/>
    <cellStyle name="_SubHeading_prestemp" xfId="108" xr:uid="{00000000-0005-0000-0000-00006B000000}"/>
    <cellStyle name="_Table" xfId="109" xr:uid="{00000000-0005-0000-0000-00006C000000}"/>
    <cellStyle name="_TableHead" xfId="110" xr:uid="{00000000-0005-0000-0000-00006D000000}"/>
    <cellStyle name="_TableRowHead" xfId="111" xr:uid="{00000000-0005-0000-0000-00006E000000}"/>
    <cellStyle name="_TableSuperHead" xfId="112" xr:uid="{00000000-0005-0000-0000-00006F000000}"/>
    <cellStyle name="£Currency [0]" xfId="113" xr:uid="{00000000-0005-0000-0000-000070000000}"/>
    <cellStyle name="£Currency [1]" xfId="114" xr:uid="{00000000-0005-0000-0000-000071000000}"/>
    <cellStyle name="£Currency [2]" xfId="115" xr:uid="{00000000-0005-0000-0000-000072000000}"/>
    <cellStyle name="£Currency [p]" xfId="116" xr:uid="{00000000-0005-0000-0000-000073000000}"/>
    <cellStyle name="£Currency [p2]" xfId="117" xr:uid="{00000000-0005-0000-0000-000074000000}"/>
    <cellStyle name="£Pounds" xfId="118" xr:uid="{00000000-0005-0000-0000-000075000000}"/>
    <cellStyle name="Accounting $" xfId="119" xr:uid="{00000000-0005-0000-0000-000076000000}"/>
    <cellStyle name="Accounting $ 2" xfId="987" xr:uid="{3F775D2E-CFBE-42FB-97A1-D8E4BC7CFF48}"/>
    <cellStyle name="Across" xfId="120" xr:uid="{00000000-0005-0000-0000-000077000000}"/>
    <cellStyle name="Adjustable" xfId="121" xr:uid="{00000000-0005-0000-0000-000078000000}"/>
    <cellStyle name="AFE" xfId="122" xr:uid="{00000000-0005-0000-0000-000079000000}"/>
    <cellStyle name="Andre's Title" xfId="123" xr:uid="{00000000-0005-0000-0000-00007A000000}"/>
    <cellStyle name="args.style" xfId="124" xr:uid="{00000000-0005-0000-0000-00007B000000}"/>
    <cellStyle name="Arial 10" xfId="125" xr:uid="{00000000-0005-0000-0000-00007C000000}"/>
    <cellStyle name="Arial 10 2" xfId="988" xr:uid="{2BC7CF10-22B1-4688-BDFB-FB336CF2C20C}"/>
    <cellStyle name="Arial 12" xfId="126" xr:uid="{00000000-0005-0000-0000-00007D000000}"/>
    <cellStyle name="Best" xfId="127" xr:uid="{00000000-0005-0000-0000-00007E000000}"/>
    <cellStyle name="Blank [$]" xfId="128" xr:uid="{00000000-0005-0000-0000-00007F000000}"/>
    <cellStyle name="Blank [,]" xfId="129" xr:uid="{00000000-0005-0000-0000-000080000000}"/>
    <cellStyle name="BlankedZeros" xfId="130" xr:uid="{00000000-0005-0000-0000-000081000000}"/>
    <cellStyle name="blp_column_header" xfId="131" xr:uid="{00000000-0005-0000-0000-000082000000}"/>
    <cellStyle name="Blue" xfId="132" xr:uid="{00000000-0005-0000-0000-000083000000}"/>
    <cellStyle name="bluepercent" xfId="133" xr:uid="{00000000-0005-0000-0000-000084000000}"/>
    <cellStyle name="Body" xfId="134" xr:uid="{00000000-0005-0000-0000-000085000000}"/>
    <cellStyle name="Bold" xfId="135" xr:uid="{00000000-0005-0000-0000-000086000000}"/>
    <cellStyle name="BoldItalic" xfId="136" xr:uid="{00000000-0005-0000-0000-000087000000}"/>
    <cellStyle name="Bottom" xfId="137" xr:uid="{00000000-0005-0000-0000-000088000000}"/>
    <cellStyle name="Bottom Edge" xfId="138" xr:uid="{00000000-0005-0000-0000-000089000000}"/>
    <cellStyle name="British Pound" xfId="139" xr:uid="{00000000-0005-0000-0000-00008A000000}"/>
    <cellStyle name="Business Description" xfId="140" xr:uid="{00000000-0005-0000-0000-00008B000000}"/>
    <cellStyle name="c" xfId="141" xr:uid="{00000000-0005-0000-0000-00008C000000}"/>
    <cellStyle name="Calc Currency (0)" xfId="142" xr:uid="{00000000-0005-0000-0000-00008D000000}"/>
    <cellStyle name="Calc Currency (2)" xfId="143" xr:uid="{00000000-0005-0000-0000-00008E000000}"/>
    <cellStyle name="Calc Percent (0)" xfId="144" xr:uid="{00000000-0005-0000-0000-00008F000000}"/>
    <cellStyle name="Calc Percent (1)" xfId="145" xr:uid="{00000000-0005-0000-0000-000090000000}"/>
    <cellStyle name="Calc Percent (2)" xfId="146" xr:uid="{00000000-0005-0000-0000-000091000000}"/>
    <cellStyle name="Calc Percent (2) 2" xfId="989" xr:uid="{8C7868C8-A46B-47E2-A3C7-30DD83AA1CA4}"/>
    <cellStyle name="Calc Units (0)" xfId="147" xr:uid="{00000000-0005-0000-0000-000092000000}"/>
    <cellStyle name="Calc Units (1)" xfId="148" xr:uid="{00000000-0005-0000-0000-000093000000}"/>
    <cellStyle name="Calc Units (2)" xfId="149" xr:uid="{00000000-0005-0000-0000-000094000000}"/>
    <cellStyle name="Case" xfId="150" xr:uid="{00000000-0005-0000-0000-000095000000}"/>
    <cellStyle name="cc" xfId="151" xr:uid="{00000000-0005-0000-0000-000096000000}"/>
    <cellStyle name="Center" xfId="152" xr:uid="{00000000-0005-0000-0000-000097000000}"/>
    <cellStyle name="CenterBold" xfId="153" xr:uid="{00000000-0005-0000-0000-000098000000}"/>
    <cellStyle name="CenterItalic" xfId="154" xr:uid="{00000000-0005-0000-0000-000099000000}"/>
    <cellStyle name="Cents" xfId="155" xr:uid="{00000000-0005-0000-0000-00009A000000}"/>
    <cellStyle name="Cents 2" xfId="990" xr:uid="{2F8D0009-F037-4B8B-8D29-3DEFD31CC6CC}"/>
    <cellStyle name="ChartingText" xfId="156" xr:uid="{00000000-0005-0000-0000-00009B000000}"/>
    <cellStyle name="Co. Names" xfId="157" xr:uid="{00000000-0005-0000-0000-00009C000000}"/>
    <cellStyle name="Co. Names - Bold" xfId="158" xr:uid="{00000000-0005-0000-0000-00009D000000}"/>
    <cellStyle name="Co. Names_Break-Up" xfId="159" xr:uid="{00000000-0005-0000-0000-00009E000000}"/>
    <cellStyle name="COL HEADINGS" xfId="160" xr:uid="{00000000-0005-0000-0000-00009F000000}"/>
    <cellStyle name="ColumnHeaderNormal" xfId="161" xr:uid="{00000000-0005-0000-0000-0000A0000000}"/>
    <cellStyle name="Comma" xfId="162" builtinId="3"/>
    <cellStyle name="Comma  - Style1" xfId="163" xr:uid="{00000000-0005-0000-0000-0000A2000000}"/>
    <cellStyle name="Comma  - Style1 2" xfId="991" xr:uid="{C23E8EDD-A1C8-4706-8020-FB6ACDCCBD70}"/>
    <cellStyle name="Comma  - Style2" xfId="164" xr:uid="{00000000-0005-0000-0000-0000A3000000}"/>
    <cellStyle name="Comma  - Style2 2" xfId="992" xr:uid="{E6D68EDE-0CDA-4257-BBC6-2E3DE476CD7D}"/>
    <cellStyle name="Comma  - Style3" xfId="165" xr:uid="{00000000-0005-0000-0000-0000A4000000}"/>
    <cellStyle name="Comma  - Style3 2" xfId="993" xr:uid="{BDAB2FBA-A070-4140-8AC0-91101F3426E3}"/>
    <cellStyle name="Comma  - Style4" xfId="166" xr:uid="{00000000-0005-0000-0000-0000A5000000}"/>
    <cellStyle name="Comma  - Style4 2" xfId="994" xr:uid="{FB3A5423-BD49-4DDF-961F-06C6359D2F3F}"/>
    <cellStyle name="Comma  - Style5" xfId="167" xr:uid="{00000000-0005-0000-0000-0000A6000000}"/>
    <cellStyle name="Comma  - Style5 2" xfId="995" xr:uid="{DF04A347-F81B-422E-A427-A03EA5666EEB}"/>
    <cellStyle name="Comma  - Style6" xfId="168" xr:uid="{00000000-0005-0000-0000-0000A7000000}"/>
    <cellStyle name="Comma  - Style6 2" xfId="996" xr:uid="{3149BD54-70FC-4EF3-A4FD-F27B37B84D51}"/>
    <cellStyle name="Comma  - Style7" xfId="169" xr:uid="{00000000-0005-0000-0000-0000A8000000}"/>
    <cellStyle name="Comma  - Style7 2" xfId="997" xr:uid="{FE4E6FC2-6846-4CC9-BC61-11E6EC010001}"/>
    <cellStyle name="Comma  - Style8" xfId="170" xr:uid="{00000000-0005-0000-0000-0000A9000000}"/>
    <cellStyle name="Comma  - Style8 2" xfId="998" xr:uid="{6B7860AF-4E82-4CF8-B694-C1260AA4C4A2}"/>
    <cellStyle name="Comma [0]; --" xfId="171" xr:uid="{00000000-0005-0000-0000-0000AA000000}"/>
    <cellStyle name="Comma [00]" xfId="172" xr:uid="{00000000-0005-0000-0000-0000AB000000}"/>
    <cellStyle name="Comma [1]" xfId="173" xr:uid="{00000000-0005-0000-0000-0000AC000000}"/>
    <cellStyle name="Comma 10 2 2" xfId="174" xr:uid="{00000000-0005-0000-0000-0000AD000000}"/>
    <cellStyle name="Comma 10 2 2 2" xfId="999" xr:uid="{998F25B3-D320-45AB-9D6D-F87AE7EB59B9}"/>
    <cellStyle name="Comma 2" xfId="175" xr:uid="{00000000-0005-0000-0000-0000AE000000}"/>
    <cellStyle name="Comma 2 2" xfId="1000" xr:uid="{60D799F3-0221-40DF-95AA-D101EC547013}"/>
    <cellStyle name="Comma Cents" xfId="176" xr:uid="{00000000-0005-0000-0000-0000AF000000}"/>
    <cellStyle name="Comma Cents 2" xfId="1001" xr:uid="{9CC39E6E-DC26-4FDC-8E21-010F460DAD8B}"/>
    <cellStyle name="Comma0" xfId="177" xr:uid="{00000000-0005-0000-0000-0000B0000000}"/>
    <cellStyle name="Comma0 2" xfId="1002" xr:uid="{4B1D8D42-AA44-4ACD-B758-302DF09576DA}"/>
    <cellStyle name="Commas" xfId="178" xr:uid="{00000000-0005-0000-0000-0000B1000000}"/>
    <cellStyle name="CommasBold" xfId="179" xr:uid="{00000000-0005-0000-0000-0000B2000000}"/>
    <cellStyle name="CompanyTitle" xfId="180" xr:uid="{00000000-0005-0000-0000-0000B3000000}"/>
    <cellStyle name="Copied" xfId="181" xr:uid="{00000000-0005-0000-0000-0000B4000000}"/>
    <cellStyle name="Currency $" xfId="182" xr:uid="{00000000-0005-0000-0000-0000B5000000}"/>
    <cellStyle name="Currency $ 2" xfId="1003" xr:uid="{8E003888-880C-4120-A442-50BE24A281FD}"/>
    <cellStyle name="Currency [0]; --" xfId="183" xr:uid="{00000000-0005-0000-0000-0000B6000000}"/>
    <cellStyle name="Currency [00]" xfId="184" xr:uid="{00000000-0005-0000-0000-0000B7000000}"/>
    <cellStyle name="Currency [1]" xfId="185" xr:uid="{00000000-0005-0000-0000-0000B8000000}"/>
    <cellStyle name="Currency [2]" xfId="186" xr:uid="{00000000-0005-0000-0000-0000B9000000}"/>
    <cellStyle name="data" xfId="187" xr:uid="{00000000-0005-0000-0000-0000BA000000}"/>
    <cellStyle name="data 2" xfId="1004" xr:uid="{EBD1C654-33D0-4495-AD9E-C2D549A3695D}"/>
    <cellStyle name="Date" xfId="188" xr:uid="{00000000-0005-0000-0000-0000BB000000}"/>
    <cellStyle name="Date 2" xfId="1005" xr:uid="{E108B453-2F5C-4F52-B9E5-231D9051028B}"/>
    <cellStyle name="Date Short" xfId="189" xr:uid="{00000000-0005-0000-0000-0000BC000000}"/>
    <cellStyle name="Date_COMPS - Directories" xfId="190" xr:uid="{00000000-0005-0000-0000-0000BD000000}"/>
    <cellStyle name="DateLeftBold" xfId="191" xr:uid="{00000000-0005-0000-0000-0000BE000000}"/>
    <cellStyle name="Default" xfId="192" xr:uid="{00000000-0005-0000-0000-0000BF000000}"/>
    <cellStyle name="Default 2" xfId="1006" xr:uid="{89215829-3058-4B84-9AE3-E9C5FDBCB701}"/>
    <cellStyle name="DELTA" xfId="193" xr:uid="{00000000-0005-0000-0000-0000C0000000}"/>
    <cellStyle name="Dollars" xfId="194" xr:uid="{00000000-0005-0000-0000-0000C1000000}"/>
    <cellStyle name="Dollars []" xfId="195" xr:uid="{00000000-0005-0000-0000-0000C2000000}"/>
    <cellStyle name="Dollars_Pro Forma TTM 9.30.07 (CW NEIRB Acquisition)" xfId="196" xr:uid="{00000000-0005-0000-0000-0000C3000000}"/>
    <cellStyle name="Double" xfId="197" xr:uid="{00000000-0005-0000-0000-0000C4000000}"/>
    <cellStyle name="Double Accounting" xfId="198" xr:uid="{00000000-0005-0000-0000-0000C5000000}"/>
    <cellStyle name="Enter Currency (0)" xfId="199" xr:uid="{00000000-0005-0000-0000-0000C6000000}"/>
    <cellStyle name="Enter Currency (2)" xfId="200" xr:uid="{00000000-0005-0000-0000-0000C7000000}"/>
    <cellStyle name="Enter Units (0)" xfId="201" xr:uid="{00000000-0005-0000-0000-0000C8000000}"/>
    <cellStyle name="Enter Units (1)" xfId="202" xr:uid="{00000000-0005-0000-0000-0000C9000000}"/>
    <cellStyle name="Enter Units (2)" xfId="203" xr:uid="{00000000-0005-0000-0000-0000CA000000}"/>
    <cellStyle name="Entered" xfId="204" xr:uid="{00000000-0005-0000-0000-0000CB000000}"/>
    <cellStyle name="Euro" xfId="205" xr:uid="{00000000-0005-0000-0000-0000CC000000}"/>
    <cellStyle name="Euro 2" xfId="1007" xr:uid="{A84E1DB2-2E07-4D77-A270-F59C4A6B1CAD}"/>
    <cellStyle name="fa_data_bold_1_grouped" xfId="206" xr:uid="{00000000-0005-0000-0000-0000CD000000}"/>
    <cellStyle name="Fit" xfId="207" xr:uid="{00000000-0005-0000-0000-0000CE000000}"/>
    <cellStyle name="Footer" xfId="208" xr:uid="{00000000-0005-0000-0000-0000CF000000}"/>
    <cellStyle name="Footnotes" xfId="209" xr:uid="{00000000-0005-0000-0000-0000D0000000}"/>
    <cellStyle name="Grey" xfId="210" xr:uid="{00000000-0005-0000-0000-0000D1000000}"/>
    <cellStyle name="GreybarHeader" xfId="211" xr:uid="{00000000-0005-0000-0000-0000D2000000}"/>
    <cellStyle name="Grouped Head" xfId="212" xr:uid="{00000000-0005-0000-0000-0000D3000000}"/>
    <cellStyle name="h" xfId="213" xr:uid="{00000000-0005-0000-0000-0000D4000000}"/>
    <cellStyle name="HAlignCenter" xfId="214" xr:uid="{00000000-0005-0000-0000-0000D5000000}"/>
    <cellStyle name="HAlignCenter 2" xfId="1008" xr:uid="{6FCFD945-A75A-42B9-A397-40D289CB2289}"/>
    <cellStyle name="HAlignLeft" xfId="215" xr:uid="{00000000-0005-0000-0000-0000D6000000}"/>
    <cellStyle name="HAlignLeft 2" xfId="1009" xr:uid="{CF7A0D76-CF07-4769-B200-9D832507389B}"/>
    <cellStyle name="HAlignRight" xfId="216" xr:uid="{00000000-0005-0000-0000-0000D7000000}"/>
    <cellStyle name="HAlignRight 2" xfId="1010" xr:uid="{5E1005AF-1327-410C-B2D1-C4A9A898D3B3}"/>
    <cellStyle name="Head 1" xfId="217" xr:uid="{00000000-0005-0000-0000-0000D8000000}"/>
    <cellStyle name="Header" xfId="218" xr:uid="{00000000-0005-0000-0000-0000D9000000}"/>
    <cellStyle name="Header1" xfId="219" xr:uid="{00000000-0005-0000-0000-0000DA000000}"/>
    <cellStyle name="Header2" xfId="220" xr:uid="{00000000-0005-0000-0000-0000DB000000}"/>
    <cellStyle name="headers" xfId="221" xr:uid="{00000000-0005-0000-0000-0000DC000000}"/>
    <cellStyle name="Heading" xfId="222" xr:uid="{00000000-0005-0000-0000-0000DD000000}"/>
    <cellStyle name="HEADINGS" xfId="223" xr:uid="{00000000-0005-0000-0000-0000DE000000}"/>
    <cellStyle name="HEADINGSTOP" xfId="224" xr:uid="{00000000-0005-0000-0000-0000DF000000}"/>
    <cellStyle name="imput" xfId="225" xr:uid="{00000000-0005-0000-0000-0000E0000000}"/>
    <cellStyle name="Input [yellow]" xfId="226" xr:uid="{00000000-0005-0000-0000-0000E1000000}"/>
    <cellStyle name="Invisible" xfId="227" xr:uid="{00000000-0005-0000-0000-0000E2000000}"/>
    <cellStyle name="ItalicHeader" xfId="228" xr:uid="{00000000-0005-0000-0000-0000E3000000}"/>
    <cellStyle name="Item Descriptions" xfId="229" xr:uid="{00000000-0005-0000-0000-0000E4000000}"/>
    <cellStyle name="Item Descriptions - Bold" xfId="230" xr:uid="{00000000-0005-0000-0000-0000E5000000}"/>
    <cellStyle name="Item Descriptions_6079BX" xfId="231" xr:uid="{00000000-0005-0000-0000-0000E6000000}"/>
    <cellStyle name="Left" xfId="232" xr:uid="{00000000-0005-0000-0000-0000E7000000}"/>
    <cellStyle name="LeftBold" xfId="233" xr:uid="{00000000-0005-0000-0000-0000E8000000}"/>
    <cellStyle name="LeftBoldBottomRule" xfId="234" xr:uid="{00000000-0005-0000-0000-0000E9000000}"/>
    <cellStyle name="LeftBoldCenterRule" xfId="235" xr:uid="{00000000-0005-0000-0000-0000EA000000}"/>
    <cellStyle name="Line" xfId="236" xr:uid="{00000000-0005-0000-0000-0000EB000000}"/>
    <cellStyle name="Link Currency (0)" xfId="237" xr:uid="{00000000-0005-0000-0000-0000EC000000}"/>
    <cellStyle name="Link Currency (2)" xfId="238" xr:uid="{00000000-0005-0000-0000-0000ED000000}"/>
    <cellStyle name="Link Units (0)" xfId="239" xr:uid="{00000000-0005-0000-0000-0000EE000000}"/>
    <cellStyle name="Link Units (1)" xfId="240" xr:uid="{00000000-0005-0000-0000-0000EF000000}"/>
    <cellStyle name="Link Units (2)" xfId="241" xr:uid="{00000000-0005-0000-0000-0000F0000000}"/>
    <cellStyle name="locked" xfId="242" xr:uid="{00000000-0005-0000-0000-0000F1000000}"/>
    <cellStyle name="locked 2" xfId="1011" xr:uid="{2C5BEB7B-9D1B-439B-AC56-953A5BC0ADCB}"/>
    <cellStyle name="m&amp;a" xfId="243" xr:uid="{00000000-0005-0000-0000-0000F2000000}"/>
    <cellStyle name="Map Labels" xfId="244" xr:uid="{00000000-0005-0000-0000-0000F3000000}"/>
    <cellStyle name="Map Legend" xfId="245" xr:uid="{00000000-0005-0000-0000-0000F4000000}"/>
    <cellStyle name="Merrill" xfId="246" xr:uid="{00000000-0005-0000-0000-0000F5000000}"/>
    <cellStyle name="Millares_Inv Detail A7" xfId="247" xr:uid="{00000000-0005-0000-0000-0000F6000000}"/>
    <cellStyle name="Milliers [0]_r00SC" xfId="248" xr:uid="{00000000-0005-0000-0000-0000F7000000}"/>
    <cellStyle name="Milliers_r00SC" xfId="249" xr:uid="{00000000-0005-0000-0000-0000F8000000}"/>
    <cellStyle name="Mix" xfId="250" xr:uid="{00000000-0005-0000-0000-0000F9000000}"/>
    <cellStyle name="mon" xfId="251" xr:uid="{00000000-0005-0000-0000-0000FA000000}"/>
    <cellStyle name="Monétaire [0]_r00SC" xfId="252" xr:uid="{00000000-0005-0000-0000-0000FB000000}"/>
    <cellStyle name="Monétaire_r00SC" xfId="253" xr:uid="{00000000-0005-0000-0000-0000FC000000}"/>
    <cellStyle name="Money" xfId="254" xr:uid="{00000000-0005-0000-0000-0000FD000000}"/>
    <cellStyle name="Money 2" xfId="1012" xr:uid="{0CC394A4-8D83-414D-9705-8BEF4C8B5675}"/>
    <cellStyle name="Multiple" xfId="255" xr:uid="{00000000-0005-0000-0000-0000FE000000}"/>
    <cellStyle name="Multiple []" xfId="256" xr:uid="{00000000-0005-0000-0000-0000FF000000}"/>
    <cellStyle name="Multiple [0]" xfId="257" xr:uid="{00000000-0005-0000-0000-000000010000}"/>
    <cellStyle name="Multiple [0] []" xfId="258" xr:uid="{00000000-0005-0000-0000-000001010000}"/>
    <cellStyle name="Multiple [0]_New MA Public Comps and WACC Model" xfId="259" xr:uid="{00000000-0005-0000-0000-000002010000}"/>
    <cellStyle name="Multiple [1]" xfId="260" xr:uid="{00000000-0005-0000-0000-000003010000}"/>
    <cellStyle name="Multiple [1] []" xfId="261" xr:uid="{00000000-0005-0000-0000-000004010000}"/>
    <cellStyle name="Multiple [1]_New MA Public Comps and WACC Model" xfId="262" xr:uid="{00000000-0005-0000-0000-000005010000}"/>
    <cellStyle name="Multiple_CapitalSum" xfId="263" xr:uid="{00000000-0005-0000-0000-000006010000}"/>
    <cellStyle name="N2Style" xfId="264" xr:uid="{00000000-0005-0000-0000-000007010000}"/>
    <cellStyle name="N2Style 2" xfId="1013" xr:uid="{56B2EF07-F406-4FDB-AE07-87440CAFF6F3}"/>
    <cellStyle name="NewColumnHeaderNormal" xfId="265" xr:uid="{00000000-0005-0000-0000-000008010000}"/>
    <cellStyle name="NewSectionHeaderNormal" xfId="266" xr:uid="{00000000-0005-0000-0000-000009010000}"/>
    <cellStyle name="NewTitleNormal" xfId="267" xr:uid="{00000000-0005-0000-0000-00000A010000}"/>
    <cellStyle name="Normal" xfId="0" builtinId="0"/>
    <cellStyle name="Normal - Style1" xfId="268" xr:uid="{00000000-0005-0000-0000-00000C010000}"/>
    <cellStyle name="Normal 101" xfId="269" xr:uid="{00000000-0005-0000-0000-00000D010000}"/>
    <cellStyle name="Normal 101 2" xfId="1014" xr:uid="{3BB30254-EC30-4EB6-A31A-7DED590C82B3}"/>
    <cellStyle name="Normal 103 2" xfId="270" xr:uid="{00000000-0005-0000-0000-00000E010000}"/>
    <cellStyle name="Normal 103 2 2" xfId="1015" xr:uid="{E02286E1-E28C-4F6B-8E9D-15DD7271D026}"/>
    <cellStyle name="Normal 112" xfId="271" xr:uid="{00000000-0005-0000-0000-00000F010000}"/>
    <cellStyle name="Normal 112 2" xfId="1016" xr:uid="{2EE3930B-9376-4DD7-A83C-7FAA5A311974}"/>
    <cellStyle name="Normal 2" xfId="272" xr:uid="{00000000-0005-0000-0000-000010010000}"/>
    <cellStyle name="Normal 2 2" xfId="273" xr:uid="{00000000-0005-0000-0000-000011010000}"/>
    <cellStyle name="Normal 2 2 2" xfId="1018" xr:uid="{F725C076-0763-4276-92B9-E97038B96796}"/>
    <cellStyle name="Normal 2 3" xfId="1017" xr:uid="{40804606-2986-49D5-B459-EE30086BD7A3}"/>
    <cellStyle name="Normal 3 3" xfId="274" xr:uid="{00000000-0005-0000-0000-000012010000}"/>
    <cellStyle name="Normal 3 3 2" xfId="1019" xr:uid="{92B6C934-C645-43D0-BF15-27616CC4A519}"/>
    <cellStyle name="Normal1" xfId="275" xr:uid="{00000000-0005-0000-0000-000013010000}"/>
    <cellStyle name="Normal10" xfId="276" xr:uid="{00000000-0005-0000-0000-000014010000}"/>
    <cellStyle name="Normal100" xfId="277" xr:uid="{00000000-0005-0000-0000-000015010000}"/>
    <cellStyle name="Normal101" xfId="278" xr:uid="{00000000-0005-0000-0000-000016010000}"/>
    <cellStyle name="Normal102" xfId="279" xr:uid="{00000000-0005-0000-0000-000017010000}"/>
    <cellStyle name="Normal103" xfId="280" xr:uid="{00000000-0005-0000-0000-000018010000}"/>
    <cellStyle name="Normal104" xfId="281" xr:uid="{00000000-0005-0000-0000-000019010000}"/>
    <cellStyle name="Normal105" xfId="282" xr:uid="{00000000-0005-0000-0000-00001A010000}"/>
    <cellStyle name="Normal106" xfId="283" xr:uid="{00000000-0005-0000-0000-00001B010000}"/>
    <cellStyle name="Normal107" xfId="284" xr:uid="{00000000-0005-0000-0000-00001C010000}"/>
    <cellStyle name="Normal108" xfId="285" xr:uid="{00000000-0005-0000-0000-00001D010000}"/>
    <cellStyle name="Normal109" xfId="286" xr:uid="{00000000-0005-0000-0000-00001E010000}"/>
    <cellStyle name="Normal11" xfId="287" xr:uid="{00000000-0005-0000-0000-00001F010000}"/>
    <cellStyle name="Normal110" xfId="288" xr:uid="{00000000-0005-0000-0000-000020010000}"/>
    <cellStyle name="Normal111" xfId="289" xr:uid="{00000000-0005-0000-0000-000021010000}"/>
    <cellStyle name="Normal112" xfId="290" xr:uid="{00000000-0005-0000-0000-000022010000}"/>
    <cellStyle name="Normal113" xfId="291" xr:uid="{00000000-0005-0000-0000-000023010000}"/>
    <cellStyle name="Normal114" xfId="292" xr:uid="{00000000-0005-0000-0000-000024010000}"/>
    <cellStyle name="Normal115" xfId="293" xr:uid="{00000000-0005-0000-0000-000025010000}"/>
    <cellStyle name="Normal116" xfId="294" xr:uid="{00000000-0005-0000-0000-000026010000}"/>
    <cellStyle name="Normal117" xfId="295" xr:uid="{00000000-0005-0000-0000-000027010000}"/>
    <cellStyle name="Normal118" xfId="296" xr:uid="{00000000-0005-0000-0000-000028010000}"/>
    <cellStyle name="Normal119" xfId="297" xr:uid="{00000000-0005-0000-0000-000029010000}"/>
    <cellStyle name="Normal12" xfId="298" xr:uid="{00000000-0005-0000-0000-00002A010000}"/>
    <cellStyle name="Normal120" xfId="299" xr:uid="{00000000-0005-0000-0000-00002B010000}"/>
    <cellStyle name="Normal121" xfId="300" xr:uid="{00000000-0005-0000-0000-00002C010000}"/>
    <cellStyle name="Normal122" xfId="301" xr:uid="{00000000-0005-0000-0000-00002D010000}"/>
    <cellStyle name="Normal123" xfId="302" xr:uid="{00000000-0005-0000-0000-00002E010000}"/>
    <cellStyle name="Normal124" xfId="303" xr:uid="{00000000-0005-0000-0000-00002F010000}"/>
    <cellStyle name="Normal125" xfId="304" xr:uid="{00000000-0005-0000-0000-000030010000}"/>
    <cellStyle name="Normal126" xfId="305" xr:uid="{00000000-0005-0000-0000-000031010000}"/>
    <cellStyle name="Normal127" xfId="306" xr:uid="{00000000-0005-0000-0000-000032010000}"/>
    <cellStyle name="Normal128" xfId="307" xr:uid="{00000000-0005-0000-0000-000033010000}"/>
    <cellStyle name="Normal129" xfId="308" xr:uid="{00000000-0005-0000-0000-000034010000}"/>
    <cellStyle name="Normal13" xfId="309" xr:uid="{00000000-0005-0000-0000-000035010000}"/>
    <cellStyle name="Normal130" xfId="310" xr:uid="{00000000-0005-0000-0000-000036010000}"/>
    <cellStyle name="Normal131" xfId="311" xr:uid="{00000000-0005-0000-0000-000037010000}"/>
    <cellStyle name="Normal132" xfId="312" xr:uid="{00000000-0005-0000-0000-000038010000}"/>
    <cellStyle name="Normal133" xfId="313" xr:uid="{00000000-0005-0000-0000-000039010000}"/>
    <cellStyle name="Normal134" xfId="314" xr:uid="{00000000-0005-0000-0000-00003A010000}"/>
    <cellStyle name="Normal135" xfId="315" xr:uid="{00000000-0005-0000-0000-00003B010000}"/>
    <cellStyle name="Normal136" xfId="316" xr:uid="{00000000-0005-0000-0000-00003C010000}"/>
    <cellStyle name="Normal137" xfId="317" xr:uid="{00000000-0005-0000-0000-00003D010000}"/>
    <cellStyle name="Normal138" xfId="318" xr:uid="{00000000-0005-0000-0000-00003E010000}"/>
    <cellStyle name="Normal139" xfId="319" xr:uid="{00000000-0005-0000-0000-00003F010000}"/>
    <cellStyle name="Normal14" xfId="320" xr:uid="{00000000-0005-0000-0000-000040010000}"/>
    <cellStyle name="Normal140" xfId="321" xr:uid="{00000000-0005-0000-0000-000041010000}"/>
    <cellStyle name="Normal141" xfId="322" xr:uid="{00000000-0005-0000-0000-000042010000}"/>
    <cellStyle name="Normal142" xfId="323" xr:uid="{00000000-0005-0000-0000-000043010000}"/>
    <cellStyle name="Normal143" xfId="324" xr:uid="{00000000-0005-0000-0000-000044010000}"/>
    <cellStyle name="Normal144" xfId="325" xr:uid="{00000000-0005-0000-0000-000045010000}"/>
    <cellStyle name="Normal145" xfId="326" xr:uid="{00000000-0005-0000-0000-000046010000}"/>
    <cellStyle name="Normal146" xfId="327" xr:uid="{00000000-0005-0000-0000-000047010000}"/>
    <cellStyle name="Normal147" xfId="328" xr:uid="{00000000-0005-0000-0000-000048010000}"/>
    <cellStyle name="Normal148" xfId="329" xr:uid="{00000000-0005-0000-0000-000049010000}"/>
    <cellStyle name="Normal149" xfId="330" xr:uid="{00000000-0005-0000-0000-00004A010000}"/>
    <cellStyle name="Normal15" xfId="331" xr:uid="{00000000-0005-0000-0000-00004B010000}"/>
    <cellStyle name="Normal150" xfId="332" xr:uid="{00000000-0005-0000-0000-00004C010000}"/>
    <cellStyle name="Normal151" xfId="333" xr:uid="{00000000-0005-0000-0000-00004D010000}"/>
    <cellStyle name="Normal152" xfId="334" xr:uid="{00000000-0005-0000-0000-00004E010000}"/>
    <cellStyle name="Normal153" xfId="335" xr:uid="{00000000-0005-0000-0000-00004F010000}"/>
    <cellStyle name="Normal154" xfId="336" xr:uid="{00000000-0005-0000-0000-000050010000}"/>
    <cellStyle name="Normal155" xfId="337" xr:uid="{00000000-0005-0000-0000-000051010000}"/>
    <cellStyle name="Normal156" xfId="338" xr:uid="{00000000-0005-0000-0000-000052010000}"/>
    <cellStyle name="Normal157" xfId="339" xr:uid="{00000000-0005-0000-0000-000053010000}"/>
    <cellStyle name="Normal158" xfId="340" xr:uid="{00000000-0005-0000-0000-000054010000}"/>
    <cellStyle name="Normal159" xfId="341" xr:uid="{00000000-0005-0000-0000-000055010000}"/>
    <cellStyle name="Normal16" xfId="342" xr:uid="{00000000-0005-0000-0000-000056010000}"/>
    <cellStyle name="Normal160" xfId="343" xr:uid="{00000000-0005-0000-0000-000057010000}"/>
    <cellStyle name="Normal161" xfId="344" xr:uid="{00000000-0005-0000-0000-000058010000}"/>
    <cellStyle name="Normal162" xfId="345" xr:uid="{00000000-0005-0000-0000-000059010000}"/>
    <cellStyle name="Normal163" xfId="346" xr:uid="{00000000-0005-0000-0000-00005A010000}"/>
    <cellStyle name="Normal164" xfId="347" xr:uid="{00000000-0005-0000-0000-00005B010000}"/>
    <cellStyle name="Normal165" xfId="348" xr:uid="{00000000-0005-0000-0000-00005C010000}"/>
    <cellStyle name="Normal166" xfId="349" xr:uid="{00000000-0005-0000-0000-00005D010000}"/>
    <cellStyle name="Normal167" xfId="350" xr:uid="{00000000-0005-0000-0000-00005E010000}"/>
    <cellStyle name="Normal168" xfId="351" xr:uid="{00000000-0005-0000-0000-00005F010000}"/>
    <cellStyle name="Normal169" xfId="352" xr:uid="{00000000-0005-0000-0000-000060010000}"/>
    <cellStyle name="Normal17" xfId="353" xr:uid="{00000000-0005-0000-0000-000061010000}"/>
    <cellStyle name="Normal170" xfId="354" xr:uid="{00000000-0005-0000-0000-000062010000}"/>
    <cellStyle name="Normal171" xfId="355" xr:uid="{00000000-0005-0000-0000-000063010000}"/>
    <cellStyle name="Normal172" xfId="356" xr:uid="{00000000-0005-0000-0000-000064010000}"/>
    <cellStyle name="Normal173" xfId="357" xr:uid="{00000000-0005-0000-0000-000065010000}"/>
    <cellStyle name="Normal174" xfId="358" xr:uid="{00000000-0005-0000-0000-000066010000}"/>
    <cellStyle name="Normal175" xfId="359" xr:uid="{00000000-0005-0000-0000-000067010000}"/>
    <cellStyle name="Normal176" xfId="360" xr:uid="{00000000-0005-0000-0000-000068010000}"/>
    <cellStyle name="Normal177" xfId="361" xr:uid="{00000000-0005-0000-0000-000069010000}"/>
    <cellStyle name="Normal178" xfId="362" xr:uid="{00000000-0005-0000-0000-00006A010000}"/>
    <cellStyle name="Normal179" xfId="363" xr:uid="{00000000-0005-0000-0000-00006B010000}"/>
    <cellStyle name="Normal18" xfId="364" xr:uid="{00000000-0005-0000-0000-00006C010000}"/>
    <cellStyle name="Normal180" xfId="365" xr:uid="{00000000-0005-0000-0000-00006D010000}"/>
    <cellStyle name="Normal181" xfId="366" xr:uid="{00000000-0005-0000-0000-00006E010000}"/>
    <cellStyle name="Normal182" xfId="367" xr:uid="{00000000-0005-0000-0000-00006F010000}"/>
    <cellStyle name="Normal183" xfId="368" xr:uid="{00000000-0005-0000-0000-000070010000}"/>
    <cellStyle name="Normal184" xfId="369" xr:uid="{00000000-0005-0000-0000-000071010000}"/>
    <cellStyle name="Normal185" xfId="370" xr:uid="{00000000-0005-0000-0000-000072010000}"/>
    <cellStyle name="Normal186" xfId="371" xr:uid="{00000000-0005-0000-0000-000073010000}"/>
    <cellStyle name="Normal187" xfId="372" xr:uid="{00000000-0005-0000-0000-000074010000}"/>
    <cellStyle name="Normal188" xfId="373" xr:uid="{00000000-0005-0000-0000-000075010000}"/>
    <cellStyle name="Normal189" xfId="374" xr:uid="{00000000-0005-0000-0000-000076010000}"/>
    <cellStyle name="Normal19" xfId="375" xr:uid="{00000000-0005-0000-0000-000077010000}"/>
    <cellStyle name="Normal190" xfId="376" xr:uid="{00000000-0005-0000-0000-000078010000}"/>
    <cellStyle name="Normal191" xfId="377" xr:uid="{00000000-0005-0000-0000-000079010000}"/>
    <cellStyle name="Normal192" xfId="378" xr:uid="{00000000-0005-0000-0000-00007A010000}"/>
    <cellStyle name="Normal193" xfId="379" xr:uid="{00000000-0005-0000-0000-00007B010000}"/>
    <cellStyle name="Normal194" xfId="380" xr:uid="{00000000-0005-0000-0000-00007C010000}"/>
    <cellStyle name="Normal195" xfId="381" xr:uid="{00000000-0005-0000-0000-00007D010000}"/>
    <cellStyle name="Normal196" xfId="382" xr:uid="{00000000-0005-0000-0000-00007E010000}"/>
    <cellStyle name="Normal197" xfId="383" xr:uid="{00000000-0005-0000-0000-00007F010000}"/>
    <cellStyle name="Normal198" xfId="384" xr:uid="{00000000-0005-0000-0000-000080010000}"/>
    <cellStyle name="Normal199" xfId="385" xr:uid="{00000000-0005-0000-0000-000081010000}"/>
    <cellStyle name="Normal2" xfId="386" xr:uid="{00000000-0005-0000-0000-000082010000}"/>
    <cellStyle name="Normal20" xfId="387" xr:uid="{00000000-0005-0000-0000-000083010000}"/>
    <cellStyle name="Normal200" xfId="388" xr:uid="{00000000-0005-0000-0000-000084010000}"/>
    <cellStyle name="Normal201" xfId="389" xr:uid="{00000000-0005-0000-0000-000085010000}"/>
    <cellStyle name="Normal202" xfId="390" xr:uid="{00000000-0005-0000-0000-000086010000}"/>
    <cellStyle name="Normal203" xfId="391" xr:uid="{00000000-0005-0000-0000-000087010000}"/>
    <cellStyle name="Normal204" xfId="392" xr:uid="{00000000-0005-0000-0000-000088010000}"/>
    <cellStyle name="Normal205" xfId="393" xr:uid="{00000000-0005-0000-0000-000089010000}"/>
    <cellStyle name="Normal206" xfId="394" xr:uid="{00000000-0005-0000-0000-00008A010000}"/>
    <cellStyle name="Normal207" xfId="395" xr:uid="{00000000-0005-0000-0000-00008B010000}"/>
    <cellStyle name="Normal208" xfId="396" xr:uid="{00000000-0005-0000-0000-00008C010000}"/>
    <cellStyle name="Normal209" xfId="397" xr:uid="{00000000-0005-0000-0000-00008D010000}"/>
    <cellStyle name="Normal21" xfId="398" xr:uid="{00000000-0005-0000-0000-00008E010000}"/>
    <cellStyle name="Normal210" xfId="399" xr:uid="{00000000-0005-0000-0000-00008F010000}"/>
    <cellStyle name="Normal211" xfId="400" xr:uid="{00000000-0005-0000-0000-000090010000}"/>
    <cellStyle name="Normal212" xfId="401" xr:uid="{00000000-0005-0000-0000-000091010000}"/>
    <cellStyle name="Normal213" xfId="402" xr:uid="{00000000-0005-0000-0000-000092010000}"/>
    <cellStyle name="Normal214" xfId="403" xr:uid="{00000000-0005-0000-0000-000093010000}"/>
    <cellStyle name="Normal215" xfId="404" xr:uid="{00000000-0005-0000-0000-000094010000}"/>
    <cellStyle name="Normal216" xfId="405" xr:uid="{00000000-0005-0000-0000-000095010000}"/>
    <cellStyle name="Normal217" xfId="406" xr:uid="{00000000-0005-0000-0000-000096010000}"/>
    <cellStyle name="Normal218" xfId="407" xr:uid="{00000000-0005-0000-0000-000097010000}"/>
    <cellStyle name="Normal219" xfId="408" xr:uid="{00000000-0005-0000-0000-000098010000}"/>
    <cellStyle name="Normal22" xfId="409" xr:uid="{00000000-0005-0000-0000-000099010000}"/>
    <cellStyle name="Normal220" xfId="410" xr:uid="{00000000-0005-0000-0000-00009A010000}"/>
    <cellStyle name="Normal221" xfId="411" xr:uid="{00000000-0005-0000-0000-00009B010000}"/>
    <cellStyle name="Normal222" xfId="412" xr:uid="{00000000-0005-0000-0000-00009C010000}"/>
    <cellStyle name="Normal223" xfId="413" xr:uid="{00000000-0005-0000-0000-00009D010000}"/>
    <cellStyle name="Normal224" xfId="414" xr:uid="{00000000-0005-0000-0000-00009E010000}"/>
    <cellStyle name="Normal225" xfId="415" xr:uid="{00000000-0005-0000-0000-00009F010000}"/>
    <cellStyle name="Normal226" xfId="416" xr:uid="{00000000-0005-0000-0000-0000A0010000}"/>
    <cellStyle name="Normal227" xfId="417" xr:uid="{00000000-0005-0000-0000-0000A1010000}"/>
    <cellStyle name="Normal228" xfId="418" xr:uid="{00000000-0005-0000-0000-0000A2010000}"/>
    <cellStyle name="Normal229" xfId="419" xr:uid="{00000000-0005-0000-0000-0000A3010000}"/>
    <cellStyle name="Normal23" xfId="420" xr:uid="{00000000-0005-0000-0000-0000A4010000}"/>
    <cellStyle name="Normal230" xfId="421" xr:uid="{00000000-0005-0000-0000-0000A5010000}"/>
    <cellStyle name="Normal231" xfId="422" xr:uid="{00000000-0005-0000-0000-0000A6010000}"/>
    <cellStyle name="Normal232" xfId="423" xr:uid="{00000000-0005-0000-0000-0000A7010000}"/>
    <cellStyle name="Normal233" xfId="424" xr:uid="{00000000-0005-0000-0000-0000A8010000}"/>
    <cellStyle name="Normal234" xfId="425" xr:uid="{00000000-0005-0000-0000-0000A9010000}"/>
    <cellStyle name="Normal235" xfId="426" xr:uid="{00000000-0005-0000-0000-0000AA010000}"/>
    <cellStyle name="Normal236" xfId="427" xr:uid="{00000000-0005-0000-0000-0000AB010000}"/>
    <cellStyle name="Normal237" xfId="428" xr:uid="{00000000-0005-0000-0000-0000AC010000}"/>
    <cellStyle name="Normal238" xfId="429" xr:uid="{00000000-0005-0000-0000-0000AD010000}"/>
    <cellStyle name="Normal239" xfId="430" xr:uid="{00000000-0005-0000-0000-0000AE010000}"/>
    <cellStyle name="Normal24" xfId="431" xr:uid="{00000000-0005-0000-0000-0000AF010000}"/>
    <cellStyle name="Normal240" xfId="432" xr:uid="{00000000-0005-0000-0000-0000B0010000}"/>
    <cellStyle name="Normal241" xfId="433" xr:uid="{00000000-0005-0000-0000-0000B1010000}"/>
    <cellStyle name="Normal242" xfId="434" xr:uid="{00000000-0005-0000-0000-0000B2010000}"/>
    <cellStyle name="Normal243" xfId="435" xr:uid="{00000000-0005-0000-0000-0000B3010000}"/>
    <cellStyle name="Normal244" xfId="436" xr:uid="{00000000-0005-0000-0000-0000B4010000}"/>
    <cellStyle name="Normal245" xfId="437" xr:uid="{00000000-0005-0000-0000-0000B5010000}"/>
    <cellStyle name="Normal246" xfId="438" xr:uid="{00000000-0005-0000-0000-0000B6010000}"/>
    <cellStyle name="Normal247" xfId="439" xr:uid="{00000000-0005-0000-0000-0000B7010000}"/>
    <cellStyle name="Normal248" xfId="440" xr:uid="{00000000-0005-0000-0000-0000B8010000}"/>
    <cellStyle name="Normal249" xfId="441" xr:uid="{00000000-0005-0000-0000-0000B9010000}"/>
    <cellStyle name="Normal25" xfId="442" xr:uid="{00000000-0005-0000-0000-0000BA010000}"/>
    <cellStyle name="Normal250" xfId="443" xr:uid="{00000000-0005-0000-0000-0000BB010000}"/>
    <cellStyle name="Normal251" xfId="444" xr:uid="{00000000-0005-0000-0000-0000BC010000}"/>
    <cellStyle name="Normal252" xfId="445" xr:uid="{00000000-0005-0000-0000-0000BD010000}"/>
    <cellStyle name="Normal253" xfId="446" xr:uid="{00000000-0005-0000-0000-0000BE010000}"/>
    <cellStyle name="Normal26" xfId="447" xr:uid="{00000000-0005-0000-0000-0000BF010000}"/>
    <cellStyle name="Normal27" xfId="448" xr:uid="{00000000-0005-0000-0000-0000C0010000}"/>
    <cellStyle name="Normal28" xfId="449" xr:uid="{00000000-0005-0000-0000-0000C1010000}"/>
    <cellStyle name="Normal29" xfId="450" xr:uid="{00000000-0005-0000-0000-0000C2010000}"/>
    <cellStyle name="Normal3" xfId="451" xr:uid="{00000000-0005-0000-0000-0000C3010000}"/>
    <cellStyle name="Normal30" xfId="452" xr:uid="{00000000-0005-0000-0000-0000C4010000}"/>
    <cellStyle name="Normal31" xfId="453" xr:uid="{00000000-0005-0000-0000-0000C5010000}"/>
    <cellStyle name="Normal32" xfId="454" xr:uid="{00000000-0005-0000-0000-0000C6010000}"/>
    <cellStyle name="Normal33" xfId="455" xr:uid="{00000000-0005-0000-0000-0000C7010000}"/>
    <cellStyle name="Normal34" xfId="456" xr:uid="{00000000-0005-0000-0000-0000C8010000}"/>
    <cellStyle name="Normal35" xfId="457" xr:uid="{00000000-0005-0000-0000-0000C9010000}"/>
    <cellStyle name="Normal36" xfId="458" xr:uid="{00000000-0005-0000-0000-0000CA010000}"/>
    <cellStyle name="Normal37" xfId="459" xr:uid="{00000000-0005-0000-0000-0000CB010000}"/>
    <cellStyle name="Normal38" xfId="460" xr:uid="{00000000-0005-0000-0000-0000CC010000}"/>
    <cellStyle name="Normal39" xfId="461" xr:uid="{00000000-0005-0000-0000-0000CD010000}"/>
    <cellStyle name="Normal4" xfId="462" xr:uid="{00000000-0005-0000-0000-0000CE010000}"/>
    <cellStyle name="Normal40" xfId="463" xr:uid="{00000000-0005-0000-0000-0000CF010000}"/>
    <cellStyle name="Normal41" xfId="464" xr:uid="{00000000-0005-0000-0000-0000D0010000}"/>
    <cellStyle name="Normal42" xfId="465" xr:uid="{00000000-0005-0000-0000-0000D1010000}"/>
    <cellStyle name="Normal43" xfId="466" xr:uid="{00000000-0005-0000-0000-0000D2010000}"/>
    <cellStyle name="Normal44" xfId="467" xr:uid="{00000000-0005-0000-0000-0000D3010000}"/>
    <cellStyle name="Normal45" xfId="468" xr:uid="{00000000-0005-0000-0000-0000D4010000}"/>
    <cellStyle name="Normal46" xfId="469" xr:uid="{00000000-0005-0000-0000-0000D5010000}"/>
    <cellStyle name="Normal47" xfId="470" xr:uid="{00000000-0005-0000-0000-0000D6010000}"/>
    <cellStyle name="Normal48" xfId="471" xr:uid="{00000000-0005-0000-0000-0000D7010000}"/>
    <cellStyle name="Normal49" xfId="472" xr:uid="{00000000-0005-0000-0000-0000D8010000}"/>
    <cellStyle name="Normal5" xfId="473" xr:uid="{00000000-0005-0000-0000-0000D9010000}"/>
    <cellStyle name="Normal50" xfId="474" xr:uid="{00000000-0005-0000-0000-0000DA010000}"/>
    <cellStyle name="Normal51" xfId="475" xr:uid="{00000000-0005-0000-0000-0000DB010000}"/>
    <cellStyle name="Normal52" xfId="476" xr:uid="{00000000-0005-0000-0000-0000DC010000}"/>
    <cellStyle name="Normal53" xfId="477" xr:uid="{00000000-0005-0000-0000-0000DD010000}"/>
    <cellStyle name="Normal54" xfId="478" xr:uid="{00000000-0005-0000-0000-0000DE010000}"/>
    <cellStyle name="Normal55" xfId="479" xr:uid="{00000000-0005-0000-0000-0000DF010000}"/>
    <cellStyle name="Normal56" xfId="480" xr:uid="{00000000-0005-0000-0000-0000E0010000}"/>
    <cellStyle name="Normal57" xfId="481" xr:uid="{00000000-0005-0000-0000-0000E1010000}"/>
    <cellStyle name="Normal58" xfId="482" xr:uid="{00000000-0005-0000-0000-0000E2010000}"/>
    <cellStyle name="Normal59" xfId="483" xr:uid="{00000000-0005-0000-0000-0000E3010000}"/>
    <cellStyle name="Normal6" xfId="484" xr:uid="{00000000-0005-0000-0000-0000E4010000}"/>
    <cellStyle name="Normal60" xfId="485" xr:uid="{00000000-0005-0000-0000-0000E5010000}"/>
    <cellStyle name="Normal61" xfId="486" xr:uid="{00000000-0005-0000-0000-0000E6010000}"/>
    <cellStyle name="Normal62" xfId="487" xr:uid="{00000000-0005-0000-0000-0000E7010000}"/>
    <cellStyle name="Normal63" xfId="488" xr:uid="{00000000-0005-0000-0000-0000E8010000}"/>
    <cellStyle name="Normal64" xfId="489" xr:uid="{00000000-0005-0000-0000-0000E9010000}"/>
    <cellStyle name="Normal65" xfId="490" xr:uid="{00000000-0005-0000-0000-0000EA010000}"/>
    <cellStyle name="Normal66" xfId="491" xr:uid="{00000000-0005-0000-0000-0000EB010000}"/>
    <cellStyle name="Normal67" xfId="492" xr:uid="{00000000-0005-0000-0000-0000EC010000}"/>
    <cellStyle name="Normal68" xfId="493" xr:uid="{00000000-0005-0000-0000-0000ED010000}"/>
    <cellStyle name="Normal69" xfId="494" xr:uid="{00000000-0005-0000-0000-0000EE010000}"/>
    <cellStyle name="Normal7" xfId="495" xr:uid="{00000000-0005-0000-0000-0000EF010000}"/>
    <cellStyle name="Normal70" xfId="496" xr:uid="{00000000-0005-0000-0000-0000F0010000}"/>
    <cellStyle name="Normal71" xfId="497" xr:uid="{00000000-0005-0000-0000-0000F1010000}"/>
    <cellStyle name="Normal72" xfId="498" xr:uid="{00000000-0005-0000-0000-0000F2010000}"/>
    <cellStyle name="Normal73" xfId="499" xr:uid="{00000000-0005-0000-0000-0000F3010000}"/>
    <cellStyle name="Normal74" xfId="500" xr:uid="{00000000-0005-0000-0000-0000F4010000}"/>
    <cellStyle name="Normal75" xfId="501" xr:uid="{00000000-0005-0000-0000-0000F5010000}"/>
    <cellStyle name="Normal76" xfId="502" xr:uid="{00000000-0005-0000-0000-0000F6010000}"/>
    <cellStyle name="Normal77" xfId="503" xr:uid="{00000000-0005-0000-0000-0000F7010000}"/>
    <cellStyle name="Normal78" xfId="504" xr:uid="{00000000-0005-0000-0000-0000F8010000}"/>
    <cellStyle name="Normal79" xfId="505" xr:uid="{00000000-0005-0000-0000-0000F9010000}"/>
    <cellStyle name="Normal8" xfId="506" xr:uid="{00000000-0005-0000-0000-0000FA010000}"/>
    <cellStyle name="Normal80" xfId="507" xr:uid="{00000000-0005-0000-0000-0000FB010000}"/>
    <cellStyle name="Normal81" xfId="508" xr:uid="{00000000-0005-0000-0000-0000FC010000}"/>
    <cellStyle name="Normal82" xfId="509" xr:uid="{00000000-0005-0000-0000-0000FD010000}"/>
    <cellStyle name="Normal83" xfId="510" xr:uid="{00000000-0005-0000-0000-0000FE010000}"/>
    <cellStyle name="Normal84" xfId="511" xr:uid="{00000000-0005-0000-0000-0000FF010000}"/>
    <cellStyle name="Normal85" xfId="512" xr:uid="{00000000-0005-0000-0000-000000020000}"/>
    <cellStyle name="Normal86" xfId="513" xr:uid="{00000000-0005-0000-0000-000001020000}"/>
    <cellStyle name="Normal87" xfId="514" xr:uid="{00000000-0005-0000-0000-000002020000}"/>
    <cellStyle name="Normal88" xfId="515" xr:uid="{00000000-0005-0000-0000-000003020000}"/>
    <cellStyle name="Normal89" xfId="516" xr:uid="{00000000-0005-0000-0000-000004020000}"/>
    <cellStyle name="Normal9" xfId="517" xr:uid="{00000000-0005-0000-0000-000005020000}"/>
    <cellStyle name="Normal90" xfId="518" xr:uid="{00000000-0005-0000-0000-000006020000}"/>
    <cellStyle name="Normal91" xfId="519" xr:uid="{00000000-0005-0000-0000-000007020000}"/>
    <cellStyle name="Normal92" xfId="520" xr:uid="{00000000-0005-0000-0000-000008020000}"/>
    <cellStyle name="Normal93" xfId="521" xr:uid="{00000000-0005-0000-0000-000009020000}"/>
    <cellStyle name="Normal94" xfId="522" xr:uid="{00000000-0005-0000-0000-00000A020000}"/>
    <cellStyle name="Normal95" xfId="523" xr:uid="{00000000-0005-0000-0000-00000B020000}"/>
    <cellStyle name="Normal96" xfId="524" xr:uid="{00000000-0005-0000-0000-00000C020000}"/>
    <cellStyle name="Normal97" xfId="525" xr:uid="{00000000-0005-0000-0000-00000D020000}"/>
    <cellStyle name="Normal98" xfId="526" xr:uid="{00000000-0005-0000-0000-00000E020000}"/>
    <cellStyle name="Normal99" xfId="527" xr:uid="{00000000-0005-0000-0000-00000F020000}"/>
    <cellStyle name="NotDeclared_1" xfId="528" xr:uid="{00000000-0005-0000-0000-000010020000}"/>
    <cellStyle name="Numbers" xfId="529" xr:uid="{00000000-0005-0000-0000-000011020000}"/>
    <cellStyle name="Numbers - Bold" xfId="530" xr:uid="{00000000-0005-0000-0000-000012020000}"/>
    <cellStyle name="Numbers - Bold - Italic" xfId="531" xr:uid="{00000000-0005-0000-0000-000013020000}"/>
    <cellStyle name="Numbers - Bold 2" xfId="1020" xr:uid="{F9101247-3F03-4A15-85B4-A3BE2B8D3DF2}"/>
    <cellStyle name="Numbers - Bold_6079BX" xfId="532" xr:uid="{00000000-0005-0000-0000-000014020000}"/>
    <cellStyle name="Numbers - Large" xfId="533" xr:uid="{00000000-0005-0000-0000-000015020000}"/>
    <cellStyle name="Numbers_6079BX" xfId="534" xr:uid="{00000000-0005-0000-0000-000016020000}"/>
    <cellStyle name="OSW_RowLabels" xfId="535" xr:uid="{00000000-0005-0000-0000-000017020000}"/>
    <cellStyle name="Outline" xfId="536" xr:uid="{00000000-0005-0000-0000-000018020000}"/>
    <cellStyle name="Output Amounts" xfId="537" xr:uid="{00000000-0005-0000-0000-000019020000}"/>
    <cellStyle name="Output Column Headings" xfId="538" xr:uid="{00000000-0005-0000-0000-00001A020000}"/>
    <cellStyle name="Output Line Items" xfId="539" xr:uid="{00000000-0005-0000-0000-00001B020000}"/>
    <cellStyle name="Output Report Heading" xfId="540" xr:uid="{00000000-0005-0000-0000-00001C020000}"/>
    <cellStyle name="Page" xfId="541" xr:uid="{00000000-0005-0000-0000-00001D020000}"/>
    <cellStyle name="PB Table Heading" xfId="542" xr:uid="{00000000-0005-0000-0000-00001E020000}"/>
    <cellStyle name="PB Table Highlight1" xfId="543" xr:uid="{00000000-0005-0000-0000-00001F020000}"/>
    <cellStyle name="PB Table Highlight2" xfId="544" xr:uid="{00000000-0005-0000-0000-000020020000}"/>
    <cellStyle name="PB Table Highlight3" xfId="545" xr:uid="{00000000-0005-0000-0000-000021020000}"/>
    <cellStyle name="PB Table Standard Row" xfId="546" xr:uid="{00000000-0005-0000-0000-000022020000}"/>
    <cellStyle name="PB Table Subtotal Row" xfId="547" xr:uid="{00000000-0005-0000-0000-000023020000}"/>
    <cellStyle name="PB Table Total Row" xfId="548" xr:uid="{00000000-0005-0000-0000-000024020000}"/>
    <cellStyle name="Per cent" xfId="550" builtinId="5"/>
    <cellStyle name="per.style" xfId="549" xr:uid="{00000000-0005-0000-0000-000025020000}"/>
    <cellStyle name="Percent [0]" xfId="551" xr:uid="{00000000-0005-0000-0000-000027020000}"/>
    <cellStyle name="Percent [00]" xfId="552" xr:uid="{00000000-0005-0000-0000-000028020000}"/>
    <cellStyle name="Percent [1]" xfId="553" xr:uid="{00000000-0005-0000-0000-000029020000}"/>
    <cellStyle name="Percent [1][]" xfId="554" xr:uid="{00000000-0005-0000-0000-00002A020000}"/>
    <cellStyle name="Percent [1]_New MA Public Comps and WACC Model" xfId="555" xr:uid="{00000000-0005-0000-0000-00002B020000}"/>
    <cellStyle name="Percent [2]" xfId="556" xr:uid="{00000000-0005-0000-0000-00002C020000}"/>
    <cellStyle name="Percent [2] 2" xfId="1021" xr:uid="{66DB5200-647D-4B95-9E92-D5A1B56BACD5}"/>
    <cellStyle name="Percent 2" xfId="557" xr:uid="{00000000-0005-0000-0000-00002D020000}"/>
    <cellStyle name="Percent 2 2" xfId="1022" xr:uid="{F60AC665-6131-4BF8-9510-DB6CFA34F81F}"/>
    <cellStyle name="Percent Comma" xfId="558" xr:uid="{00000000-0005-0000-0000-00002E020000}"/>
    <cellStyle name="Percent Comma 2" xfId="1023" xr:uid="{A3C12EDD-CFC0-4CB8-ACFE-933014D83167}"/>
    <cellStyle name="Percent1" xfId="559" xr:uid="{00000000-0005-0000-0000-00002F020000}"/>
    <cellStyle name="Percent10" xfId="560" xr:uid="{00000000-0005-0000-0000-000030020000}"/>
    <cellStyle name="Percent100" xfId="561" xr:uid="{00000000-0005-0000-0000-000031020000}"/>
    <cellStyle name="Percent101" xfId="562" xr:uid="{00000000-0005-0000-0000-000032020000}"/>
    <cellStyle name="Percent102" xfId="563" xr:uid="{00000000-0005-0000-0000-000033020000}"/>
    <cellStyle name="Percent103" xfId="564" xr:uid="{00000000-0005-0000-0000-000034020000}"/>
    <cellStyle name="Percent104" xfId="565" xr:uid="{00000000-0005-0000-0000-000035020000}"/>
    <cellStyle name="Percent105" xfId="566" xr:uid="{00000000-0005-0000-0000-000036020000}"/>
    <cellStyle name="Percent106" xfId="567" xr:uid="{00000000-0005-0000-0000-000037020000}"/>
    <cellStyle name="Percent107" xfId="568" xr:uid="{00000000-0005-0000-0000-000038020000}"/>
    <cellStyle name="Percent108" xfId="569" xr:uid="{00000000-0005-0000-0000-000039020000}"/>
    <cellStyle name="Percent109" xfId="570" xr:uid="{00000000-0005-0000-0000-00003A020000}"/>
    <cellStyle name="Percent11" xfId="571" xr:uid="{00000000-0005-0000-0000-00003B020000}"/>
    <cellStyle name="Percent110" xfId="572" xr:uid="{00000000-0005-0000-0000-00003C020000}"/>
    <cellStyle name="Percent111" xfId="573" xr:uid="{00000000-0005-0000-0000-00003D020000}"/>
    <cellStyle name="Percent112" xfId="574" xr:uid="{00000000-0005-0000-0000-00003E020000}"/>
    <cellStyle name="Percent113" xfId="575" xr:uid="{00000000-0005-0000-0000-00003F020000}"/>
    <cellStyle name="Percent114" xfId="576" xr:uid="{00000000-0005-0000-0000-000040020000}"/>
    <cellStyle name="Percent115" xfId="577" xr:uid="{00000000-0005-0000-0000-000041020000}"/>
    <cellStyle name="Percent116" xfId="578" xr:uid="{00000000-0005-0000-0000-000042020000}"/>
    <cellStyle name="Percent117" xfId="579" xr:uid="{00000000-0005-0000-0000-000043020000}"/>
    <cellStyle name="Percent118" xfId="580" xr:uid="{00000000-0005-0000-0000-000044020000}"/>
    <cellStyle name="Percent119" xfId="581" xr:uid="{00000000-0005-0000-0000-000045020000}"/>
    <cellStyle name="Percent12" xfId="582" xr:uid="{00000000-0005-0000-0000-000046020000}"/>
    <cellStyle name="Percent120" xfId="583" xr:uid="{00000000-0005-0000-0000-000047020000}"/>
    <cellStyle name="Percent121" xfId="584" xr:uid="{00000000-0005-0000-0000-000048020000}"/>
    <cellStyle name="Percent122" xfId="585" xr:uid="{00000000-0005-0000-0000-000049020000}"/>
    <cellStyle name="Percent123" xfId="586" xr:uid="{00000000-0005-0000-0000-00004A020000}"/>
    <cellStyle name="Percent124" xfId="587" xr:uid="{00000000-0005-0000-0000-00004B020000}"/>
    <cellStyle name="Percent125" xfId="588" xr:uid="{00000000-0005-0000-0000-00004C020000}"/>
    <cellStyle name="Percent126" xfId="589" xr:uid="{00000000-0005-0000-0000-00004D020000}"/>
    <cellStyle name="Percent127" xfId="590" xr:uid="{00000000-0005-0000-0000-00004E020000}"/>
    <cellStyle name="Percent128" xfId="591" xr:uid="{00000000-0005-0000-0000-00004F020000}"/>
    <cellStyle name="Percent129" xfId="592" xr:uid="{00000000-0005-0000-0000-000050020000}"/>
    <cellStyle name="Percent13" xfId="593" xr:uid="{00000000-0005-0000-0000-000051020000}"/>
    <cellStyle name="Percent130" xfId="594" xr:uid="{00000000-0005-0000-0000-000052020000}"/>
    <cellStyle name="Percent131" xfId="595" xr:uid="{00000000-0005-0000-0000-000053020000}"/>
    <cellStyle name="Percent132" xfId="596" xr:uid="{00000000-0005-0000-0000-000054020000}"/>
    <cellStyle name="Percent133" xfId="597" xr:uid="{00000000-0005-0000-0000-000055020000}"/>
    <cellStyle name="Percent134" xfId="598" xr:uid="{00000000-0005-0000-0000-000056020000}"/>
    <cellStyle name="Percent135" xfId="599" xr:uid="{00000000-0005-0000-0000-000057020000}"/>
    <cellStyle name="Percent136" xfId="600" xr:uid="{00000000-0005-0000-0000-000058020000}"/>
    <cellStyle name="Percent137" xfId="601" xr:uid="{00000000-0005-0000-0000-000059020000}"/>
    <cellStyle name="Percent138" xfId="602" xr:uid="{00000000-0005-0000-0000-00005A020000}"/>
    <cellStyle name="Percent139" xfId="603" xr:uid="{00000000-0005-0000-0000-00005B020000}"/>
    <cellStyle name="Percent14" xfId="604" xr:uid="{00000000-0005-0000-0000-00005C020000}"/>
    <cellStyle name="Percent140" xfId="605" xr:uid="{00000000-0005-0000-0000-00005D020000}"/>
    <cellStyle name="Percent141" xfId="606" xr:uid="{00000000-0005-0000-0000-00005E020000}"/>
    <cellStyle name="Percent142" xfId="607" xr:uid="{00000000-0005-0000-0000-00005F020000}"/>
    <cellStyle name="Percent143" xfId="608" xr:uid="{00000000-0005-0000-0000-000060020000}"/>
    <cellStyle name="Percent144" xfId="609" xr:uid="{00000000-0005-0000-0000-000061020000}"/>
    <cellStyle name="Percent145" xfId="610" xr:uid="{00000000-0005-0000-0000-000062020000}"/>
    <cellStyle name="Percent146" xfId="611" xr:uid="{00000000-0005-0000-0000-000063020000}"/>
    <cellStyle name="Percent147" xfId="612" xr:uid="{00000000-0005-0000-0000-000064020000}"/>
    <cellStyle name="Percent148" xfId="613" xr:uid="{00000000-0005-0000-0000-000065020000}"/>
    <cellStyle name="Percent149" xfId="614" xr:uid="{00000000-0005-0000-0000-000066020000}"/>
    <cellStyle name="Percent15" xfId="615" xr:uid="{00000000-0005-0000-0000-000067020000}"/>
    <cellStyle name="Percent150" xfId="616" xr:uid="{00000000-0005-0000-0000-000068020000}"/>
    <cellStyle name="Percent151" xfId="617" xr:uid="{00000000-0005-0000-0000-000069020000}"/>
    <cellStyle name="Percent152" xfId="618" xr:uid="{00000000-0005-0000-0000-00006A020000}"/>
    <cellStyle name="Percent153" xfId="619" xr:uid="{00000000-0005-0000-0000-00006B020000}"/>
    <cellStyle name="Percent154" xfId="620" xr:uid="{00000000-0005-0000-0000-00006C020000}"/>
    <cellStyle name="Percent155" xfId="621" xr:uid="{00000000-0005-0000-0000-00006D020000}"/>
    <cellStyle name="Percent156" xfId="622" xr:uid="{00000000-0005-0000-0000-00006E020000}"/>
    <cellStyle name="Percent157" xfId="623" xr:uid="{00000000-0005-0000-0000-00006F020000}"/>
    <cellStyle name="Percent158" xfId="624" xr:uid="{00000000-0005-0000-0000-000070020000}"/>
    <cellStyle name="Percent159" xfId="625" xr:uid="{00000000-0005-0000-0000-000071020000}"/>
    <cellStyle name="Percent16" xfId="626" xr:uid="{00000000-0005-0000-0000-000072020000}"/>
    <cellStyle name="Percent160" xfId="627" xr:uid="{00000000-0005-0000-0000-000073020000}"/>
    <cellStyle name="Percent161" xfId="628" xr:uid="{00000000-0005-0000-0000-000074020000}"/>
    <cellStyle name="Percent162" xfId="629" xr:uid="{00000000-0005-0000-0000-000075020000}"/>
    <cellStyle name="Percent163" xfId="630" xr:uid="{00000000-0005-0000-0000-000076020000}"/>
    <cellStyle name="Percent164" xfId="631" xr:uid="{00000000-0005-0000-0000-000077020000}"/>
    <cellStyle name="Percent165" xfId="632" xr:uid="{00000000-0005-0000-0000-000078020000}"/>
    <cellStyle name="Percent166" xfId="633" xr:uid="{00000000-0005-0000-0000-000079020000}"/>
    <cellStyle name="Percent167" xfId="634" xr:uid="{00000000-0005-0000-0000-00007A020000}"/>
    <cellStyle name="Percent168" xfId="635" xr:uid="{00000000-0005-0000-0000-00007B020000}"/>
    <cellStyle name="Percent169" xfId="636" xr:uid="{00000000-0005-0000-0000-00007C020000}"/>
    <cellStyle name="Percent17" xfId="637" xr:uid="{00000000-0005-0000-0000-00007D020000}"/>
    <cellStyle name="Percent170" xfId="638" xr:uid="{00000000-0005-0000-0000-00007E020000}"/>
    <cellStyle name="Percent171" xfId="639" xr:uid="{00000000-0005-0000-0000-00007F020000}"/>
    <cellStyle name="Percent172" xfId="640" xr:uid="{00000000-0005-0000-0000-000080020000}"/>
    <cellStyle name="Percent173" xfId="641" xr:uid="{00000000-0005-0000-0000-000081020000}"/>
    <cellStyle name="Percent174" xfId="642" xr:uid="{00000000-0005-0000-0000-000082020000}"/>
    <cellStyle name="Percent175" xfId="643" xr:uid="{00000000-0005-0000-0000-000083020000}"/>
    <cellStyle name="Percent176" xfId="644" xr:uid="{00000000-0005-0000-0000-000084020000}"/>
    <cellStyle name="Percent177" xfId="645" xr:uid="{00000000-0005-0000-0000-000085020000}"/>
    <cellStyle name="Percent178" xfId="646" xr:uid="{00000000-0005-0000-0000-000086020000}"/>
    <cellStyle name="Percent179" xfId="647" xr:uid="{00000000-0005-0000-0000-000087020000}"/>
    <cellStyle name="Percent18" xfId="648" xr:uid="{00000000-0005-0000-0000-000088020000}"/>
    <cellStyle name="Percent180" xfId="649" xr:uid="{00000000-0005-0000-0000-000089020000}"/>
    <cellStyle name="Percent181" xfId="650" xr:uid="{00000000-0005-0000-0000-00008A020000}"/>
    <cellStyle name="Percent182" xfId="651" xr:uid="{00000000-0005-0000-0000-00008B020000}"/>
    <cellStyle name="Percent183" xfId="652" xr:uid="{00000000-0005-0000-0000-00008C020000}"/>
    <cellStyle name="Percent184" xfId="653" xr:uid="{00000000-0005-0000-0000-00008D020000}"/>
    <cellStyle name="Percent185" xfId="654" xr:uid="{00000000-0005-0000-0000-00008E020000}"/>
    <cellStyle name="Percent186" xfId="655" xr:uid="{00000000-0005-0000-0000-00008F020000}"/>
    <cellStyle name="Percent187" xfId="656" xr:uid="{00000000-0005-0000-0000-000090020000}"/>
    <cellStyle name="Percent188" xfId="657" xr:uid="{00000000-0005-0000-0000-000091020000}"/>
    <cellStyle name="Percent189" xfId="658" xr:uid="{00000000-0005-0000-0000-000092020000}"/>
    <cellStyle name="Percent19" xfId="659" xr:uid="{00000000-0005-0000-0000-000093020000}"/>
    <cellStyle name="Percent190" xfId="660" xr:uid="{00000000-0005-0000-0000-000094020000}"/>
    <cellStyle name="Percent191" xfId="661" xr:uid="{00000000-0005-0000-0000-000095020000}"/>
    <cellStyle name="Percent192" xfId="662" xr:uid="{00000000-0005-0000-0000-000096020000}"/>
    <cellStyle name="Percent193" xfId="663" xr:uid="{00000000-0005-0000-0000-000097020000}"/>
    <cellStyle name="Percent194" xfId="664" xr:uid="{00000000-0005-0000-0000-000098020000}"/>
    <cellStyle name="Percent195" xfId="665" xr:uid="{00000000-0005-0000-0000-000099020000}"/>
    <cellStyle name="Percent196" xfId="666" xr:uid="{00000000-0005-0000-0000-00009A020000}"/>
    <cellStyle name="Percent197" xfId="667" xr:uid="{00000000-0005-0000-0000-00009B020000}"/>
    <cellStyle name="Percent198" xfId="668" xr:uid="{00000000-0005-0000-0000-00009C020000}"/>
    <cellStyle name="Percent199" xfId="669" xr:uid="{00000000-0005-0000-0000-00009D020000}"/>
    <cellStyle name="Percent1Bold" xfId="670" xr:uid="{00000000-0005-0000-0000-00009E020000}"/>
    <cellStyle name="Percent2" xfId="671" xr:uid="{00000000-0005-0000-0000-00009F020000}"/>
    <cellStyle name="Percent20" xfId="672" xr:uid="{00000000-0005-0000-0000-0000A0020000}"/>
    <cellStyle name="Percent200" xfId="673" xr:uid="{00000000-0005-0000-0000-0000A1020000}"/>
    <cellStyle name="Percent201" xfId="674" xr:uid="{00000000-0005-0000-0000-0000A2020000}"/>
    <cellStyle name="Percent202" xfId="675" xr:uid="{00000000-0005-0000-0000-0000A3020000}"/>
    <cellStyle name="Percent203" xfId="676" xr:uid="{00000000-0005-0000-0000-0000A4020000}"/>
    <cellStyle name="Percent204" xfId="677" xr:uid="{00000000-0005-0000-0000-0000A5020000}"/>
    <cellStyle name="Percent205" xfId="678" xr:uid="{00000000-0005-0000-0000-0000A6020000}"/>
    <cellStyle name="Percent206" xfId="679" xr:uid="{00000000-0005-0000-0000-0000A7020000}"/>
    <cellStyle name="Percent207" xfId="680" xr:uid="{00000000-0005-0000-0000-0000A8020000}"/>
    <cellStyle name="Percent208" xfId="681" xr:uid="{00000000-0005-0000-0000-0000A9020000}"/>
    <cellStyle name="Percent209" xfId="682" xr:uid="{00000000-0005-0000-0000-0000AA020000}"/>
    <cellStyle name="Percent21" xfId="683" xr:uid="{00000000-0005-0000-0000-0000AB020000}"/>
    <cellStyle name="Percent210" xfId="684" xr:uid="{00000000-0005-0000-0000-0000AC020000}"/>
    <cellStyle name="Percent211" xfId="685" xr:uid="{00000000-0005-0000-0000-0000AD020000}"/>
    <cellStyle name="Percent212" xfId="686" xr:uid="{00000000-0005-0000-0000-0000AE020000}"/>
    <cellStyle name="Percent213" xfId="687" xr:uid="{00000000-0005-0000-0000-0000AF020000}"/>
    <cellStyle name="Percent214" xfId="688" xr:uid="{00000000-0005-0000-0000-0000B0020000}"/>
    <cellStyle name="Percent215" xfId="689" xr:uid="{00000000-0005-0000-0000-0000B1020000}"/>
    <cellStyle name="Percent216" xfId="690" xr:uid="{00000000-0005-0000-0000-0000B2020000}"/>
    <cellStyle name="Percent217" xfId="691" xr:uid="{00000000-0005-0000-0000-0000B3020000}"/>
    <cellStyle name="Percent218" xfId="692" xr:uid="{00000000-0005-0000-0000-0000B4020000}"/>
    <cellStyle name="Percent219" xfId="693" xr:uid="{00000000-0005-0000-0000-0000B5020000}"/>
    <cellStyle name="Percent22" xfId="694" xr:uid="{00000000-0005-0000-0000-0000B6020000}"/>
    <cellStyle name="Percent220" xfId="695" xr:uid="{00000000-0005-0000-0000-0000B7020000}"/>
    <cellStyle name="Percent221" xfId="696" xr:uid="{00000000-0005-0000-0000-0000B8020000}"/>
    <cellStyle name="Percent222" xfId="697" xr:uid="{00000000-0005-0000-0000-0000B9020000}"/>
    <cellStyle name="Percent223" xfId="698" xr:uid="{00000000-0005-0000-0000-0000BA020000}"/>
    <cellStyle name="Percent224" xfId="699" xr:uid="{00000000-0005-0000-0000-0000BB020000}"/>
    <cellStyle name="Percent225" xfId="700" xr:uid="{00000000-0005-0000-0000-0000BC020000}"/>
    <cellStyle name="Percent226" xfId="701" xr:uid="{00000000-0005-0000-0000-0000BD020000}"/>
    <cellStyle name="Percent227" xfId="702" xr:uid="{00000000-0005-0000-0000-0000BE020000}"/>
    <cellStyle name="Percent228" xfId="703" xr:uid="{00000000-0005-0000-0000-0000BF020000}"/>
    <cellStyle name="Percent229" xfId="704" xr:uid="{00000000-0005-0000-0000-0000C0020000}"/>
    <cellStyle name="Percent23" xfId="705" xr:uid="{00000000-0005-0000-0000-0000C1020000}"/>
    <cellStyle name="Percent230" xfId="706" xr:uid="{00000000-0005-0000-0000-0000C2020000}"/>
    <cellStyle name="Percent231" xfId="707" xr:uid="{00000000-0005-0000-0000-0000C3020000}"/>
    <cellStyle name="Percent232" xfId="708" xr:uid="{00000000-0005-0000-0000-0000C4020000}"/>
    <cellStyle name="Percent233" xfId="709" xr:uid="{00000000-0005-0000-0000-0000C5020000}"/>
    <cellStyle name="Percent234" xfId="710" xr:uid="{00000000-0005-0000-0000-0000C6020000}"/>
    <cellStyle name="Percent235" xfId="711" xr:uid="{00000000-0005-0000-0000-0000C7020000}"/>
    <cellStyle name="Percent236" xfId="712" xr:uid="{00000000-0005-0000-0000-0000C8020000}"/>
    <cellStyle name="Percent24" xfId="713" xr:uid="{00000000-0005-0000-0000-0000C9020000}"/>
    <cellStyle name="Percent25" xfId="714" xr:uid="{00000000-0005-0000-0000-0000CA020000}"/>
    <cellStyle name="Percent26" xfId="715" xr:uid="{00000000-0005-0000-0000-0000CB020000}"/>
    <cellStyle name="Percent27" xfId="716" xr:uid="{00000000-0005-0000-0000-0000CC020000}"/>
    <cellStyle name="Percent28" xfId="717" xr:uid="{00000000-0005-0000-0000-0000CD020000}"/>
    <cellStyle name="Percent29" xfId="718" xr:uid="{00000000-0005-0000-0000-0000CE020000}"/>
    <cellStyle name="Percent3" xfId="719" xr:uid="{00000000-0005-0000-0000-0000CF020000}"/>
    <cellStyle name="Percent30" xfId="720" xr:uid="{00000000-0005-0000-0000-0000D0020000}"/>
    <cellStyle name="Percent31" xfId="721" xr:uid="{00000000-0005-0000-0000-0000D1020000}"/>
    <cellStyle name="Percent32" xfId="722" xr:uid="{00000000-0005-0000-0000-0000D2020000}"/>
    <cellStyle name="Percent33" xfId="723" xr:uid="{00000000-0005-0000-0000-0000D3020000}"/>
    <cellStyle name="Percent34" xfId="724" xr:uid="{00000000-0005-0000-0000-0000D4020000}"/>
    <cellStyle name="Percent35" xfId="725" xr:uid="{00000000-0005-0000-0000-0000D5020000}"/>
    <cellStyle name="Percent36" xfId="726" xr:uid="{00000000-0005-0000-0000-0000D6020000}"/>
    <cellStyle name="Percent37" xfId="727" xr:uid="{00000000-0005-0000-0000-0000D7020000}"/>
    <cellStyle name="Percent38" xfId="728" xr:uid="{00000000-0005-0000-0000-0000D8020000}"/>
    <cellStyle name="Percent39" xfId="729" xr:uid="{00000000-0005-0000-0000-0000D9020000}"/>
    <cellStyle name="Percent4" xfId="730" xr:uid="{00000000-0005-0000-0000-0000DA020000}"/>
    <cellStyle name="Percent40" xfId="731" xr:uid="{00000000-0005-0000-0000-0000DB020000}"/>
    <cellStyle name="Percent41" xfId="732" xr:uid="{00000000-0005-0000-0000-0000DC020000}"/>
    <cellStyle name="Percent42" xfId="733" xr:uid="{00000000-0005-0000-0000-0000DD020000}"/>
    <cellStyle name="Percent43" xfId="734" xr:uid="{00000000-0005-0000-0000-0000DE020000}"/>
    <cellStyle name="Percent44" xfId="735" xr:uid="{00000000-0005-0000-0000-0000DF020000}"/>
    <cellStyle name="Percent45" xfId="736" xr:uid="{00000000-0005-0000-0000-0000E0020000}"/>
    <cellStyle name="Percent46" xfId="737" xr:uid="{00000000-0005-0000-0000-0000E1020000}"/>
    <cellStyle name="Percent47" xfId="738" xr:uid="{00000000-0005-0000-0000-0000E2020000}"/>
    <cellStyle name="Percent48" xfId="739" xr:uid="{00000000-0005-0000-0000-0000E3020000}"/>
    <cellStyle name="Percent49" xfId="740" xr:uid="{00000000-0005-0000-0000-0000E4020000}"/>
    <cellStyle name="Percent5" xfId="741" xr:uid="{00000000-0005-0000-0000-0000E5020000}"/>
    <cellStyle name="Percent50" xfId="742" xr:uid="{00000000-0005-0000-0000-0000E6020000}"/>
    <cellStyle name="Percent51" xfId="743" xr:uid="{00000000-0005-0000-0000-0000E7020000}"/>
    <cellStyle name="Percent52" xfId="744" xr:uid="{00000000-0005-0000-0000-0000E8020000}"/>
    <cellStyle name="Percent53" xfId="745" xr:uid="{00000000-0005-0000-0000-0000E9020000}"/>
    <cellStyle name="Percent54" xfId="746" xr:uid="{00000000-0005-0000-0000-0000EA020000}"/>
    <cellStyle name="Percent55" xfId="747" xr:uid="{00000000-0005-0000-0000-0000EB020000}"/>
    <cellStyle name="Percent56" xfId="748" xr:uid="{00000000-0005-0000-0000-0000EC020000}"/>
    <cellStyle name="Percent57" xfId="749" xr:uid="{00000000-0005-0000-0000-0000ED020000}"/>
    <cellStyle name="Percent58" xfId="750" xr:uid="{00000000-0005-0000-0000-0000EE020000}"/>
    <cellStyle name="Percent59" xfId="751" xr:uid="{00000000-0005-0000-0000-0000EF020000}"/>
    <cellStyle name="Percent6" xfId="752" xr:uid="{00000000-0005-0000-0000-0000F0020000}"/>
    <cellStyle name="Percent60" xfId="753" xr:uid="{00000000-0005-0000-0000-0000F1020000}"/>
    <cellStyle name="Percent61" xfId="754" xr:uid="{00000000-0005-0000-0000-0000F2020000}"/>
    <cellStyle name="Percent62" xfId="755" xr:uid="{00000000-0005-0000-0000-0000F3020000}"/>
    <cellStyle name="Percent63" xfId="756" xr:uid="{00000000-0005-0000-0000-0000F4020000}"/>
    <cellStyle name="Percent64" xfId="757" xr:uid="{00000000-0005-0000-0000-0000F5020000}"/>
    <cellStyle name="Percent65" xfId="758" xr:uid="{00000000-0005-0000-0000-0000F6020000}"/>
    <cellStyle name="Percent66" xfId="759" xr:uid="{00000000-0005-0000-0000-0000F7020000}"/>
    <cellStyle name="Percent67" xfId="760" xr:uid="{00000000-0005-0000-0000-0000F8020000}"/>
    <cellStyle name="Percent68" xfId="761" xr:uid="{00000000-0005-0000-0000-0000F9020000}"/>
    <cellStyle name="Percent69" xfId="762" xr:uid="{00000000-0005-0000-0000-0000FA020000}"/>
    <cellStyle name="Percent7" xfId="763" xr:uid="{00000000-0005-0000-0000-0000FB020000}"/>
    <cellStyle name="Percent70" xfId="764" xr:uid="{00000000-0005-0000-0000-0000FC020000}"/>
    <cellStyle name="Percent71" xfId="765" xr:uid="{00000000-0005-0000-0000-0000FD020000}"/>
    <cellStyle name="Percent72" xfId="766" xr:uid="{00000000-0005-0000-0000-0000FE020000}"/>
    <cellStyle name="Percent73" xfId="767" xr:uid="{00000000-0005-0000-0000-0000FF020000}"/>
    <cellStyle name="Percent74" xfId="768" xr:uid="{00000000-0005-0000-0000-000000030000}"/>
    <cellStyle name="Percent75" xfId="769" xr:uid="{00000000-0005-0000-0000-000001030000}"/>
    <cellStyle name="Percent76" xfId="770" xr:uid="{00000000-0005-0000-0000-000002030000}"/>
    <cellStyle name="Percent77" xfId="771" xr:uid="{00000000-0005-0000-0000-000003030000}"/>
    <cellStyle name="Percent78" xfId="772" xr:uid="{00000000-0005-0000-0000-000004030000}"/>
    <cellStyle name="Percent79" xfId="773" xr:uid="{00000000-0005-0000-0000-000005030000}"/>
    <cellStyle name="Percent8" xfId="774" xr:uid="{00000000-0005-0000-0000-000006030000}"/>
    <cellStyle name="Percent80" xfId="775" xr:uid="{00000000-0005-0000-0000-000007030000}"/>
    <cellStyle name="Percent81" xfId="776" xr:uid="{00000000-0005-0000-0000-000008030000}"/>
    <cellStyle name="Percent82" xfId="777" xr:uid="{00000000-0005-0000-0000-000009030000}"/>
    <cellStyle name="Percent83" xfId="778" xr:uid="{00000000-0005-0000-0000-00000A030000}"/>
    <cellStyle name="Percent84" xfId="779" xr:uid="{00000000-0005-0000-0000-00000B030000}"/>
    <cellStyle name="Percent85" xfId="780" xr:uid="{00000000-0005-0000-0000-00000C030000}"/>
    <cellStyle name="Percent86" xfId="781" xr:uid="{00000000-0005-0000-0000-00000D030000}"/>
    <cellStyle name="Percent87" xfId="782" xr:uid="{00000000-0005-0000-0000-00000E030000}"/>
    <cellStyle name="Percent88" xfId="783" xr:uid="{00000000-0005-0000-0000-00000F030000}"/>
    <cellStyle name="Percent89" xfId="784" xr:uid="{00000000-0005-0000-0000-000010030000}"/>
    <cellStyle name="Percent9" xfId="785" xr:uid="{00000000-0005-0000-0000-000011030000}"/>
    <cellStyle name="Percent90" xfId="786" xr:uid="{00000000-0005-0000-0000-000012030000}"/>
    <cellStyle name="Percent91" xfId="787" xr:uid="{00000000-0005-0000-0000-000013030000}"/>
    <cellStyle name="Percent92" xfId="788" xr:uid="{00000000-0005-0000-0000-000014030000}"/>
    <cellStyle name="Percent93" xfId="789" xr:uid="{00000000-0005-0000-0000-000015030000}"/>
    <cellStyle name="Percent94" xfId="790" xr:uid="{00000000-0005-0000-0000-000016030000}"/>
    <cellStyle name="Percent95" xfId="791" xr:uid="{00000000-0005-0000-0000-000017030000}"/>
    <cellStyle name="Percent96" xfId="792" xr:uid="{00000000-0005-0000-0000-000018030000}"/>
    <cellStyle name="Percent97" xfId="793" xr:uid="{00000000-0005-0000-0000-000019030000}"/>
    <cellStyle name="Percent98" xfId="794" xr:uid="{00000000-0005-0000-0000-00001A030000}"/>
    <cellStyle name="Percent99" xfId="795" xr:uid="{00000000-0005-0000-0000-00001B030000}"/>
    <cellStyle name="Percentage" xfId="796" xr:uid="{00000000-0005-0000-0000-00001C030000}"/>
    <cellStyle name="PercentStyle" xfId="797" xr:uid="{00000000-0005-0000-0000-00001D030000}"/>
    <cellStyle name="PercentStyle 2" xfId="1024" xr:uid="{10A5A7F8-09A9-4D9D-A1EC-55533D644F70}"/>
    <cellStyle name="PrePop Currency (0)" xfId="798" xr:uid="{00000000-0005-0000-0000-00001E030000}"/>
    <cellStyle name="PrePop Currency (2)" xfId="799" xr:uid="{00000000-0005-0000-0000-00001F030000}"/>
    <cellStyle name="PrePop Units (0)" xfId="800" xr:uid="{00000000-0005-0000-0000-000020030000}"/>
    <cellStyle name="PrePop Units (1)" xfId="801" xr:uid="{00000000-0005-0000-0000-000021030000}"/>
    <cellStyle name="PrePop Units (2)" xfId="802" xr:uid="{00000000-0005-0000-0000-000022030000}"/>
    <cellStyle name="Price" xfId="803" xr:uid="{00000000-0005-0000-0000-000023030000}"/>
    <cellStyle name="Price 2" xfId="1025" xr:uid="{24C8AE1B-8CFB-471F-84BB-B9D26FA37BD7}"/>
    <cellStyle name="Product Header" xfId="804" xr:uid="{00000000-0005-0000-0000-000024030000}"/>
    <cellStyle name="PSChar" xfId="805" xr:uid="{00000000-0005-0000-0000-000025030000}"/>
    <cellStyle name="PSDate" xfId="806" xr:uid="{00000000-0005-0000-0000-000026030000}"/>
    <cellStyle name="PSDec" xfId="807" xr:uid="{00000000-0005-0000-0000-000027030000}"/>
    <cellStyle name="PSHeading" xfId="808" xr:uid="{00000000-0005-0000-0000-000028030000}"/>
    <cellStyle name="PSInt" xfId="809" xr:uid="{00000000-0005-0000-0000-000029030000}"/>
    <cellStyle name="PSSpacer" xfId="810" xr:uid="{00000000-0005-0000-0000-00002A030000}"/>
    <cellStyle name="r" xfId="811" xr:uid="{00000000-0005-0000-0000-00002B030000}"/>
    <cellStyle name="r_F&amp;W Servicing Model" xfId="812" xr:uid="{00000000-0005-0000-0000-00002C030000}"/>
    <cellStyle name="r_F&amp;W Servicing Model v2" xfId="813" xr:uid="{00000000-0005-0000-0000-00002D030000}"/>
    <cellStyle name="r_Yell Servicing Model" xfId="814" xr:uid="{00000000-0005-0000-0000-00002E030000}"/>
    <cellStyle name="rate" xfId="815" xr:uid="{00000000-0005-0000-0000-00002F030000}"/>
    <cellStyle name="Ratio" xfId="816" xr:uid="{00000000-0005-0000-0000-000030030000}"/>
    <cellStyle name="Ratio 2" xfId="1026" xr:uid="{C44C3584-4F6B-4E24-9225-6E6734F22121}"/>
    <cellStyle name="Ratio Comma" xfId="817" xr:uid="{00000000-0005-0000-0000-000031030000}"/>
    <cellStyle name="Ratio Comma 2" xfId="1027" xr:uid="{8E44942E-EFF8-4B56-A07A-04BC583869DA}"/>
    <cellStyle name="Ratio_Private" xfId="818" xr:uid="{00000000-0005-0000-0000-000032030000}"/>
    <cellStyle name="regstoresfromspecstores" xfId="819" xr:uid="{00000000-0005-0000-0000-000033030000}"/>
    <cellStyle name="RevList" xfId="820" xr:uid="{00000000-0005-0000-0000-000034030000}"/>
    <cellStyle name="Right" xfId="821" xr:uid="{00000000-0005-0000-0000-000035030000}"/>
    <cellStyle name="RightBold" xfId="822" xr:uid="{00000000-0005-0000-0000-000036030000}"/>
    <cellStyle name="RightBoldBottomRule" xfId="823" xr:uid="{00000000-0005-0000-0000-000037030000}"/>
    <cellStyle name="RightBoldCenterRule" xfId="824" xr:uid="{00000000-0005-0000-0000-000038030000}"/>
    <cellStyle name="Section" xfId="825" xr:uid="{00000000-0005-0000-0000-000039030000}"/>
    <cellStyle name="SectionHeaderNormal" xfId="826" xr:uid="{00000000-0005-0000-0000-00003A030000}"/>
    <cellStyle name="Separador de milhares 10" xfId="827" xr:uid="{00000000-0005-0000-0000-00003B030000}"/>
    <cellStyle name="Separador de milhares 10 2" xfId="1028" xr:uid="{8243B9E2-FDBB-4B0E-92E0-BB042515F86C}"/>
    <cellStyle name="SHADEDSTORES" xfId="828" xr:uid="{00000000-0005-0000-0000-00003C030000}"/>
    <cellStyle name="Short $" xfId="829" xr:uid="{00000000-0005-0000-0000-00003D030000}"/>
    <cellStyle name="ShOut" xfId="830" xr:uid="{00000000-0005-0000-0000-00003E030000}"/>
    <cellStyle name="ShOut 2" xfId="1029" xr:uid="{CA9A166A-14DB-440D-8F54-4137B2810373}"/>
    <cellStyle name="Simple" xfId="831" xr:uid="{00000000-0005-0000-0000-00003F030000}"/>
    <cellStyle name="SimpleBold" xfId="832" xr:uid="{00000000-0005-0000-0000-000040030000}"/>
    <cellStyle name="Single Accounting" xfId="833" xr:uid="{00000000-0005-0000-0000-000041030000}"/>
    <cellStyle name="specstores" xfId="834" xr:uid="{00000000-0005-0000-0000-000042030000}"/>
    <cellStyle name="Stock Comma" xfId="835" xr:uid="{00000000-0005-0000-0000-000043030000}"/>
    <cellStyle name="Stock Comma 2" xfId="1030" xr:uid="{A7797A2F-882F-4233-806D-1EE20EA49CF3}"/>
    <cellStyle name="Stock Price" xfId="836" xr:uid="{00000000-0005-0000-0000-000044030000}"/>
    <cellStyle name="Stock Price 2" xfId="1031" xr:uid="{84251FBF-F852-4EF1-9F2B-991180997477}"/>
    <cellStyle name="Style 1" xfId="837" xr:uid="{00000000-0005-0000-0000-000045030000}"/>
    <cellStyle name="Style 21" xfId="838" xr:uid="{00000000-0005-0000-0000-000046030000}"/>
    <cellStyle name="Style 22" xfId="839" xr:uid="{00000000-0005-0000-0000-000047030000}"/>
    <cellStyle name="Style 23" xfId="840" xr:uid="{00000000-0005-0000-0000-000048030000}"/>
    <cellStyle name="Style 24" xfId="841" xr:uid="{00000000-0005-0000-0000-000049030000}"/>
    <cellStyle name="Style 25" xfId="842" xr:uid="{00000000-0005-0000-0000-00004A030000}"/>
    <cellStyle name="Style 26" xfId="843" xr:uid="{00000000-0005-0000-0000-00004B030000}"/>
    <cellStyle name="Style 27" xfId="844" xr:uid="{00000000-0005-0000-0000-00004C030000}"/>
    <cellStyle name="Style 28" xfId="845" xr:uid="{00000000-0005-0000-0000-00004D030000}"/>
    <cellStyle name="Style 29" xfId="846" xr:uid="{00000000-0005-0000-0000-00004E030000}"/>
    <cellStyle name="Style 30" xfId="847" xr:uid="{00000000-0005-0000-0000-00004F030000}"/>
    <cellStyle name="Style 31" xfId="848" xr:uid="{00000000-0005-0000-0000-000050030000}"/>
    <cellStyle name="Style 32" xfId="849" xr:uid="{00000000-0005-0000-0000-000051030000}"/>
    <cellStyle name="Style 33" xfId="850" xr:uid="{00000000-0005-0000-0000-000052030000}"/>
    <cellStyle name="Style 34" xfId="851" xr:uid="{00000000-0005-0000-0000-000053030000}"/>
    <cellStyle name="Style 35" xfId="852" xr:uid="{00000000-0005-0000-0000-000054030000}"/>
    <cellStyle name="Style 36" xfId="853" xr:uid="{00000000-0005-0000-0000-000055030000}"/>
    <cellStyle name="Style 37" xfId="854" xr:uid="{00000000-0005-0000-0000-000056030000}"/>
    <cellStyle name="Style 38" xfId="855" xr:uid="{00000000-0005-0000-0000-000057030000}"/>
    <cellStyle name="Style 39" xfId="856" xr:uid="{00000000-0005-0000-0000-000058030000}"/>
    <cellStyle name="Style 40" xfId="857" xr:uid="{00000000-0005-0000-0000-000059030000}"/>
    <cellStyle name="Style 41" xfId="858" xr:uid="{00000000-0005-0000-0000-00005A030000}"/>
    <cellStyle name="Style 42" xfId="859" xr:uid="{00000000-0005-0000-0000-00005B030000}"/>
    <cellStyle name="Style 43" xfId="860" xr:uid="{00000000-0005-0000-0000-00005C030000}"/>
    <cellStyle name="Style 44" xfId="861" xr:uid="{00000000-0005-0000-0000-00005D030000}"/>
    <cellStyle name="Style 45" xfId="862" xr:uid="{00000000-0005-0000-0000-00005E030000}"/>
    <cellStyle name="Style 46" xfId="863" xr:uid="{00000000-0005-0000-0000-00005F030000}"/>
    <cellStyle name="Style 47" xfId="864" xr:uid="{00000000-0005-0000-0000-000060030000}"/>
    <cellStyle name="Style 48" xfId="865" xr:uid="{00000000-0005-0000-0000-000061030000}"/>
    <cellStyle name="STYLE1" xfId="866" xr:uid="{00000000-0005-0000-0000-000062030000}"/>
    <cellStyle name="SubScript" xfId="867" xr:uid="{00000000-0005-0000-0000-000063030000}"/>
    <cellStyle name="Subtotal" xfId="868" xr:uid="{00000000-0005-0000-0000-000064030000}"/>
    <cellStyle name="Sum" xfId="869" xr:uid="{00000000-0005-0000-0000-000065030000}"/>
    <cellStyle name="SuperScript" xfId="870" xr:uid="{00000000-0005-0000-0000-000066030000}"/>
    <cellStyle name="Table_Title" xfId="871" xr:uid="{00000000-0005-0000-0000-000067030000}"/>
    <cellStyle name="Test" xfId="872" xr:uid="{00000000-0005-0000-0000-000068030000}"/>
    <cellStyle name="Text Indent A" xfId="873" xr:uid="{00000000-0005-0000-0000-000069030000}"/>
    <cellStyle name="Text Indent B" xfId="874" xr:uid="{00000000-0005-0000-0000-00006A030000}"/>
    <cellStyle name="Text Indent C" xfId="875" xr:uid="{00000000-0005-0000-0000-00006B030000}"/>
    <cellStyle name="Text Indent C 2" xfId="1032" xr:uid="{4EABA22C-2EB9-481C-9A19-0905CA771744}"/>
    <cellStyle name="TextBold" xfId="876" xr:uid="{00000000-0005-0000-0000-00006C030000}"/>
    <cellStyle name="TextItalic" xfId="877" xr:uid="{00000000-0005-0000-0000-00006D030000}"/>
    <cellStyle name="TextNormal" xfId="878" xr:uid="{00000000-0005-0000-0000-00006E030000}"/>
    <cellStyle name="Time" xfId="879" xr:uid="{00000000-0005-0000-0000-00006F030000}"/>
    <cellStyle name="Times 10" xfId="880" xr:uid="{00000000-0005-0000-0000-000070030000}"/>
    <cellStyle name="Times 12" xfId="881" xr:uid="{00000000-0005-0000-0000-000071030000}"/>
    <cellStyle name="Title - PROJECT" xfId="882" xr:uid="{00000000-0005-0000-0000-000072030000}"/>
    <cellStyle name="Title - PROJECT 2" xfId="1033" xr:uid="{5D93F670-6875-4F13-929D-9452EA26FF31}"/>
    <cellStyle name="Title - Underline" xfId="883" xr:uid="{00000000-0005-0000-0000-000073030000}"/>
    <cellStyle name="Title - Underline 2" xfId="1034" xr:uid="{308664AB-B1B0-4056-AFE4-05E8081AAAFF}"/>
    <cellStyle name="Title1" xfId="884" xr:uid="{00000000-0005-0000-0000-000074030000}"/>
    <cellStyle name="Title2" xfId="885" xr:uid="{00000000-0005-0000-0000-000075030000}"/>
    <cellStyle name="TitleNormal" xfId="886" xr:uid="{00000000-0005-0000-0000-000076030000}"/>
    <cellStyle name="Titles - Col. Headings" xfId="887" xr:uid="{00000000-0005-0000-0000-000077030000}"/>
    <cellStyle name="Titles - Other" xfId="888" xr:uid="{00000000-0005-0000-0000-000078030000}"/>
    <cellStyle name="Titles - Other 2" xfId="1035" xr:uid="{EE5DA9D1-E76E-427F-A264-70502A9B8DD4}"/>
    <cellStyle name="Top Edge" xfId="889" xr:uid="{00000000-0005-0000-0000-000079030000}"/>
    <cellStyle name="Total" xfId="890" builtinId="25" customBuiltin="1"/>
    <cellStyle name="ubordinated Debt" xfId="891" xr:uid="{00000000-0005-0000-0000-00007B030000}"/>
    <cellStyle name="Vírgula 2" xfId="892" xr:uid="{00000000-0005-0000-0000-00007C030000}"/>
    <cellStyle name="Vírgula 2 2" xfId="1036" xr:uid="{8EEC4425-B046-4A14-90A4-623C29DF1033}"/>
    <cellStyle name="Vírgula 5" xfId="893" xr:uid="{00000000-0005-0000-0000-00007D030000}"/>
    <cellStyle name="Vírgula 5 2" xfId="1037" xr:uid="{F185B733-4FC9-41A6-BB1D-3EE43765ADE9}"/>
    <cellStyle name="wheat merger's and acquisitions" xfId="894" xr:uid="{00000000-0005-0000-0000-00007E030000}"/>
    <cellStyle name="x" xfId="895" xr:uid="{00000000-0005-0000-0000-00007F030000}"/>
    <cellStyle name="x_TSA Model - 1 8 06 - v2" xfId="896" xr:uid="{00000000-0005-0000-0000-000080030000}"/>
    <cellStyle name="Y2K Compliant Date Fmt" xfId="897" xr:uid="{00000000-0005-0000-0000-000081030000}"/>
    <cellStyle name="Years" xfId="898" xr:uid="{00000000-0005-0000-0000-000082030000}"/>
    <cellStyle name="yellow" xfId="899" xr:uid="{00000000-0005-0000-0000-000083030000}"/>
    <cellStyle name="Yen" xfId="900" xr:uid="{00000000-0005-0000-0000-000084030000}"/>
    <cellStyle name="YYYY" xfId="901" xr:uid="{00000000-0005-0000-0000-000085030000}"/>
    <cellStyle name="桁区切り [0.00]_Appendix" xfId="902" xr:uid="{00000000-0005-0000-0000-000086030000}"/>
    <cellStyle name="桁区切り_Appendix" xfId="903" xr:uid="{00000000-0005-0000-0000-000087030000}"/>
    <cellStyle name="標準_Appendix" xfId="904" xr:uid="{00000000-0005-0000-0000-000088030000}"/>
    <cellStyle name="通貨 [0.00]_Appendix" xfId="905" xr:uid="{00000000-0005-0000-0000-000089030000}"/>
    <cellStyle name="通貨_Appendix" xfId="906" xr:uid="{00000000-0005-0000-0000-00008A03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EAEAEA"/>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externalLink" Target="externalLinks/externalLink10.xml"/><Relationship Id="rId18" Type="http://schemas.openxmlformats.org/officeDocument/2006/relationships/externalLink" Target="externalLinks/externalLink15.xml"/><Relationship Id="rId26" Type="http://schemas.openxmlformats.org/officeDocument/2006/relationships/externalLink" Target="externalLinks/externalLink23.xml"/><Relationship Id="rId39" Type="http://schemas.openxmlformats.org/officeDocument/2006/relationships/customXml" Target="../customXml/item1.xml"/><Relationship Id="rId21" Type="http://schemas.openxmlformats.org/officeDocument/2006/relationships/externalLink" Target="externalLinks/externalLink18.xml"/><Relationship Id="rId34" Type="http://schemas.openxmlformats.org/officeDocument/2006/relationships/externalLink" Target="externalLinks/externalLink31.xml"/><Relationship Id="rId7"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externalLink" Target="externalLinks/externalLink13.xml"/><Relationship Id="rId20" Type="http://schemas.openxmlformats.org/officeDocument/2006/relationships/externalLink" Target="externalLinks/externalLink17.xml"/><Relationship Id="rId29" Type="http://schemas.openxmlformats.org/officeDocument/2006/relationships/externalLink" Target="externalLinks/externalLink26.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externalLink" Target="externalLinks/externalLink3.xml"/><Relationship Id="rId11" Type="http://schemas.openxmlformats.org/officeDocument/2006/relationships/externalLink" Target="externalLinks/externalLink8.xml"/><Relationship Id="rId24" Type="http://schemas.openxmlformats.org/officeDocument/2006/relationships/externalLink" Target="externalLinks/externalLink21.xml"/><Relationship Id="rId32" Type="http://schemas.openxmlformats.org/officeDocument/2006/relationships/externalLink" Target="externalLinks/externalLink29.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externalLink" Target="externalLinks/externalLink2.xml"/><Relationship Id="rId15" Type="http://schemas.openxmlformats.org/officeDocument/2006/relationships/externalLink" Target="externalLinks/externalLink12.xml"/><Relationship Id="rId23" Type="http://schemas.openxmlformats.org/officeDocument/2006/relationships/externalLink" Target="externalLinks/externalLink20.xml"/><Relationship Id="rId28" Type="http://schemas.openxmlformats.org/officeDocument/2006/relationships/externalLink" Target="externalLinks/externalLink25.xml"/><Relationship Id="rId36" Type="http://schemas.openxmlformats.org/officeDocument/2006/relationships/styles" Target="styles.xml"/><Relationship Id="rId10" Type="http://schemas.openxmlformats.org/officeDocument/2006/relationships/externalLink" Target="externalLinks/externalLink7.xml"/><Relationship Id="rId19" Type="http://schemas.openxmlformats.org/officeDocument/2006/relationships/externalLink" Target="externalLinks/externalLink16.xml"/><Relationship Id="rId31" Type="http://schemas.openxmlformats.org/officeDocument/2006/relationships/externalLink" Target="externalLinks/externalLink28.xml"/><Relationship Id="rId4" Type="http://schemas.openxmlformats.org/officeDocument/2006/relationships/externalLink" Target="externalLinks/externalLink1.xml"/><Relationship Id="rId9" Type="http://schemas.openxmlformats.org/officeDocument/2006/relationships/externalLink" Target="externalLinks/externalLink6.xml"/><Relationship Id="rId14" Type="http://schemas.openxmlformats.org/officeDocument/2006/relationships/externalLink" Target="externalLinks/externalLink11.xml"/><Relationship Id="rId22" Type="http://schemas.openxmlformats.org/officeDocument/2006/relationships/externalLink" Target="externalLinks/externalLink19.xml"/><Relationship Id="rId27" Type="http://schemas.openxmlformats.org/officeDocument/2006/relationships/externalLink" Target="externalLinks/externalLink24.xml"/><Relationship Id="rId30" Type="http://schemas.openxmlformats.org/officeDocument/2006/relationships/externalLink" Target="externalLinks/externalLink27.xml"/><Relationship Id="rId35" Type="http://schemas.openxmlformats.org/officeDocument/2006/relationships/theme" Target="theme/theme1.xml"/><Relationship Id="rId8" Type="http://schemas.openxmlformats.org/officeDocument/2006/relationships/externalLink" Target="externalLinks/externalLink5.xml"/><Relationship Id="rId3" Type="http://schemas.openxmlformats.org/officeDocument/2006/relationships/worksheet" Target="worksheets/sheet3.xml"/><Relationship Id="rId12" Type="http://schemas.openxmlformats.org/officeDocument/2006/relationships/externalLink" Target="externalLinks/externalLink9.xml"/><Relationship Id="rId17" Type="http://schemas.openxmlformats.org/officeDocument/2006/relationships/externalLink" Target="externalLinks/externalLink14.xml"/><Relationship Id="rId25" Type="http://schemas.openxmlformats.org/officeDocument/2006/relationships/externalLink" Target="externalLinks/externalLink22.xml"/><Relationship Id="rId33" Type="http://schemas.openxmlformats.org/officeDocument/2006/relationships/externalLink" Target="externalLinks/externalLink30.xml"/><Relationship Id="rId38"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7" Type="http://schemas.openxmlformats.org/officeDocument/2006/relationships/image" Target="../media/image7.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8" Type="http://schemas.openxmlformats.org/officeDocument/2006/relationships/image" Target="../media/image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20" Type="http://schemas.openxmlformats.org/officeDocument/2006/relationships/image" Target="../media/image20.png"/><Relationship Id="rId41" Type="http://schemas.openxmlformats.org/officeDocument/2006/relationships/image" Target="../media/image41.png"/><Relationship Id="rId1" Type="http://schemas.openxmlformats.org/officeDocument/2006/relationships/image" Target="../media/image1.png"/><Relationship Id="rId6"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7</xdr:col>
      <xdr:colOff>691243</xdr:colOff>
      <xdr:row>1178</xdr:row>
      <xdr:rowOff>89647</xdr:rowOff>
    </xdr:from>
    <xdr:to>
      <xdr:col>11</xdr:col>
      <xdr:colOff>672847</xdr:colOff>
      <xdr:row>1193</xdr:row>
      <xdr:rowOff>45517</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1"/>
        <a:srcRect t="9508"/>
        <a:stretch/>
      </xdr:blipFill>
      <xdr:spPr>
        <a:xfrm>
          <a:off x="7638890" y="2442882"/>
          <a:ext cx="7111347" cy="2346222"/>
        </a:xfrm>
        <a:prstGeom prst="rect">
          <a:avLst/>
        </a:prstGeom>
      </xdr:spPr>
    </xdr:pic>
    <xdr:clientData/>
  </xdr:twoCellAnchor>
  <xdr:twoCellAnchor editAs="oneCell">
    <xdr:from>
      <xdr:col>7</xdr:col>
      <xdr:colOff>717175</xdr:colOff>
      <xdr:row>1135</xdr:row>
      <xdr:rowOff>34681</xdr:rowOff>
    </xdr:from>
    <xdr:to>
      <xdr:col>9</xdr:col>
      <xdr:colOff>3005054</xdr:colOff>
      <xdr:row>1147</xdr:row>
      <xdr:rowOff>118656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
        <a:stretch>
          <a:fillRect/>
        </a:stretch>
      </xdr:blipFill>
      <xdr:spPr>
        <a:xfrm>
          <a:off x="8000999" y="2656857"/>
          <a:ext cx="5504901" cy="2071151"/>
        </a:xfrm>
        <a:prstGeom prst="rect">
          <a:avLst/>
        </a:prstGeom>
      </xdr:spPr>
    </xdr:pic>
    <xdr:clientData/>
  </xdr:twoCellAnchor>
  <xdr:twoCellAnchor editAs="oneCell">
    <xdr:from>
      <xdr:col>8</xdr:col>
      <xdr:colOff>0</xdr:colOff>
      <xdr:row>1091</xdr:row>
      <xdr:rowOff>52556</xdr:rowOff>
    </xdr:from>
    <xdr:to>
      <xdr:col>10</xdr:col>
      <xdr:colOff>430866</xdr:colOff>
      <xdr:row>1104</xdr:row>
      <xdr:rowOff>85996</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stretch>
          <a:fillRect/>
        </a:stretch>
      </xdr:blipFill>
      <xdr:spPr>
        <a:xfrm>
          <a:off x="7709647" y="2405791"/>
          <a:ext cx="6017559" cy="2095323"/>
        </a:xfrm>
        <a:prstGeom prst="rect">
          <a:avLst/>
        </a:prstGeom>
      </xdr:spPr>
    </xdr:pic>
    <xdr:clientData/>
  </xdr:twoCellAnchor>
  <xdr:twoCellAnchor editAs="oneCell">
    <xdr:from>
      <xdr:col>7</xdr:col>
      <xdr:colOff>627529</xdr:colOff>
      <xdr:row>1044</xdr:row>
      <xdr:rowOff>134472</xdr:rowOff>
    </xdr:from>
    <xdr:to>
      <xdr:col>10</xdr:col>
      <xdr:colOff>318807</xdr:colOff>
      <xdr:row>1058</xdr:row>
      <xdr:rowOff>96963</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4"/>
        <a:stretch>
          <a:fillRect/>
        </a:stretch>
      </xdr:blipFill>
      <xdr:spPr>
        <a:xfrm>
          <a:off x="7575176" y="1860178"/>
          <a:ext cx="6039971" cy="2170049"/>
        </a:xfrm>
        <a:prstGeom prst="rect">
          <a:avLst/>
        </a:prstGeom>
      </xdr:spPr>
    </xdr:pic>
    <xdr:clientData/>
  </xdr:twoCellAnchor>
  <xdr:twoCellAnchor editAs="oneCell">
    <xdr:from>
      <xdr:col>7</xdr:col>
      <xdr:colOff>324971</xdr:colOff>
      <xdr:row>1001</xdr:row>
      <xdr:rowOff>134470</xdr:rowOff>
    </xdr:from>
    <xdr:to>
      <xdr:col>11</xdr:col>
      <xdr:colOff>366656</xdr:colOff>
      <xdr:row>1016</xdr:row>
      <xdr:rowOff>150983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5"/>
        <a:stretch>
          <a:fillRect/>
        </a:stretch>
      </xdr:blipFill>
      <xdr:spPr>
        <a:xfrm>
          <a:off x="7272618" y="1860176"/>
          <a:ext cx="7171428" cy="2380952"/>
        </a:xfrm>
        <a:prstGeom prst="rect">
          <a:avLst/>
        </a:prstGeom>
      </xdr:spPr>
    </xdr:pic>
    <xdr:clientData/>
  </xdr:twoCellAnchor>
  <xdr:twoCellAnchor editAs="oneCell">
    <xdr:from>
      <xdr:col>7</xdr:col>
      <xdr:colOff>201706</xdr:colOff>
      <xdr:row>1016</xdr:row>
      <xdr:rowOff>145677</xdr:rowOff>
    </xdr:from>
    <xdr:to>
      <xdr:col>14</xdr:col>
      <xdr:colOff>43095</xdr:colOff>
      <xdr:row>1031</xdr:row>
      <xdr:rowOff>58535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6"/>
        <a:stretch>
          <a:fillRect/>
        </a:stretch>
      </xdr:blipFill>
      <xdr:spPr>
        <a:xfrm>
          <a:off x="7149353" y="4235824"/>
          <a:ext cx="9342857" cy="2333333"/>
        </a:xfrm>
        <a:prstGeom prst="rect">
          <a:avLst/>
        </a:prstGeom>
      </xdr:spPr>
    </xdr:pic>
    <xdr:clientData/>
  </xdr:twoCellAnchor>
  <xdr:twoCellAnchor editAs="oneCell">
    <xdr:from>
      <xdr:col>6</xdr:col>
      <xdr:colOff>896470</xdr:colOff>
      <xdr:row>975</xdr:row>
      <xdr:rowOff>89647</xdr:rowOff>
    </xdr:from>
    <xdr:to>
      <xdr:col>13</xdr:col>
      <xdr:colOff>359679</xdr:colOff>
      <xdr:row>985</xdr:row>
      <xdr:rowOff>132770</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6846794" y="4504765"/>
          <a:ext cx="9200000" cy="1638095"/>
        </a:xfrm>
        <a:prstGeom prst="rect">
          <a:avLst/>
        </a:prstGeom>
      </xdr:spPr>
    </xdr:pic>
    <xdr:clientData/>
  </xdr:twoCellAnchor>
  <xdr:twoCellAnchor editAs="oneCell">
    <xdr:from>
      <xdr:col>8</xdr:col>
      <xdr:colOff>459442</xdr:colOff>
      <xdr:row>962</xdr:row>
      <xdr:rowOff>0</xdr:rowOff>
    </xdr:from>
    <xdr:to>
      <xdr:col>12</xdr:col>
      <xdr:colOff>177316</xdr:colOff>
      <xdr:row>973</xdr:row>
      <xdr:rowOff>110708</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8"/>
        <a:stretch>
          <a:fillRect/>
        </a:stretch>
      </xdr:blipFill>
      <xdr:spPr>
        <a:xfrm>
          <a:off x="8169089" y="2353235"/>
          <a:ext cx="6866667" cy="1847619"/>
        </a:xfrm>
        <a:prstGeom prst="rect">
          <a:avLst/>
        </a:prstGeom>
      </xdr:spPr>
    </xdr:pic>
    <xdr:clientData/>
  </xdr:twoCellAnchor>
  <xdr:twoCellAnchor editAs="oneCell">
    <xdr:from>
      <xdr:col>7</xdr:col>
      <xdr:colOff>302559</xdr:colOff>
      <xdr:row>917</xdr:row>
      <xdr:rowOff>67235</xdr:rowOff>
    </xdr:from>
    <xdr:to>
      <xdr:col>12</xdr:col>
      <xdr:colOff>401290</xdr:colOff>
      <xdr:row>931</xdr:row>
      <xdr:rowOff>19895</xdr:rowOff>
    </xdr:to>
    <xdr:pic>
      <xdr:nvPicPr>
        <xdr:cNvPr id="9" name="Picture 8">
          <a:extLst>
            <a:ext uri="{FF2B5EF4-FFF2-40B4-BE49-F238E27FC236}">
              <a16:creationId xmlns:a16="http://schemas.microsoft.com/office/drawing/2014/main" id="{48E3E458-CD29-4CEA-8941-709C28E62C22}"/>
            </a:ext>
          </a:extLst>
        </xdr:cNvPr>
        <xdr:cNvPicPr>
          <a:picLocks noChangeAspect="1"/>
        </xdr:cNvPicPr>
      </xdr:nvPicPr>
      <xdr:blipFill>
        <a:blip xmlns:r="http://schemas.openxmlformats.org/officeDocument/2006/relationships" r:embed="rId9"/>
        <a:stretch>
          <a:fillRect/>
        </a:stretch>
      </xdr:blipFill>
      <xdr:spPr>
        <a:xfrm>
          <a:off x="7250206" y="2263588"/>
          <a:ext cx="8009524" cy="2171429"/>
        </a:xfrm>
        <a:prstGeom prst="rect">
          <a:avLst/>
        </a:prstGeom>
      </xdr:spPr>
    </xdr:pic>
    <xdr:clientData/>
  </xdr:twoCellAnchor>
  <xdr:twoCellAnchor editAs="oneCell">
    <xdr:from>
      <xdr:col>6</xdr:col>
      <xdr:colOff>795618</xdr:colOff>
      <xdr:row>933</xdr:row>
      <xdr:rowOff>44824</xdr:rowOff>
    </xdr:from>
    <xdr:to>
      <xdr:col>16</xdr:col>
      <xdr:colOff>182351</xdr:colOff>
      <xdr:row>944</xdr:row>
      <xdr:rowOff>110334</xdr:rowOff>
    </xdr:to>
    <xdr:pic>
      <xdr:nvPicPr>
        <xdr:cNvPr id="13" name="Picture 12">
          <a:extLst>
            <a:ext uri="{FF2B5EF4-FFF2-40B4-BE49-F238E27FC236}">
              <a16:creationId xmlns:a16="http://schemas.microsoft.com/office/drawing/2014/main" id="{E65275FE-E02F-4349-88C8-512774202EA4}"/>
            </a:ext>
          </a:extLst>
        </xdr:cNvPr>
        <xdr:cNvPicPr>
          <a:picLocks noChangeAspect="1"/>
        </xdr:cNvPicPr>
      </xdr:nvPicPr>
      <xdr:blipFill>
        <a:blip xmlns:r="http://schemas.openxmlformats.org/officeDocument/2006/relationships" r:embed="rId10"/>
        <a:stretch>
          <a:fillRect/>
        </a:stretch>
      </xdr:blipFill>
      <xdr:spPr>
        <a:xfrm>
          <a:off x="6745942" y="4784912"/>
          <a:ext cx="11409524" cy="1828571"/>
        </a:xfrm>
        <a:prstGeom prst="rect">
          <a:avLst/>
        </a:prstGeom>
      </xdr:spPr>
    </xdr:pic>
    <xdr:clientData/>
  </xdr:twoCellAnchor>
  <xdr:twoCellAnchor editAs="oneCell">
    <xdr:from>
      <xdr:col>7</xdr:col>
      <xdr:colOff>493059</xdr:colOff>
      <xdr:row>890</xdr:row>
      <xdr:rowOff>112059</xdr:rowOff>
    </xdr:from>
    <xdr:to>
      <xdr:col>13</xdr:col>
      <xdr:colOff>689288</xdr:colOff>
      <xdr:row>902</xdr:row>
      <xdr:rowOff>109766</xdr:rowOff>
    </xdr:to>
    <xdr:pic>
      <xdr:nvPicPr>
        <xdr:cNvPr id="12" name="Picture 11">
          <a:extLst>
            <a:ext uri="{FF2B5EF4-FFF2-40B4-BE49-F238E27FC236}">
              <a16:creationId xmlns:a16="http://schemas.microsoft.com/office/drawing/2014/main" id="{6501C9E7-1931-49CC-A428-6523F112EC5F}"/>
            </a:ext>
          </a:extLst>
        </xdr:cNvPr>
        <xdr:cNvPicPr>
          <a:picLocks noChangeAspect="1"/>
        </xdr:cNvPicPr>
      </xdr:nvPicPr>
      <xdr:blipFill>
        <a:blip xmlns:r="http://schemas.openxmlformats.org/officeDocument/2006/relationships" r:embed="rId11"/>
        <a:stretch>
          <a:fillRect/>
        </a:stretch>
      </xdr:blipFill>
      <xdr:spPr>
        <a:xfrm>
          <a:off x="7440706" y="4684059"/>
          <a:ext cx="8935697" cy="1928859"/>
        </a:xfrm>
        <a:prstGeom prst="rect">
          <a:avLst/>
        </a:prstGeom>
      </xdr:spPr>
    </xdr:pic>
    <xdr:clientData/>
  </xdr:twoCellAnchor>
  <xdr:twoCellAnchor editAs="oneCell">
    <xdr:from>
      <xdr:col>7</xdr:col>
      <xdr:colOff>728382</xdr:colOff>
      <xdr:row>876</xdr:row>
      <xdr:rowOff>134471</xdr:rowOff>
    </xdr:from>
    <xdr:to>
      <xdr:col>14</xdr:col>
      <xdr:colOff>67348</xdr:colOff>
      <xdr:row>890</xdr:row>
      <xdr:rowOff>138808</xdr:rowOff>
    </xdr:to>
    <xdr:pic>
      <xdr:nvPicPr>
        <xdr:cNvPr id="14" name="Picture 13">
          <a:extLst>
            <a:ext uri="{FF2B5EF4-FFF2-40B4-BE49-F238E27FC236}">
              <a16:creationId xmlns:a16="http://schemas.microsoft.com/office/drawing/2014/main" id="{4468DE03-BB60-4275-98A5-4E6083EB06B4}"/>
            </a:ext>
          </a:extLst>
        </xdr:cNvPr>
        <xdr:cNvPicPr>
          <a:picLocks noChangeAspect="1"/>
        </xdr:cNvPicPr>
      </xdr:nvPicPr>
      <xdr:blipFill>
        <a:blip xmlns:r="http://schemas.openxmlformats.org/officeDocument/2006/relationships" r:embed="rId12"/>
        <a:stretch>
          <a:fillRect/>
        </a:stretch>
      </xdr:blipFill>
      <xdr:spPr>
        <a:xfrm>
          <a:off x="7676029" y="2487706"/>
          <a:ext cx="8840434" cy="2223100"/>
        </a:xfrm>
        <a:prstGeom prst="rect">
          <a:avLst/>
        </a:prstGeom>
      </xdr:spPr>
    </xdr:pic>
    <xdr:clientData/>
  </xdr:twoCellAnchor>
  <xdr:twoCellAnchor editAs="oneCell">
    <xdr:from>
      <xdr:col>7</xdr:col>
      <xdr:colOff>460375</xdr:colOff>
      <xdr:row>830</xdr:row>
      <xdr:rowOff>134938</xdr:rowOff>
    </xdr:from>
    <xdr:to>
      <xdr:col>14</xdr:col>
      <xdr:colOff>207963</xdr:colOff>
      <xdr:row>846</xdr:row>
      <xdr:rowOff>15879</xdr:rowOff>
    </xdr:to>
    <xdr:pic>
      <xdr:nvPicPr>
        <xdr:cNvPr id="10" name="Picture 9">
          <a:extLst>
            <a:ext uri="{FF2B5EF4-FFF2-40B4-BE49-F238E27FC236}">
              <a16:creationId xmlns:a16="http://schemas.microsoft.com/office/drawing/2014/main" id="{88A5EEFD-86CA-49EE-895F-3C9B75202263}"/>
            </a:ext>
          </a:extLst>
        </xdr:cNvPr>
        <xdr:cNvPicPr>
          <a:picLocks noChangeAspect="1"/>
        </xdr:cNvPicPr>
      </xdr:nvPicPr>
      <xdr:blipFill>
        <a:blip xmlns:r="http://schemas.openxmlformats.org/officeDocument/2006/relationships" r:embed="rId13"/>
        <a:stretch>
          <a:fillRect/>
        </a:stretch>
      </xdr:blipFill>
      <xdr:spPr>
        <a:xfrm>
          <a:off x="7747000" y="2127251"/>
          <a:ext cx="9691688" cy="2563812"/>
        </a:xfrm>
        <a:prstGeom prst="rect">
          <a:avLst/>
        </a:prstGeom>
      </xdr:spPr>
    </xdr:pic>
    <xdr:clientData/>
  </xdr:twoCellAnchor>
  <xdr:twoCellAnchor editAs="oneCell">
    <xdr:from>
      <xdr:col>7</xdr:col>
      <xdr:colOff>428625</xdr:colOff>
      <xdr:row>846</xdr:row>
      <xdr:rowOff>119062</xdr:rowOff>
    </xdr:from>
    <xdr:to>
      <xdr:col>14</xdr:col>
      <xdr:colOff>271462</xdr:colOff>
      <xdr:row>859</xdr:row>
      <xdr:rowOff>23341</xdr:rowOff>
    </xdr:to>
    <xdr:pic>
      <xdr:nvPicPr>
        <xdr:cNvPr id="17" name="Picture 16">
          <a:extLst>
            <a:ext uri="{FF2B5EF4-FFF2-40B4-BE49-F238E27FC236}">
              <a16:creationId xmlns:a16="http://schemas.microsoft.com/office/drawing/2014/main" id="{1823BD42-2811-4E7A-9DF3-526BF41214D7}"/>
            </a:ext>
          </a:extLst>
        </xdr:cNvPr>
        <xdr:cNvPicPr>
          <a:picLocks noChangeAspect="1"/>
        </xdr:cNvPicPr>
      </xdr:nvPicPr>
      <xdr:blipFill>
        <a:blip xmlns:r="http://schemas.openxmlformats.org/officeDocument/2006/relationships" r:embed="rId14"/>
        <a:stretch>
          <a:fillRect/>
        </a:stretch>
      </xdr:blipFill>
      <xdr:spPr>
        <a:xfrm>
          <a:off x="7715250" y="4794250"/>
          <a:ext cx="9786937" cy="2103437"/>
        </a:xfrm>
        <a:prstGeom prst="rect">
          <a:avLst/>
        </a:prstGeom>
      </xdr:spPr>
    </xdr:pic>
    <xdr:clientData/>
  </xdr:twoCellAnchor>
  <xdr:twoCellAnchor editAs="oneCell">
    <xdr:from>
      <xdr:col>7</xdr:col>
      <xdr:colOff>285750</xdr:colOff>
      <xdr:row>785</xdr:row>
      <xdr:rowOff>47624</xdr:rowOff>
    </xdr:from>
    <xdr:to>
      <xdr:col>13</xdr:col>
      <xdr:colOff>679243</xdr:colOff>
      <xdr:row>801</xdr:row>
      <xdr:rowOff>47624</xdr:rowOff>
    </xdr:to>
    <xdr:pic>
      <xdr:nvPicPr>
        <xdr:cNvPr id="15" name="Picture 14">
          <a:extLst>
            <a:ext uri="{FF2B5EF4-FFF2-40B4-BE49-F238E27FC236}">
              <a16:creationId xmlns:a16="http://schemas.microsoft.com/office/drawing/2014/main" id="{FE1A47D5-1C09-4D8C-B988-0BA077364B90}"/>
            </a:ext>
          </a:extLst>
        </xdr:cNvPr>
        <xdr:cNvPicPr>
          <a:picLocks noChangeAspect="1"/>
        </xdr:cNvPicPr>
      </xdr:nvPicPr>
      <xdr:blipFill>
        <a:blip xmlns:r="http://schemas.openxmlformats.org/officeDocument/2006/relationships" r:embed="rId15"/>
        <a:stretch>
          <a:fillRect/>
        </a:stretch>
      </xdr:blipFill>
      <xdr:spPr>
        <a:xfrm>
          <a:off x="7572375" y="2039937"/>
          <a:ext cx="9575593" cy="2682875"/>
        </a:xfrm>
        <a:prstGeom prst="rect">
          <a:avLst/>
        </a:prstGeom>
      </xdr:spPr>
    </xdr:pic>
    <xdr:clientData/>
  </xdr:twoCellAnchor>
  <xdr:twoCellAnchor editAs="oneCell">
    <xdr:from>
      <xdr:col>7</xdr:col>
      <xdr:colOff>579437</xdr:colOff>
      <xdr:row>802</xdr:row>
      <xdr:rowOff>116996</xdr:rowOff>
    </xdr:from>
    <xdr:to>
      <xdr:col>13</xdr:col>
      <xdr:colOff>438150</xdr:colOff>
      <xdr:row>815</xdr:row>
      <xdr:rowOff>111600</xdr:rowOff>
    </xdr:to>
    <xdr:pic>
      <xdr:nvPicPr>
        <xdr:cNvPr id="19" name="Picture 18">
          <a:extLst>
            <a:ext uri="{FF2B5EF4-FFF2-40B4-BE49-F238E27FC236}">
              <a16:creationId xmlns:a16="http://schemas.microsoft.com/office/drawing/2014/main" id="{06317A3C-61E8-4B35-A096-860AEF36EAB9}"/>
            </a:ext>
          </a:extLst>
        </xdr:cNvPr>
        <xdr:cNvPicPr>
          <a:picLocks noChangeAspect="1"/>
        </xdr:cNvPicPr>
      </xdr:nvPicPr>
      <xdr:blipFill>
        <a:blip xmlns:r="http://schemas.openxmlformats.org/officeDocument/2006/relationships" r:embed="rId16"/>
        <a:stretch>
          <a:fillRect/>
        </a:stretch>
      </xdr:blipFill>
      <xdr:spPr>
        <a:xfrm>
          <a:off x="7866062" y="4958871"/>
          <a:ext cx="9001126" cy="2193757"/>
        </a:xfrm>
        <a:prstGeom prst="rect">
          <a:avLst/>
        </a:prstGeom>
      </xdr:spPr>
    </xdr:pic>
    <xdr:clientData/>
  </xdr:twoCellAnchor>
  <xdr:twoCellAnchor editAs="oneCell">
    <xdr:from>
      <xdr:col>7</xdr:col>
      <xdr:colOff>361949</xdr:colOff>
      <xdr:row>740</xdr:row>
      <xdr:rowOff>95250</xdr:rowOff>
    </xdr:from>
    <xdr:to>
      <xdr:col>15</xdr:col>
      <xdr:colOff>26194</xdr:colOff>
      <xdr:row>755</xdr:row>
      <xdr:rowOff>14287</xdr:rowOff>
    </xdr:to>
    <xdr:pic>
      <xdr:nvPicPr>
        <xdr:cNvPr id="16" name="Picture 15">
          <a:extLst>
            <a:ext uri="{FF2B5EF4-FFF2-40B4-BE49-F238E27FC236}">
              <a16:creationId xmlns:a16="http://schemas.microsoft.com/office/drawing/2014/main" id="{5B553731-C5D0-49F4-9E52-9DE6A97EAD08}"/>
            </a:ext>
          </a:extLst>
        </xdr:cNvPr>
        <xdr:cNvPicPr>
          <a:picLocks noChangeAspect="1"/>
        </xdr:cNvPicPr>
      </xdr:nvPicPr>
      <xdr:blipFill>
        <a:blip xmlns:r="http://schemas.openxmlformats.org/officeDocument/2006/relationships" r:embed="rId17"/>
        <a:stretch>
          <a:fillRect/>
        </a:stretch>
      </xdr:blipFill>
      <xdr:spPr>
        <a:xfrm>
          <a:off x="7515224" y="10258425"/>
          <a:ext cx="10198895" cy="2509837"/>
        </a:xfrm>
        <a:prstGeom prst="rect">
          <a:avLst/>
        </a:prstGeom>
      </xdr:spPr>
    </xdr:pic>
    <xdr:clientData/>
  </xdr:twoCellAnchor>
  <xdr:twoCellAnchor editAs="oneCell">
    <xdr:from>
      <xdr:col>5</xdr:col>
      <xdr:colOff>938213</xdr:colOff>
      <xdr:row>757</xdr:row>
      <xdr:rowOff>9525</xdr:rowOff>
    </xdr:from>
    <xdr:to>
      <xdr:col>12</xdr:col>
      <xdr:colOff>340519</xdr:colOff>
      <xdr:row>771</xdr:row>
      <xdr:rowOff>15742</xdr:rowOff>
    </xdr:to>
    <xdr:pic>
      <xdr:nvPicPr>
        <xdr:cNvPr id="21" name="Picture 20">
          <a:extLst>
            <a:ext uri="{FF2B5EF4-FFF2-40B4-BE49-F238E27FC236}">
              <a16:creationId xmlns:a16="http://schemas.microsoft.com/office/drawing/2014/main" id="{99E59E4D-7840-4C25-9766-8E29A510C200}"/>
            </a:ext>
          </a:extLst>
        </xdr:cNvPr>
        <xdr:cNvPicPr>
          <a:picLocks noChangeAspect="1"/>
        </xdr:cNvPicPr>
      </xdr:nvPicPr>
      <xdr:blipFill>
        <a:blip xmlns:r="http://schemas.openxmlformats.org/officeDocument/2006/relationships" r:embed="rId18"/>
        <a:stretch>
          <a:fillRect/>
        </a:stretch>
      </xdr:blipFill>
      <xdr:spPr>
        <a:xfrm>
          <a:off x="6034088" y="13115925"/>
          <a:ext cx="9584531" cy="2421512"/>
        </a:xfrm>
        <a:prstGeom prst="rect">
          <a:avLst/>
        </a:prstGeom>
      </xdr:spPr>
    </xdr:pic>
    <xdr:clientData/>
  </xdr:twoCellAnchor>
  <xdr:twoCellAnchor editAs="oneCell">
    <xdr:from>
      <xdr:col>7</xdr:col>
      <xdr:colOff>628650</xdr:colOff>
      <xdr:row>693</xdr:row>
      <xdr:rowOff>9525</xdr:rowOff>
    </xdr:from>
    <xdr:to>
      <xdr:col>13</xdr:col>
      <xdr:colOff>36399</xdr:colOff>
      <xdr:row>706</xdr:row>
      <xdr:rowOff>95102</xdr:rowOff>
    </xdr:to>
    <xdr:pic>
      <xdr:nvPicPr>
        <xdr:cNvPr id="18" name="Picture 17">
          <a:extLst>
            <a:ext uri="{FF2B5EF4-FFF2-40B4-BE49-F238E27FC236}">
              <a16:creationId xmlns:a16="http://schemas.microsoft.com/office/drawing/2014/main" id="{024A3131-173F-44D8-BFEC-C49541B4F9C5}"/>
            </a:ext>
          </a:extLst>
        </xdr:cNvPr>
        <xdr:cNvPicPr>
          <a:picLocks noChangeAspect="1"/>
        </xdr:cNvPicPr>
      </xdr:nvPicPr>
      <xdr:blipFill>
        <a:blip xmlns:r="http://schemas.openxmlformats.org/officeDocument/2006/relationships" r:embed="rId19"/>
        <a:stretch>
          <a:fillRect/>
        </a:stretch>
      </xdr:blipFill>
      <xdr:spPr>
        <a:xfrm>
          <a:off x="7781925" y="2057400"/>
          <a:ext cx="8380299" cy="2323949"/>
        </a:xfrm>
        <a:prstGeom prst="rect">
          <a:avLst/>
        </a:prstGeom>
      </xdr:spPr>
    </xdr:pic>
    <xdr:clientData/>
  </xdr:twoCellAnchor>
  <xdr:twoCellAnchor editAs="oneCell">
    <xdr:from>
      <xdr:col>7</xdr:col>
      <xdr:colOff>657224</xdr:colOff>
      <xdr:row>706</xdr:row>
      <xdr:rowOff>142875</xdr:rowOff>
    </xdr:from>
    <xdr:to>
      <xdr:col>14</xdr:col>
      <xdr:colOff>133349</xdr:colOff>
      <xdr:row>726</xdr:row>
      <xdr:rowOff>27718</xdr:rowOff>
    </xdr:to>
    <xdr:pic>
      <xdr:nvPicPr>
        <xdr:cNvPr id="20" name="Picture 19">
          <a:extLst>
            <a:ext uri="{FF2B5EF4-FFF2-40B4-BE49-F238E27FC236}">
              <a16:creationId xmlns:a16="http://schemas.microsoft.com/office/drawing/2014/main" id="{F937588E-3A52-48CE-8648-93CAFE8B4D75}"/>
            </a:ext>
          </a:extLst>
        </xdr:cNvPr>
        <xdr:cNvPicPr>
          <a:picLocks noChangeAspect="1"/>
        </xdr:cNvPicPr>
      </xdr:nvPicPr>
      <xdr:blipFill>
        <a:blip xmlns:r="http://schemas.openxmlformats.org/officeDocument/2006/relationships" r:embed="rId20"/>
        <a:stretch>
          <a:fillRect/>
        </a:stretch>
      </xdr:blipFill>
      <xdr:spPr>
        <a:xfrm>
          <a:off x="7810499" y="4429125"/>
          <a:ext cx="9229725" cy="3363525"/>
        </a:xfrm>
        <a:prstGeom prst="rect">
          <a:avLst/>
        </a:prstGeom>
      </xdr:spPr>
    </xdr:pic>
    <xdr:clientData/>
  </xdr:twoCellAnchor>
  <xdr:oneCellAnchor>
    <xdr:from>
      <xdr:col>7</xdr:col>
      <xdr:colOff>355600</xdr:colOff>
      <xdr:row>646</xdr:row>
      <xdr:rowOff>9525</xdr:rowOff>
    </xdr:from>
    <xdr:ext cx="9588500" cy="2244574"/>
    <xdr:pic>
      <xdr:nvPicPr>
        <xdr:cNvPr id="22" name="Picture 21">
          <a:extLst>
            <a:ext uri="{FF2B5EF4-FFF2-40B4-BE49-F238E27FC236}">
              <a16:creationId xmlns:a16="http://schemas.microsoft.com/office/drawing/2014/main" id="{D6217B49-5760-4E94-8C2D-A63B2D7DDD13}"/>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xdr:blipFill>
      <xdr:spPr>
        <a:xfrm>
          <a:off x="7683500" y="1990725"/>
          <a:ext cx="9588500" cy="2244574"/>
        </a:xfrm>
        <a:prstGeom prst="rect">
          <a:avLst/>
        </a:prstGeom>
      </xdr:spPr>
    </xdr:pic>
    <xdr:clientData/>
  </xdr:oneCellAnchor>
  <xdr:oneCellAnchor>
    <xdr:from>
      <xdr:col>7</xdr:col>
      <xdr:colOff>165100</xdr:colOff>
      <xdr:row>659</xdr:row>
      <xdr:rowOff>142875</xdr:rowOff>
    </xdr:from>
    <xdr:ext cx="10045700" cy="3255575"/>
    <xdr:pic>
      <xdr:nvPicPr>
        <xdr:cNvPr id="23" name="Picture 22">
          <a:extLst>
            <a:ext uri="{FF2B5EF4-FFF2-40B4-BE49-F238E27FC236}">
              <a16:creationId xmlns:a16="http://schemas.microsoft.com/office/drawing/2014/main" id="{781B3382-C1DF-4796-9AFE-5B2D7152A1D8}"/>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xdr:blipFill>
      <xdr:spPr>
        <a:xfrm>
          <a:off x="7493000" y="4283075"/>
          <a:ext cx="10045700" cy="3255575"/>
        </a:xfrm>
        <a:prstGeom prst="rect">
          <a:avLst/>
        </a:prstGeom>
      </xdr:spPr>
    </xdr:pic>
    <xdr:clientData/>
  </xdr:oneCellAnchor>
  <xdr:twoCellAnchor editAs="oneCell">
    <xdr:from>
      <xdr:col>8</xdr:col>
      <xdr:colOff>9071</xdr:colOff>
      <xdr:row>599</xdr:row>
      <xdr:rowOff>157721</xdr:rowOff>
    </xdr:from>
    <xdr:to>
      <xdr:col>13</xdr:col>
      <xdr:colOff>91495</xdr:colOff>
      <xdr:row>613</xdr:row>
      <xdr:rowOff>5859</xdr:rowOff>
    </xdr:to>
    <xdr:pic>
      <xdr:nvPicPr>
        <xdr:cNvPr id="26" name="Picture 25">
          <a:extLst>
            <a:ext uri="{FF2B5EF4-FFF2-40B4-BE49-F238E27FC236}">
              <a16:creationId xmlns:a16="http://schemas.microsoft.com/office/drawing/2014/main" id="{0AF8E5D6-F8DB-48CA-164A-6F77C7796069}"/>
            </a:ext>
          </a:extLst>
        </xdr:cNvPr>
        <xdr:cNvPicPr>
          <a:picLocks noChangeAspect="1"/>
        </xdr:cNvPicPr>
      </xdr:nvPicPr>
      <xdr:blipFill>
        <a:blip xmlns:r="http://schemas.openxmlformats.org/officeDocument/2006/relationships" r:embed="rId23"/>
        <a:stretch>
          <a:fillRect/>
        </a:stretch>
      </xdr:blipFill>
      <xdr:spPr>
        <a:xfrm>
          <a:off x="8128000" y="1953864"/>
          <a:ext cx="8416345" cy="2152411"/>
        </a:xfrm>
        <a:prstGeom prst="rect">
          <a:avLst/>
        </a:prstGeom>
        <a:ln>
          <a:solidFill>
            <a:sysClr val="windowText" lastClr="000000"/>
          </a:solidFill>
        </a:ln>
      </xdr:spPr>
    </xdr:pic>
    <xdr:clientData/>
  </xdr:twoCellAnchor>
  <xdr:twoCellAnchor editAs="oneCell">
    <xdr:from>
      <xdr:col>8</xdr:col>
      <xdr:colOff>20808</xdr:colOff>
      <xdr:row>613</xdr:row>
      <xdr:rowOff>81642</xdr:rowOff>
    </xdr:from>
    <xdr:to>
      <xdr:col>13</xdr:col>
      <xdr:colOff>120651</xdr:colOff>
      <xdr:row>631</xdr:row>
      <xdr:rowOff>37886</xdr:rowOff>
    </xdr:to>
    <xdr:pic>
      <xdr:nvPicPr>
        <xdr:cNvPr id="27" name="Picture 26">
          <a:extLst>
            <a:ext uri="{FF2B5EF4-FFF2-40B4-BE49-F238E27FC236}">
              <a16:creationId xmlns:a16="http://schemas.microsoft.com/office/drawing/2014/main" id="{955693E5-7B11-360A-89AD-7694CBE04F75}"/>
            </a:ext>
          </a:extLst>
        </xdr:cNvPr>
        <xdr:cNvPicPr>
          <a:picLocks noChangeAspect="1"/>
        </xdr:cNvPicPr>
      </xdr:nvPicPr>
      <xdr:blipFill>
        <a:blip xmlns:r="http://schemas.openxmlformats.org/officeDocument/2006/relationships" r:embed="rId24"/>
        <a:stretch>
          <a:fillRect/>
        </a:stretch>
      </xdr:blipFill>
      <xdr:spPr>
        <a:xfrm>
          <a:off x="8139737" y="4172856"/>
          <a:ext cx="8433764" cy="2949816"/>
        </a:xfrm>
        <a:prstGeom prst="rect">
          <a:avLst/>
        </a:prstGeom>
        <a:ln>
          <a:solidFill>
            <a:sysClr val="windowText" lastClr="000000"/>
          </a:solidFill>
        </a:ln>
      </xdr:spPr>
    </xdr:pic>
    <xdr:clientData/>
  </xdr:twoCellAnchor>
  <xdr:twoCellAnchor editAs="oneCell">
    <xdr:from>
      <xdr:col>8</xdr:col>
      <xdr:colOff>9203</xdr:colOff>
      <xdr:row>554</xdr:row>
      <xdr:rowOff>82826</xdr:rowOff>
    </xdr:from>
    <xdr:to>
      <xdr:col>10</xdr:col>
      <xdr:colOff>662698</xdr:colOff>
      <xdr:row>569</xdr:row>
      <xdr:rowOff>77000</xdr:rowOff>
    </xdr:to>
    <xdr:pic>
      <xdr:nvPicPr>
        <xdr:cNvPr id="28" name="Picture 27" descr="A screenshot of a document&#10;&#10;Description automatically generated">
          <a:extLst>
            <a:ext uri="{FF2B5EF4-FFF2-40B4-BE49-F238E27FC236}">
              <a16:creationId xmlns:a16="http://schemas.microsoft.com/office/drawing/2014/main" id="{A25C3F47-79ED-D259-FC8A-3B0933B6B949}"/>
            </a:ext>
          </a:extLst>
        </xdr:cNvPr>
        <xdr:cNvPicPr>
          <a:picLocks noChangeAspect="1"/>
        </xdr:cNvPicPr>
      </xdr:nvPicPr>
      <xdr:blipFill>
        <a:blip xmlns:r="http://schemas.openxmlformats.org/officeDocument/2006/relationships" r:embed="rId25"/>
        <a:stretch>
          <a:fillRect/>
        </a:stretch>
      </xdr:blipFill>
      <xdr:spPr>
        <a:xfrm>
          <a:off x="8107754" y="2227101"/>
          <a:ext cx="6498302" cy="2497361"/>
        </a:xfrm>
        <a:prstGeom prst="rect">
          <a:avLst/>
        </a:prstGeom>
      </xdr:spPr>
    </xdr:pic>
    <xdr:clientData/>
  </xdr:twoCellAnchor>
  <xdr:twoCellAnchor editAs="oneCell">
    <xdr:from>
      <xdr:col>8</xdr:col>
      <xdr:colOff>0</xdr:colOff>
      <xdr:row>570</xdr:row>
      <xdr:rowOff>0</xdr:rowOff>
    </xdr:from>
    <xdr:to>
      <xdr:col>17</xdr:col>
      <xdr:colOff>645296</xdr:colOff>
      <xdr:row>584</xdr:row>
      <xdr:rowOff>91999</xdr:rowOff>
    </xdr:to>
    <xdr:pic>
      <xdr:nvPicPr>
        <xdr:cNvPr id="29" name="Picture 28">
          <a:extLst>
            <a:ext uri="{FF2B5EF4-FFF2-40B4-BE49-F238E27FC236}">
              <a16:creationId xmlns:a16="http://schemas.microsoft.com/office/drawing/2014/main" id="{8760EB4C-EF11-0D89-0DE2-46E2D060288B}"/>
            </a:ext>
          </a:extLst>
        </xdr:cNvPr>
        <xdr:cNvPicPr>
          <a:picLocks noChangeAspect="1"/>
        </xdr:cNvPicPr>
      </xdr:nvPicPr>
      <xdr:blipFill>
        <a:blip xmlns:r="http://schemas.openxmlformats.org/officeDocument/2006/relationships" r:embed="rId26"/>
        <a:stretch>
          <a:fillRect/>
        </a:stretch>
      </xdr:blipFill>
      <xdr:spPr>
        <a:xfrm>
          <a:off x="8098551" y="4813116"/>
          <a:ext cx="12238095" cy="2457143"/>
        </a:xfrm>
        <a:prstGeom prst="rect">
          <a:avLst/>
        </a:prstGeom>
      </xdr:spPr>
    </xdr:pic>
    <xdr:clientData/>
  </xdr:twoCellAnchor>
  <xdr:twoCellAnchor editAs="oneCell">
    <xdr:from>
      <xdr:col>8</xdr:col>
      <xdr:colOff>134470</xdr:colOff>
      <xdr:row>521</xdr:row>
      <xdr:rowOff>78441</xdr:rowOff>
    </xdr:from>
    <xdr:to>
      <xdr:col>17</xdr:col>
      <xdr:colOff>623288</xdr:colOff>
      <xdr:row>533</xdr:row>
      <xdr:rowOff>66997</xdr:rowOff>
    </xdr:to>
    <xdr:pic>
      <xdr:nvPicPr>
        <xdr:cNvPr id="30" name="Picture 29">
          <a:extLst>
            <a:ext uri="{FF2B5EF4-FFF2-40B4-BE49-F238E27FC236}">
              <a16:creationId xmlns:a16="http://schemas.microsoft.com/office/drawing/2014/main" id="{2A6BD304-4885-A7CA-575E-027376C0B9F8}"/>
            </a:ext>
          </a:extLst>
        </xdr:cNvPr>
        <xdr:cNvPicPr>
          <a:picLocks noChangeAspect="1"/>
        </xdr:cNvPicPr>
      </xdr:nvPicPr>
      <xdr:blipFill>
        <a:blip xmlns:r="http://schemas.openxmlformats.org/officeDocument/2006/relationships" r:embed="rId27"/>
        <a:stretch>
          <a:fillRect/>
        </a:stretch>
      </xdr:blipFill>
      <xdr:spPr>
        <a:xfrm>
          <a:off x="7844117" y="4493559"/>
          <a:ext cx="11514286" cy="1904762"/>
        </a:xfrm>
        <a:prstGeom prst="rect">
          <a:avLst/>
        </a:prstGeom>
      </xdr:spPr>
    </xdr:pic>
    <xdr:clientData/>
  </xdr:twoCellAnchor>
  <xdr:twoCellAnchor editAs="oneCell">
    <xdr:from>
      <xdr:col>8</xdr:col>
      <xdr:colOff>212912</xdr:colOff>
      <xdr:row>505</xdr:row>
      <xdr:rowOff>56028</xdr:rowOff>
    </xdr:from>
    <xdr:to>
      <xdr:col>11</xdr:col>
      <xdr:colOff>688617</xdr:colOff>
      <xdr:row>520</xdr:row>
      <xdr:rowOff>154639</xdr:rowOff>
    </xdr:to>
    <xdr:pic>
      <xdr:nvPicPr>
        <xdr:cNvPr id="31" name="Picture 30">
          <a:extLst>
            <a:ext uri="{FF2B5EF4-FFF2-40B4-BE49-F238E27FC236}">
              <a16:creationId xmlns:a16="http://schemas.microsoft.com/office/drawing/2014/main" id="{68423512-A062-04C2-4F56-30A886496412}"/>
            </a:ext>
          </a:extLst>
        </xdr:cNvPr>
        <xdr:cNvPicPr>
          <a:picLocks noChangeAspect="1"/>
        </xdr:cNvPicPr>
      </xdr:nvPicPr>
      <xdr:blipFill>
        <a:blip xmlns:r="http://schemas.openxmlformats.org/officeDocument/2006/relationships" r:embed="rId28"/>
        <a:stretch>
          <a:fillRect/>
        </a:stretch>
      </xdr:blipFill>
      <xdr:spPr>
        <a:xfrm>
          <a:off x="7922559" y="1938616"/>
          <a:ext cx="6843448" cy="2463051"/>
        </a:xfrm>
        <a:prstGeom prst="rect">
          <a:avLst/>
        </a:prstGeom>
      </xdr:spPr>
    </xdr:pic>
    <xdr:clientData/>
  </xdr:twoCellAnchor>
  <xdr:twoCellAnchor editAs="oneCell">
    <xdr:from>
      <xdr:col>8</xdr:col>
      <xdr:colOff>2124634</xdr:colOff>
      <xdr:row>457</xdr:row>
      <xdr:rowOff>0</xdr:rowOff>
    </xdr:from>
    <xdr:to>
      <xdr:col>14</xdr:col>
      <xdr:colOff>28008</xdr:colOff>
      <xdr:row>469</xdr:row>
      <xdr:rowOff>6655</xdr:rowOff>
    </xdr:to>
    <xdr:pic>
      <xdr:nvPicPr>
        <xdr:cNvPr id="32" name="Picture 31">
          <a:extLst>
            <a:ext uri="{FF2B5EF4-FFF2-40B4-BE49-F238E27FC236}">
              <a16:creationId xmlns:a16="http://schemas.microsoft.com/office/drawing/2014/main" id="{01116B00-B3C3-EB74-2DC5-7528DFBB75F3}"/>
            </a:ext>
          </a:extLst>
        </xdr:cNvPr>
        <xdr:cNvPicPr>
          <a:picLocks noChangeAspect="1"/>
        </xdr:cNvPicPr>
      </xdr:nvPicPr>
      <xdr:blipFill>
        <a:blip xmlns:r="http://schemas.openxmlformats.org/officeDocument/2006/relationships" r:embed="rId29"/>
        <a:stretch>
          <a:fillRect/>
        </a:stretch>
      </xdr:blipFill>
      <xdr:spPr>
        <a:xfrm>
          <a:off x="10085293" y="2133600"/>
          <a:ext cx="6884889" cy="2146979"/>
        </a:xfrm>
        <a:prstGeom prst="rect">
          <a:avLst/>
        </a:prstGeom>
      </xdr:spPr>
    </xdr:pic>
    <xdr:clientData/>
  </xdr:twoCellAnchor>
  <xdr:oneCellAnchor>
    <xdr:from>
      <xdr:col>8</xdr:col>
      <xdr:colOff>1958788</xdr:colOff>
      <xdr:row>470</xdr:row>
      <xdr:rowOff>100606</xdr:rowOff>
    </xdr:from>
    <xdr:ext cx="9214975" cy="2156807"/>
    <xdr:pic>
      <xdr:nvPicPr>
        <xdr:cNvPr id="25" name="Picture 24">
          <a:extLst>
            <a:ext uri="{FF2B5EF4-FFF2-40B4-BE49-F238E27FC236}">
              <a16:creationId xmlns:a16="http://schemas.microsoft.com/office/drawing/2014/main" id="{359DF8EA-39B1-430B-8DC1-3B527AA9EECA}"/>
            </a:ext>
          </a:extLst>
        </xdr:cNvPr>
        <xdr:cNvPicPr>
          <a:picLocks noChangeAspect="1"/>
        </xdr:cNvPicPr>
      </xdr:nvPicPr>
      <xdr:blipFill>
        <a:blip xmlns:r="http://schemas.openxmlformats.org/officeDocument/2006/relationships" r:embed="rId30"/>
        <a:stretch>
          <a:fillRect/>
        </a:stretch>
      </xdr:blipFill>
      <xdr:spPr>
        <a:xfrm>
          <a:off x="10049435" y="12307547"/>
          <a:ext cx="9214975" cy="2156807"/>
        </a:xfrm>
        <a:prstGeom prst="rect">
          <a:avLst/>
        </a:prstGeom>
      </xdr:spPr>
    </xdr:pic>
    <xdr:clientData/>
  </xdr:oneCellAnchor>
  <xdr:twoCellAnchor editAs="oneCell">
    <xdr:from>
      <xdr:col>8</xdr:col>
      <xdr:colOff>2181412</xdr:colOff>
      <xdr:row>407</xdr:row>
      <xdr:rowOff>134471</xdr:rowOff>
    </xdr:from>
    <xdr:to>
      <xdr:col>13</xdr:col>
      <xdr:colOff>205815</xdr:colOff>
      <xdr:row>420</xdr:row>
      <xdr:rowOff>98968</xdr:rowOff>
    </xdr:to>
    <xdr:pic>
      <xdr:nvPicPr>
        <xdr:cNvPr id="35" name="Picture 34">
          <a:extLst>
            <a:ext uri="{FF2B5EF4-FFF2-40B4-BE49-F238E27FC236}">
              <a16:creationId xmlns:a16="http://schemas.microsoft.com/office/drawing/2014/main" id="{21A1716F-BBAB-BACE-4480-1447268573A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10272059" y="1942353"/>
          <a:ext cx="6345518" cy="2108557"/>
        </a:xfrm>
        <a:prstGeom prst="rect">
          <a:avLst/>
        </a:prstGeom>
      </xdr:spPr>
    </xdr:pic>
    <xdr:clientData/>
  </xdr:twoCellAnchor>
  <xdr:twoCellAnchor editAs="oneCell">
    <xdr:from>
      <xdr:col>9</xdr:col>
      <xdr:colOff>276410</xdr:colOff>
      <xdr:row>421</xdr:row>
      <xdr:rowOff>7470</xdr:rowOff>
    </xdr:from>
    <xdr:to>
      <xdr:col>16</xdr:col>
      <xdr:colOff>122920</xdr:colOff>
      <xdr:row>433</xdr:row>
      <xdr:rowOff>82172</xdr:rowOff>
    </xdr:to>
    <xdr:pic>
      <xdr:nvPicPr>
        <xdr:cNvPr id="37" name="Picture 36">
          <a:extLst>
            <a:ext uri="{FF2B5EF4-FFF2-40B4-BE49-F238E27FC236}">
              <a16:creationId xmlns:a16="http://schemas.microsoft.com/office/drawing/2014/main" id="{CD2EDB92-7418-3EF3-B5EC-766F303D3C32}"/>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10638116" y="4116294"/>
          <a:ext cx="8294625" cy="2061881"/>
        </a:xfrm>
        <a:prstGeom prst="rect">
          <a:avLst/>
        </a:prstGeom>
      </xdr:spPr>
    </xdr:pic>
    <xdr:clientData/>
  </xdr:twoCellAnchor>
  <xdr:twoCellAnchor editAs="oneCell">
    <xdr:from>
      <xdr:col>9</xdr:col>
      <xdr:colOff>0</xdr:colOff>
      <xdr:row>373</xdr:row>
      <xdr:rowOff>0</xdr:rowOff>
    </xdr:from>
    <xdr:to>
      <xdr:col>19</xdr:col>
      <xdr:colOff>256409</xdr:colOff>
      <xdr:row>389</xdr:row>
      <xdr:rowOff>70267</xdr:rowOff>
    </xdr:to>
    <xdr:pic>
      <xdr:nvPicPr>
        <xdr:cNvPr id="34" name="Picture 33">
          <a:extLst>
            <a:ext uri="{FF2B5EF4-FFF2-40B4-BE49-F238E27FC236}">
              <a16:creationId xmlns:a16="http://schemas.microsoft.com/office/drawing/2014/main" id="{2DA319EE-82FC-BA60-A122-F93FD73D1BEF}"/>
            </a:ext>
          </a:extLst>
        </xdr:cNvPr>
        <xdr:cNvPicPr>
          <a:picLocks noChangeAspect="1"/>
        </xdr:cNvPicPr>
      </xdr:nvPicPr>
      <xdr:blipFill>
        <a:blip xmlns:r="http://schemas.openxmlformats.org/officeDocument/2006/relationships" r:embed="rId33"/>
        <a:stretch>
          <a:fillRect/>
        </a:stretch>
      </xdr:blipFill>
      <xdr:spPr>
        <a:xfrm>
          <a:off x="9883588" y="4090147"/>
          <a:ext cx="10609524" cy="2647619"/>
        </a:xfrm>
        <a:prstGeom prst="rect">
          <a:avLst/>
        </a:prstGeom>
      </xdr:spPr>
    </xdr:pic>
    <xdr:clientData/>
  </xdr:twoCellAnchor>
  <xdr:twoCellAnchor editAs="oneCell">
    <xdr:from>
      <xdr:col>9</xdr:col>
      <xdr:colOff>112059</xdr:colOff>
      <xdr:row>359</xdr:row>
      <xdr:rowOff>44823</xdr:rowOff>
    </xdr:from>
    <xdr:to>
      <xdr:col>13</xdr:col>
      <xdr:colOff>567143</xdr:colOff>
      <xdr:row>372</xdr:row>
      <xdr:rowOff>82825</xdr:rowOff>
    </xdr:to>
    <xdr:pic>
      <xdr:nvPicPr>
        <xdr:cNvPr id="36" name="Picture 35">
          <a:extLst>
            <a:ext uri="{FF2B5EF4-FFF2-40B4-BE49-F238E27FC236}">
              <a16:creationId xmlns:a16="http://schemas.microsoft.com/office/drawing/2014/main" id="{19E9C509-6239-27AF-6916-6954CD93C9AC}"/>
            </a:ext>
          </a:extLst>
        </xdr:cNvPr>
        <xdr:cNvPicPr>
          <a:picLocks noChangeAspect="1"/>
        </xdr:cNvPicPr>
      </xdr:nvPicPr>
      <xdr:blipFill>
        <a:blip xmlns:r="http://schemas.openxmlformats.org/officeDocument/2006/relationships" r:embed="rId34"/>
        <a:stretch>
          <a:fillRect/>
        </a:stretch>
      </xdr:blipFill>
      <xdr:spPr>
        <a:xfrm>
          <a:off x="9995647" y="1927411"/>
          <a:ext cx="6236199" cy="2088679"/>
        </a:xfrm>
        <a:prstGeom prst="rect">
          <a:avLst/>
        </a:prstGeom>
      </xdr:spPr>
    </xdr:pic>
    <xdr:clientData/>
  </xdr:twoCellAnchor>
  <xdr:twoCellAnchor editAs="oneCell">
    <xdr:from>
      <xdr:col>7</xdr:col>
      <xdr:colOff>336176</xdr:colOff>
      <xdr:row>309</xdr:row>
      <xdr:rowOff>44824</xdr:rowOff>
    </xdr:from>
    <xdr:to>
      <xdr:col>10</xdr:col>
      <xdr:colOff>117101</xdr:colOff>
      <xdr:row>324</xdr:row>
      <xdr:rowOff>135440</xdr:rowOff>
    </xdr:to>
    <xdr:pic>
      <xdr:nvPicPr>
        <xdr:cNvPr id="38" name="Picture 37">
          <a:extLst>
            <a:ext uri="{FF2B5EF4-FFF2-40B4-BE49-F238E27FC236}">
              <a16:creationId xmlns:a16="http://schemas.microsoft.com/office/drawing/2014/main" id="{BA607514-5EC5-549A-3F70-8E6D4BBDD6CD}"/>
            </a:ext>
          </a:extLst>
        </xdr:cNvPr>
        <xdr:cNvPicPr>
          <a:picLocks noChangeAspect="1"/>
        </xdr:cNvPicPr>
      </xdr:nvPicPr>
      <xdr:blipFill>
        <a:blip xmlns:r="http://schemas.openxmlformats.org/officeDocument/2006/relationships" r:embed="rId35"/>
        <a:stretch>
          <a:fillRect/>
        </a:stretch>
      </xdr:blipFill>
      <xdr:spPr>
        <a:xfrm>
          <a:off x="7283823" y="1927412"/>
          <a:ext cx="6107206" cy="2455057"/>
        </a:xfrm>
        <a:prstGeom prst="rect">
          <a:avLst/>
        </a:prstGeom>
      </xdr:spPr>
    </xdr:pic>
    <xdr:clientData/>
  </xdr:twoCellAnchor>
  <xdr:twoCellAnchor editAs="oneCell">
    <xdr:from>
      <xdr:col>7</xdr:col>
      <xdr:colOff>454639</xdr:colOff>
      <xdr:row>324</xdr:row>
      <xdr:rowOff>126468</xdr:rowOff>
    </xdr:from>
    <xdr:to>
      <xdr:col>11</xdr:col>
      <xdr:colOff>306162</xdr:colOff>
      <xdr:row>337</xdr:row>
      <xdr:rowOff>166689</xdr:rowOff>
    </xdr:to>
    <xdr:pic>
      <xdr:nvPicPr>
        <xdr:cNvPr id="40" name="Picture 39">
          <a:extLst>
            <a:ext uri="{FF2B5EF4-FFF2-40B4-BE49-F238E27FC236}">
              <a16:creationId xmlns:a16="http://schemas.microsoft.com/office/drawing/2014/main" id="{440553F8-1410-F2DC-F142-C20A9CB180C5}"/>
            </a:ext>
          </a:extLst>
        </xdr:cNvPr>
        <xdr:cNvPicPr>
          <a:picLocks noChangeAspect="1"/>
        </xdr:cNvPicPr>
      </xdr:nvPicPr>
      <xdr:blipFill>
        <a:blip xmlns:r="http://schemas.openxmlformats.org/officeDocument/2006/relationships" r:embed="rId36"/>
        <a:stretch>
          <a:fillRect/>
        </a:stretch>
      </xdr:blipFill>
      <xdr:spPr>
        <a:xfrm>
          <a:off x="7448710" y="4548789"/>
          <a:ext cx="6947648" cy="2226889"/>
        </a:xfrm>
        <a:prstGeom prst="rect">
          <a:avLst/>
        </a:prstGeom>
      </xdr:spPr>
    </xdr:pic>
    <xdr:clientData/>
  </xdr:twoCellAnchor>
  <xdr:twoCellAnchor editAs="oneCell">
    <xdr:from>
      <xdr:col>7</xdr:col>
      <xdr:colOff>632420</xdr:colOff>
      <xdr:row>262</xdr:row>
      <xdr:rowOff>157369</xdr:rowOff>
    </xdr:from>
    <xdr:to>
      <xdr:col>11</xdr:col>
      <xdr:colOff>75140</xdr:colOff>
      <xdr:row>274</xdr:row>
      <xdr:rowOff>149086</xdr:rowOff>
    </xdr:to>
    <xdr:pic>
      <xdr:nvPicPr>
        <xdr:cNvPr id="39" name="Picture 38">
          <a:extLst>
            <a:ext uri="{FF2B5EF4-FFF2-40B4-BE49-F238E27FC236}">
              <a16:creationId xmlns:a16="http://schemas.microsoft.com/office/drawing/2014/main" id="{4A92B1EB-2241-6E1C-EB8A-92B91B86CE49}"/>
            </a:ext>
          </a:extLst>
        </xdr:cNvPr>
        <xdr:cNvPicPr>
          <a:picLocks noChangeAspect="1"/>
        </xdr:cNvPicPr>
      </xdr:nvPicPr>
      <xdr:blipFill>
        <a:blip xmlns:r="http://schemas.openxmlformats.org/officeDocument/2006/relationships" r:embed="rId37"/>
        <a:stretch>
          <a:fillRect/>
        </a:stretch>
      </xdr:blipFill>
      <xdr:spPr>
        <a:xfrm>
          <a:off x="7606377" y="2145195"/>
          <a:ext cx="6530562" cy="1987827"/>
        </a:xfrm>
        <a:prstGeom prst="rect">
          <a:avLst/>
        </a:prstGeom>
        <a:ln>
          <a:solidFill>
            <a:schemeClr val="accent1"/>
          </a:solidFill>
        </a:ln>
      </xdr:spPr>
    </xdr:pic>
    <xdr:clientData/>
  </xdr:twoCellAnchor>
  <xdr:twoCellAnchor editAs="oneCell">
    <xdr:from>
      <xdr:col>7</xdr:col>
      <xdr:colOff>646043</xdr:colOff>
      <xdr:row>275</xdr:row>
      <xdr:rowOff>82826</xdr:rowOff>
    </xdr:from>
    <xdr:to>
      <xdr:col>15</xdr:col>
      <xdr:colOff>533634</xdr:colOff>
      <xdr:row>290</xdr:row>
      <xdr:rowOff>88651</xdr:rowOff>
    </xdr:to>
    <xdr:pic>
      <xdr:nvPicPr>
        <xdr:cNvPr id="41" name="Picture 40">
          <a:extLst>
            <a:ext uri="{FF2B5EF4-FFF2-40B4-BE49-F238E27FC236}">
              <a16:creationId xmlns:a16="http://schemas.microsoft.com/office/drawing/2014/main" id="{13D29B15-2BC5-F3AA-E9E5-7C02E5829664}"/>
            </a:ext>
          </a:extLst>
        </xdr:cNvPr>
        <xdr:cNvPicPr>
          <a:picLocks noChangeAspect="1"/>
        </xdr:cNvPicPr>
      </xdr:nvPicPr>
      <xdr:blipFill>
        <a:blip xmlns:r="http://schemas.openxmlformats.org/officeDocument/2006/relationships" r:embed="rId38"/>
        <a:stretch>
          <a:fillRect/>
        </a:stretch>
      </xdr:blipFill>
      <xdr:spPr>
        <a:xfrm>
          <a:off x="7620000" y="4232413"/>
          <a:ext cx="10109158" cy="2523735"/>
        </a:xfrm>
        <a:prstGeom prst="rect">
          <a:avLst/>
        </a:prstGeom>
        <a:ln>
          <a:solidFill>
            <a:schemeClr val="accent1"/>
          </a:solidFill>
        </a:ln>
      </xdr:spPr>
    </xdr:pic>
    <xdr:clientData/>
  </xdr:twoCellAnchor>
  <xdr:twoCellAnchor editAs="oneCell">
    <xdr:from>
      <xdr:col>7</xdr:col>
      <xdr:colOff>514350</xdr:colOff>
      <xdr:row>230</xdr:row>
      <xdr:rowOff>1</xdr:rowOff>
    </xdr:from>
    <xdr:to>
      <xdr:col>15</xdr:col>
      <xdr:colOff>1144</xdr:colOff>
      <xdr:row>244</xdr:row>
      <xdr:rowOff>19050</xdr:rowOff>
    </xdr:to>
    <xdr:pic>
      <xdr:nvPicPr>
        <xdr:cNvPr id="42" name="Picture 41">
          <a:extLst>
            <a:ext uri="{FF2B5EF4-FFF2-40B4-BE49-F238E27FC236}">
              <a16:creationId xmlns:a16="http://schemas.microsoft.com/office/drawing/2014/main" id="{6DBB87B8-5422-7C6E-E8C6-91428171F9BB}"/>
            </a:ext>
          </a:extLst>
        </xdr:cNvPr>
        <xdr:cNvPicPr>
          <a:picLocks noChangeAspect="1"/>
        </xdr:cNvPicPr>
      </xdr:nvPicPr>
      <xdr:blipFill>
        <a:blip xmlns:r="http://schemas.openxmlformats.org/officeDocument/2006/relationships" r:embed="rId39"/>
        <a:stretch>
          <a:fillRect/>
        </a:stretch>
      </xdr:blipFill>
      <xdr:spPr>
        <a:xfrm>
          <a:off x="7477125" y="4400551"/>
          <a:ext cx="9716644" cy="2324099"/>
        </a:xfrm>
        <a:prstGeom prst="rect">
          <a:avLst/>
        </a:prstGeom>
        <a:ln>
          <a:solidFill>
            <a:schemeClr val="accent1"/>
          </a:solidFill>
        </a:ln>
      </xdr:spPr>
    </xdr:pic>
    <xdr:clientData/>
  </xdr:twoCellAnchor>
  <xdr:twoCellAnchor editAs="oneCell">
    <xdr:from>
      <xdr:col>7</xdr:col>
      <xdr:colOff>438151</xdr:colOff>
      <xdr:row>216</xdr:row>
      <xdr:rowOff>47625</xdr:rowOff>
    </xdr:from>
    <xdr:to>
      <xdr:col>11</xdr:col>
      <xdr:colOff>0</xdr:colOff>
      <xdr:row>228</xdr:row>
      <xdr:rowOff>94130</xdr:rowOff>
    </xdr:to>
    <xdr:pic>
      <xdr:nvPicPr>
        <xdr:cNvPr id="43" name="Picture 42">
          <a:extLst>
            <a:ext uri="{FF2B5EF4-FFF2-40B4-BE49-F238E27FC236}">
              <a16:creationId xmlns:a16="http://schemas.microsoft.com/office/drawing/2014/main" id="{15F2ADD4-0592-2DAC-8AC0-FD69C0FAE5DD}"/>
            </a:ext>
          </a:extLst>
        </xdr:cNvPr>
        <xdr:cNvPicPr>
          <a:picLocks noChangeAspect="1"/>
        </xdr:cNvPicPr>
      </xdr:nvPicPr>
      <xdr:blipFill>
        <a:blip xmlns:r="http://schemas.openxmlformats.org/officeDocument/2006/relationships" r:embed="rId40"/>
        <a:stretch>
          <a:fillRect/>
        </a:stretch>
      </xdr:blipFill>
      <xdr:spPr>
        <a:xfrm>
          <a:off x="7400926" y="2171700"/>
          <a:ext cx="6657974" cy="1999130"/>
        </a:xfrm>
        <a:prstGeom prst="rect">
          <a:avLst/>
        </a:prstGeom>
        <a:ln>
          <a:solidFill>
            <a:schemeClr val="accent1"/>
          </a:solidFill>
        </a:ln>
      </xdr:spPr>
    </xdr:pic>
    <xdr:clientData/>
  </xdr:twoCellAnchor>
  <xdr:twoCellAnchor editAs="oneCell">
    <xdr:from>
      <xdr:col>7</xdr:col>
      <xdr:colOff>617509</xdr:colOff>
      <xdr:row>167</xdr:row>
      <xdr:rowOff>114300</xdr:rowOff>
    </xdr:from>
    <xdr:to>
      <xdr:col>11</xdr:col>
      <xdr:colOff>478136</xdr:colOff>
      <xdr:row>180</xdr:row>
      <xdr:rowOff>9524</xdr:rowOff>
    </xdr:to>
    <xdr:pic>
      <xdr:nvPicPr>
        <xdr:cNvPr id="45" name="Picture 44">
          <a:extLst>
            <a:ext uri="{FF2B5EF4-FFF2-40B4-BE49-F238E27FC236}">
              <a16:creationId xmlns:a16="http://schemas.microsoft.com/office/drawing/2014/main" id="{7B43972B-91CD-80F0-B779-F523DFA5E56E}"/>
            </a:ext>
          </a:extLst>
        </xdr:cNvPr>
        <xdr:cNvPicPr>
          <a:picLocks noChangeAspect="1"/>
        </xdr:cNvPicPr>
      </xdr:nvPicPr>
      <xdr:blipFill>
        <a:blip xmlns:r="http://schemas.openxmlformats.org/officeDocument/2006/relationships" r:embed="rId41"/>
        <a:stretch>
          <a:fillRect/>
        </a:stretch>
      </xdr:blipFill>
      <xdr:spPr>
        <a:xfrm>
          <a:off x="7580284" y="1914525"/>
          <a:ext cx="6956752" cy="2000250"/>
        </a:xfrm>
        <a:prstGeom prst="rect">
          <a:avLst/>
        </a:prstGeom>
        <a:ln>
          <a:solidFill>
            <a:schemeClr val="accent1"/>
          </a:solidFill>
        </a:ln>
      </xdr:spPr>
    </xdr:pic>
    <xdr:clientData/>
  </xdr:twoCellAnchor>
  <xdr:twoCellAnchor editAs="oneCell">
    <xdr:from>
      <xdr:col>7</xdr:col>
      <xdr:colOff>657224</xdr:colOff>
      <xdr:row>180</xdr:row>
      <xdr:rowOff>133350</xdr:rowOff>
    </xdr:from>
    <xdr:to>
      <xdr:col>11</xdr:col>
      <xdr:colOff>457200</xdr:colOff>
      <xdr:row>195</xdr:row>
      <xdr:rowOff>11520</xdr:rowOff>
    </xdr:to>
    <xdr:pic>
      <xdr:nvPicPr>
        <xdr:cNvPr id="46" name="Picture 45">
          <a:extLst>
            <a:ext uri="{FF2B5EF4-FFF2-40B4-BE49-F238E27FC236}">
              <a16:creationId xmlns:a16="http://schemas.microsoft.com/office/drawing/2014/main" id="{BD338BEF-7FF6-4783-8FBA-70057060C4F7}"/>
            </a:ext>
          </a:extLst>
        </xdr:cNvPr>
        <xdr:cNvPicPr>
          <a:picLocks noChangeAspect="1"/>
        </xdr:cNvPicPr>
      </xdr:nvPicPr>
      <xdr:blipFill>
        <a:blip xmlns:r="http://schemas.openxmlformats.org/officeDocument/2006/relationships" r:embed="rId42"/>
        <a:stretch>
          <a:fillRect/>
        </a:stretch>
      </xdr:blipFill>
      <xdr:spPr>
        <a:xfrm>
          <a:off x="7619999" y="4038600"/>
          <a:ext cx="6896101" cy="2335620"/>
        </a:xfrm>
        <a:prstGeom prst="rect">
          <a:avLst/>
        </a:prstGeom>
        <a:ln>
          <a:solidFill>
            <a:schemeClr val="accent1"/>
          </a:solidFill>
        </a:ln>
      </xdr:spPr>
    </xdr:pic>
    <xdr:clientData/>
  </xdr:twoCellAnchor>
  <xdr:twoCellAnchor editAs="oneCell">
    <xdr:from>
      <xdr:col>14</xdr:col>
      <xdr:colOff>581025</xdr:colOff>
      <xdr:row>180</xdr:row>
      <xdr:rowOff>133350</xdr:rowOff>
    </xdr:from>
    <xdr:to>
      <xdr:col>23</xdr:col>
      <xdr:colOff>621980</xdr:colOff>
      <xdr:row>195</xdr:row>
      <xdr:rowOff>0</xdr:rowOff>
    </xdr:to>
    <xdr:pic>
      <xdr:nvPicPr>
        <xdr:cNvPr id="47" name="Picture 46">
          <a:extLst>
            <a:ext uri="{FF2B5EF4-FFF2-40B4-BE49-F238E27FC236}">
              <a16:creationId xmlns:a16="http://schemas.microsoft.com/office/drawing/2014/main" id="{015BAEDE-6CBD-E286-0BF6-0FDE8968B358}"/>
            </a:ext>
          </a:extLst>
        </xdr:cNvPr>
        <xdr:cNvPicPr>
          <a:picLocks noChangeAspect="1"/>
        </xdr:cNvPicPr>
      </xdr:nvPicPr>
      <xdr:blipFill>
        <a:blip xmlns:r="http://schemas.openxmlformats.org/officeDocument/2006/relationships" r:embed="rId43"/>
        <a:stretch>
          <a:fillRect/>
        </a:stretch>
      </xdr:blipFill>
      <xdr:spPr>
        <a:xfrm>
          <a:off x="14592300" y="4038600"/>
          <a:ext cx="6898955" cy="2324100"/>
        </a:xfrm>
        <a:prstGeom prst="rect">
          <a:avLst/>
        </a:prstGeom>
        <a:ln>
          <a:solidFill>
            <a:schemeClr val="accent1"/>
          </a:solidFill>
        </a:ln>
      </xdr:spPr>
    </xdr:pic>
    <xdr:clientData/>
  </xdr:twoCellAnchor>
  <xdr:twoCellAnchor editAs="oneCell">
    <xdr:from>
      <xdr:col>7</xdr:col>
      <xdr:colOff>712897</xdr:colOff>
      <xdr:row>120</xdr:row>
      <xdr:rowOff>2</xdr:rowOff>
    </xdr:from>
    <xdr:to>
      <xdr:col>12</xdr:col>
      <xdr:colOff>527458</xdr:colOff>
      <xdr:row>131</xdr:row>
      <xdr:rowOff>49699</xdr:rowOff>
    </xdr:to>
    <xdr:pic>
      <xdr:nvPicPr>
        <xdr:cNvPr id="48" name="Picture 47">
          <a:extLst>
            <a:ext uri="{FF2B5EF4-FFF2-40B4-BE49-F238E27FC236}">
              <a16:creationId xmlns:a16="http://schemas.microsoft.com/office/drawing/2014/main" id="{BE107ED9-5B78-029E-F514-692ECA877E2D}"/>
            </a:ext>
          </a:extLst>
        </xdr:cNvPr>
        <xdr:cNvPicPr>
          <a:picLocks noChangeAspect="1"/>
        </xdr:cNvPicPr>
      </xdr:nvPicPr>
      <xdr:blipFill>
        <a:blip xmlns:r="http://schemas.openxmlformats.org/officeDocument/2006/relationships" r:embed="rId44"/>
        <a:stretch>
          <a:fillRect/>
        </a:stretch>
      </xdr:blipFill>
      <xdr:spPr>
        <a:xfrm>
          <a:off x="7686854" y="2004393"/>
          <a:ext cx="7683453" cy="1871870"/>
        </a:xfrm>
        <a:prstGeom prst="rect">
          <a:avLst/>
        </a:prstGeom>
        <a:ln>
          <a:solidFill>
            <a:schemeClr val="accent1"/>
          </a:solidFill>
        </a:ln>
      </xdr:spPr>
    </xdr:pic>
    <xdr:clientData/>
  </xdr:twoCellAnchor>
  <xdr:twoCellAnchor editAs="oneCell">
    <xdr:from>
      <xdr:col>7</xdr:col>
      <xdr:colOff>672084</xdr:colOff>
      <xdr:row>132</xdr:row>
      <xdr:rowOff>157370</xdr:rowOff>
    </xdr:from>
    <xdr:to>
      <xdr:col>12</xdr:col>
      <xdr:colOff>719669</xdr:colOff>
      <xdr:row>144</xdr:row>
      <xdr:rowOff>57979</xdr:rowOff>
    </xdr:to>
    <xdr:pic>
      <xdr:nvPicPr>
        <xdr:cNvPr id="49" name="Picture 48">
          <a:extLst>
            <a:ext uri="{FF2B5EF4-FFF2-40B4-BE49-F238E27FC236}">
              <a16:creationId xmlns:a16="http://schemas.microsoft.com/office/drawing/2014/main" id="{09A967E2-3483-45C5-2A21-DD778BD9AA3A}"/>
            </a:ext>
          </a:extLst>
        </xdr:cNvPr>
        <xdr:cNvPicPr>
          <a:picLocks noChangeAspect="1"/>
        </xdr:cNvPicPr>
      </xdr:nvPicPr>
      <xdr:blipFill>
        <a:blip xmlns:r="http://schemas.openxmlformats.org/officeDocument/2006/relationships" r:embed="rId45"/>
        <a:stretch>
          <a:fillRect/>
        </a:stretch>
      </xdr:blipFill>
      <xdr:spPr>
        <a:xfrm>
          <a:off x="7646041" y="4149587"/>
          <a:ext cx="7916477" cy="1913283"/>
        </a:xfrm>
        <a:prstGeom prst="rect">
          <a:avLst/>
        </a:prstGeom>
        <a:ln>
          <a:solidFill>
            <a:schemeClr val="accent1"/>
          </a:solidFill>
        </a:ln>
      </xdr:spPr>
    </xdr:pic>
    <xdr:clientData/>
  </xdr:twoCellAnchor>
  <xdr:twoCellAnchor editAs="oneCell">
    <xdr:from>
      <xdr:col>16</xdr:col>
      <xdr:colOff>235837</xdr:colOff>
      <xdr:row>132</xdr:row>
      <xdr:rowOff>115956</xdr:rowOff>
    </xdr:from>
    <xdr:to>
      <xdr:col>23</xdr:col>
      <xdr:colOff>684233</xdr:colOff>
      <xdr:row>144</xdr:row>
      <xdr:rowOff>0</xdr:rowOff>
    </xdr:to>
    <xdr:pic>
      <xdr:nvPicPr>
        <xdr:cNvPr id="50" name="Picture 49">
          <a:extLst>
            <a:ext uri="{FF2B5EF4-FFF2-40B4-BE49-F238E27FC236}">
              <a16:creationId xmlns:a16="http://schemas.microsoft.com/office/drawing/2014/main" id="{FAA5F41F-2416-7045-8999-9F1F21FD0138}"/>
            </a:ext>
          </a:extLst>
        </xdr:cNvPr>
        <xdr:cNvPicPr>
          <a:picLocks noChangeAspect="1"/>
        </xdr:cNvPicPr>
      </xdr:nvPicPr>
      <xdr:blipFill>
        <a:blip xmlns:r="http://schemas.openxmlformats.org/officeDocument/2006/relationships" r:embed="rId46"/>
        <a:stretch>
          <a:fillRect/>
        </a:stretch>
      </xdr:blipFill>
      <xdr:spPr>
        <a:xfrm>
          <a:off x="15774011" y="4108173"/>
          <a:ext cx="5782396" cy="1896718"/>
        </a:xfrm>
        <a:prstGeom prst="rect">
          <a:avLst/>
        </a:prstGeom>
        <a:ln>
          <a:solidFill>
            <a:schemeClr val="accent1"/>
          </a:solidFill>
        </a:ln>
      </xdr:spPr>
    </xdr:pic>
    <xdr:clientData/>
  </xdr:twoCellAnchor>
  <xdr:twoCellAnchor editAs="oneCell">
    <xdr:from>
      <xdr:col>2</xdr:col>
      <xdr:colOff>1</xdr:colOff>
      <xdr:row>35</xdr:row>
      <xdr:rowOff>28576</xdr:rowOff>
    </xdr:from>
    <xdr:to>
      <xdr:col>8</xdr:col>
      <xdr:colOff>23347</xdr:colOff>
      <xdr:row>48</xdr:row>
      <xdr:rowOff>76201</xdr:rowOff>
    </xdr:to>
    <xdr:pic>
      <xdr:nvPicPr>
        <xdr:cNvPr id="51" name="Picture 50">
          <a:extLst>
            <a:ext uri="{FF2B5EF4-FFF2-40B4-BE49-F238E27FC236}">
              <a16:creationId xmlns:a16="http://schemas.microsoft.com/office/drawing/2014/main" id="{C9AC76F5-3788-37D1-7DAD-66836657F297}"/>
            </a:ext>
          </a:extLst>
        </xdr:cNvPr>
        <xdr:cNvPicPr>
          <a:picLocks noChangeAspect="1"/>
        </xdr:cNvPicPr>
      </xdr:nvPicPr>
      <xdr:blipFill>
        <a:blip xmlns:r="http://schemas.openxmlformats.org/officeDocument/2006/relationships" r:embed="rId47"/>
        <a:stretch>
          <a:fillRect/>
        </a:stretch>
      </xdr:blipFill>
      <xdr:spPr>
        <a:xfrm>
          <a:off x="600076" y="6057901"/>
          <a:ext cx="8167221" cy="2152650"/>
        </a:xfrm>
        <a:prstGeom prst="rect">
          <a:avLst/>
        </a:prstGeom>
        <a:ln>
          <a:solidFill>
            <a:schemeClr val="accent1"/>
          </a:solidFill>
        </a:ln>
      </xdr:spPr>
    </xdr:pic>
    <xdr:clientData/>
  </xdr:twoCellAnchor>
  <xdr:twoCellAnchor editAs="oneCell">
    <xdr:from>
      <xdr:col>2</xdr:col>
      <xdr:colOff>1</xdr:colOff>
      <xdr:row>53</xdr:row>
      <xdr:rowOff>0</xdr:rowOff>
    </xdr:from>
    <xdr:to>
      <xdr:col>8</xdr:col>
      <xdr:colOff>1143000</xdr:colOff>
      <xdr:row>62</xdr:row>
      <xdr:rowOff>95250</xdr:rowOff>
    </xdr:to>
    <xdr:pic>
      <xdr:nvPicPr>
        <xdr:cNvPr id="52" name="Picture 51">
          <a:extLst>
            <a:ext uri="{FF2B5EF4-FFF2-40B4-BE49-F238E27FC236}">
              <a16:creationId xmlns:a16="http://schemas.microsoft.com/office/drawing/2014/main" id="{91191B18-DCB4-B45A-D6AE-D76E26909EAB}"/>
            </a:ext>
          </a:extLst>
        </xdr:cNvPr>
        <xdr:cNvPicPr>
          <a:picLocks noChangeAspect="1"/>
        </xdr:cNvPicPr>
      </xdr:nvPicPr>
      <xdr:blipFill>
        <a:blip xmlns:r="http://schemas.openxmlformats.org/officeDocument/2006/relationships" r:embed="rId48"/>
        <a:stretch>
          <a:fillRect/>
        </a:stretch>
      </xdr:blipFill>
      <xdr:spPr>
        <a:xfrm>
          <a:off x="600076" y="8943975"/>
          <a:ext cx="9286874" cy="1552575"/>
        </a:xfrm>
        <a:prstGeom prst="rect">
          <a:avLst/>
        </a:prstGeom>
        <a:ln>
          <a:solidFill>
            <a:schemeClr val="accent1"/>
          </a:solidFill>
        </a:ln>
      </xdr:spPr>
    </xdr:pic>
    <xdr:clientData/>
  </xdr:twoCellAnchor>
  <xdr:twoCellAnchor editAs="oneCell">
    <xdr:from>
      <xdr:col>2</xdr:col>
      <xdr:colOff>1</xdr:colOff>
      <xdr:row>66</xdr:row>
      <xdr:rowOff>0</xdr:rowOff>
    </xdr:from>
    <xdr:to>
      <xdr:col>8</xdr:col>
      <xdr:colOff>1101466</xdr:colOff>
      <xdr:row>74</xdr:row>
      <xdr:rowOff>85725</xdr:rowOff>
    </xdr:to>
    <xdr:pic>
      <xdr:nvPicPr>
        <xdr:cNvPr id="53" name="Picture 52">
          <a:extLst>
            <a:ext uri="{FF2B5EF4-FFF2-40B4-BE49-F238E27FC236}">
              <a16:creationId xmlns:a16="http://schemas.microsoft.com/office/drawing/2014/main" id="{0ABDA598-4CFC-C251-F88F-74775CCA7716}"/>
            </a:ext>
          </a:extLst>
        </xdr:cNvPr>
        <xdr:cNvPicPr>
          <a:picLocks noChangeAspect="1"/>
        </xdr:cNvPicPr>
      </xdr:nvPicPr>
      <xdr:blipFill>
        <a:blip xmlns:r="http://schemas.openxmlformats.org/officeDocument/2006/relationships" r:embed="rId49"/>
        <a:stretch>
          <a:fillRect/>
        </a:stretch>
      </xdr:blipFill>
      <xdr:spPr>
        <a:xfrm>
          <a:off x="600076" y="11049000"/>
          <a:ext cx="9245340" cy="1381125"/>
        </a:xfrm>
        <a:prstGeom prst="rect">
          <a:avLst/>
        </a:prstGeom>
        <a:ln>
          <a:solidFill>
            <a:schemeClr val="accent1"/>
          </a:solidFill>
        </a:ln>
      </xdr:spPr>
    </xdr:pic>
    <xdr:clientData/>
  </xdr:twoCellAnchor>
  <xdr:twoCellAnchor editAs="oneCell">
    <xdr:from>
      <xdr:col>1</xdr:col>
      <xdr:colOff>361950</xdr:colOff>
      <xdr:row>74</xdr:row>
      <xdr:rowOff>133350</xdr:rowOff>
    </xdr:from>
    <xdr:to>
      <xdr:col>8</xdr:col>
      <xdr:colOff>1114425</xdr:colOff>
      <xdr:row>88</xdr:row>
      <xdr:rowOff>5577</xdr:rowOff>
    </xdr:to>
    <xdr:pic>
      <xdr:nvPicPr>
        <xdr:cNvPr id="55" name="Picture 54">
          <a:extLst>
            <a:ext uri="{FF2B5EF4-FFF2-40B4-BE49-F238E27FC236}">
              <a16:creationId xmlns:a16="http://schemas.microsoft.com/office/drawing/2014/main" id="{E5734094-D15F-AB81-E98A-C43F07F3776A}"/>
            </a:ext>
          </a:extLst>
        </xdr:cNvPr>
        <xdr:cNvPicPr>
          <a:picLocks noChangeAspect="1"/>
        </xdr:cNvPicPr>
      </xdr:nvPicPr>
      <xdr:blipFill>
        <a:blip xmlns:r="http://schemas.openxmlformats.org/officeDocument/2006/relationships" r:embed="rId50"/>
        <a:stretch>
          <a:fillRect/>
        </a:stretch>
      </xdr:blipFill>
      <xdr:spPr>
        <a:xfrm>
          <a:off x="590550" y="12477750"/>
          <a:ext cx="9267825" cy="2139177"/>
        </a:xfrm>
        <a:prstGeom prst="rect">
          <a:avLst/>
        </a:prstGeom>
        <a:ln>
          <a:solidFill>
            <a:schemeClr val="accent1"/>
          </a:solid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tp_sfnt01\GBlank$\Documents%20and%20Settings\GBlank\Local%20Settings\Temporary%20Internet%20Files\OLK39\TSA%20Model%20-%201%208%2006%20-%20v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F:\Office\Media\COMPS%20-%20B2B%20Publishers.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tp_sfnt01\GBlank$\My%20Documents\TPG\LBO\Bally\BFT%20Forecast%20Model.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P:\METG%20Template.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F:\Bank%20Loan%20Team\APPROVAL%20MEMOS\Endurance%20Media\BLT%20Work\EBM%20Quarterly%20Model.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M:\Bank%20Loan%20Team\ELK%20TEAM\Models\Presentation\Draft%20Presentation%20Files\Presentation%20Info%2022%20(Adam%20Silver).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M:\Bank%20Loan%20Team\ELK%20TEAM\Models\Presentation\Draft%20Presentation%20Files\PresentationChartData.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Projects5\Barracuda\WCMP%20II\PORTFOLIO%20COMPANIES\Jobson%20Medical%20Information\Bank%20Correspondence\JMI%20Model%20(Wx%20Model%20-%20BMO%20Adjusted%205-18).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E:\WCMP%20II\INACTIVE%20DEALS\Facts%20on%20File\Transaction%20Models\FOF%20Model%20v3%20(Asset%20Purchase).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Projects5\Barracuda\Documents%20and%20Settings\nbk7h1e\Local%20Settings\Temporary%20Internet%20Files\OLK61\Bank%20Austria\Returns@@@2.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Projects5\Barracuda\Deals%20-%20In%20Process\TruCom\BridgeCom%20Budget%202001.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Ny-fil01\data\Wicks\Wicks%20Model\JMI%20Model%20(Wx%20Model%20-%20BMO%20Adjusted%205-18).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Projects5\Barracuda\Deals%20-%20In%20Process\Crescent%20Publishing%20Company,%20LLC\R0%20-%20Aug%202,%202001\CrescentPublishing%20Model%208-01%20R0.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Projects5\Barracuda\Credit%20Derivatives%20Group\Emerging\CBO\MFS\Jersey%20Street%20CLO\Warehouse\Warehouse%20Report\versions\August\Jersey%20Street%20CLO%208.7.06%20Committed.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http://mail.wicksgroup.com/PORTFOLIO%20COMPANIES/Bressler%20Outdoor/Financial%20Models/SubDebt%20Model%20-%20IRR%20-$30MM%20Equity.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ominous.studioholdings.net\temp\unzipped\7xbb01_\7b7k01_.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ominous.studioholdings.net\temp\TEMP\Consolidated%2012-4-00.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ttc-neptune\accounting\Invoices\Invoice%2099\z.December%201999\DEC99Invoice%20Summary.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Projects5\Barracuda\Rosetta%20Stone%20Model%20(91"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Projects5\Barracuda\Documents%20and%20Settings\smarimow\My%20Documents\Companies\Univision\Model\Bank%20Model%20-%20Financing\Company%20Materials\Company%20Materials\Bank%20Model_9.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F:\Bank%20Loan%20Team%20Research\_RAs\Takacs_G\PORTFOLIO%20-%20Takacs.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file:///F:\Documents%20and%20Settings\Kim\Local%20Settings\Temporary%20Internet%20Files\Content.IE5\YTHBT5P6\Spring%202002\Modeling\Problem%204%20worksheet.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Projects5\Barracuda\Documents%20and%20Settings\smarimow\My%20Documents\Companies\Univision\Model\Bank%20Model%20-%20Financing\Bank%20Model_21.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IMNT14\USERS$\mm93223\My%20Documents\Templates\Servicing%20Template%20-%20MAB.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file:///\\Projects5\Barracuda\Documents%20and%20Settings\EMcKee\Local%20Settings\Temporary%20Internet%20Files\OLK12\65%20UVN%207-Year%20Model.xls"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file:///F:\Documents%20and%20Settings\Kim\Local%20Settings\Temporary%20Internet%20Files\Content.IE5\YTHBT5P6\windows\TEMP\financial%20forecast%207.27.98.xls"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file:///\\Projects5\Barracuda\Beckett\Deals%20in%20process\UniFocus%20R6\Unifocus%20Model%204-02%20R6.xls"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file:///\\Projects5\Barracuda\Documents%20and%20Settings\CRothbard\Local%20Settings\Temporary%20Internet%20Files\OLK146\JMI_WMI%20Financing%20Model%20(02-09-06)_vTD4%2006.xls"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file:///\\Projects5\Barracuda\Documents%20and%20Settings\jorr\Local%20Settings\Temporary%20Internet%20Files\OLK27\MC-DW-JOB%20Merger%20Model%20for%20Syndicate%20-%203.31.05%20rjf%205.03.05.xls"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file:///\\Projects5\Barracuda\WCMP%20II\PORTFOLIO%20COMPANIES\Jobson%20Medical%20Information\Corporate%20Development\JMI_WMI%20Combination\2005.11\Oct%202005\MEDCON%20Projection%20Model%20September%202005%20(09-13-05)%20v2.xls"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file:///\\ominous.studioholdings.net\temp\M&amp;A_Deal\New%20Models\dcf.short.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odel"/>
      <sheetName val="Returns Summary"/>
      <sheetName val="Case Logic"/>
      <sheetName val="Option Summary"/>
      <sheetName val="TRANSACTION"/>
    </sheetNames>
    <sheetDataSet>
      <sheetData sheetId="0"/>
      <sheetData sheetId="1"/>
      <sheetData sheetId="2"/>
      <sheetData sheetId="3"/>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d Page"/>
      <sheetName val="Deal Multiples"/>
      <sheetName val="Asset Coverage"/>
      <sheetName val="Status"/>
      <sheetName val="Output"/>
      <sheetName val="Graphs"/>
      <sheetName val="Inputs"/>
      <sheetName val="WARF"/>
      <sheetName val="Comps"/>
      <sheetName val="Magazines"/>
      <sheetName val="2"/>
      <sheetName val="4"/>
      <sheetName val="5"/>
      <sheetName val="6"/>
      <sheetName val="7"/>
      <sheetName val="8"/>
      <sheetName val="10"/>
      <sheetName val="11"/>
      <sheetName val="12"/>
      <sheetName val="14"/>
      <sheetName val="16"/>
      <sheetName val="1"/>
      <sheetName val="3"/>
      <sheetName val="9"/>
      <sheetName val="13"/>
      <sheetName val="15"/>
      <sheetName val="ARP"/>
      <sheetName val="CNG"/>
      <sheetName val="F&amp;W"/>
      <sheetName val="HNW"/>
      <sheetName val="IMO"/>
      <sheetName val="JMI"/>
      <sheetName val="MMH"/>
      <sheetName val="PRM"/>
      <sheetName val="RDA"/>
      <sheetName val="SRCE"/>
      <sheetName val="SPRG"/>
      <sheetName val="WNM"/>
      <sheetName val="RVDP"/>
      <sheetName val="SMTB"/>
      <sheetName val="TMN"/>
      <sheetName val="Portfolio"/>
      <sheetName val="LBO Summary"/>
      <sheetName val="Chart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put"/>
      <sheetName val="attrition"/>
      <sheetName val="Sheet1"/>
      <sheetName val="IncStmt"/>
      <sheetName val="CashFlow"/>
      <sheetName val="BalSht"/>
      <sheetName val="Allowance"/>
      <sheetName val="CashEBITDA"/>
      <sheetName val="FxdChg"/>
      <sheetName val="Ratio"/>
      <sheetName val="Module1"/>
      <sheetName val="LBO Summary"/>
      <sheetName val="Charts"/>
    </sheetNames>
    <sheetDataSet>
      <sheetData sheetId="0"/>
      <sheetData sheetId="1"/>
      <sheetData sheetId="2"/>
      <sheetData sheetId="3"/>
      <sheetData sheetId="4"/>
      <sheetData sheetId="5"/>
      <sheetData sheetId="6"/>
      <sheetData sheetId="7"/>
      <sheetData sheetId="8"/>
      <sheetData sheetId="9"/>
      <sheetData sheetId="10" refreshError="1"/>
      <sheetData sheetId="11" refreshError="1"/>
      <sheetData sheetId="1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Tanning Assumptions"/>
      <sheetName val="Tanning P&amp;L"/>
      <sheetName val="Tanning Balance Sheets"/>
      <sheetName val="Tanning Cash Flows"/>
      <sheetName val="Meta P&amp;L"/>
      <sheetName val="Meta Balance Sheet"/>
      <sheetName val="Meta Cash Flow"/>
      <sheetName val="Combined Balance Sheet"/>
      <sheetName val="Combined P&amp;L"/>
      <sheetName val="Combined Cash Flow"/>
      <sheetName val="Shares"/>
      <sheetName val="EssRet"/>
      <sheetName val="Meta Segments"/>
      <sheetName val="Capex"/>
      <sheetName val="Sheet5"/>
      <sheetName val="D"/>
      <sheetName val="TRANSACTIO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efreshError="1"/>
      <sheetData sheetId="16" refreshError="1"/>
      <sheetData sheetId="17"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fo"/>
      <sheetName val="Qual. Analysis"/>
      <sheetName val="Inputs"/>
      <sheetName val="Base"/>
      <sheetName val="EV_DCF Analysis"/>
      <sheetName val="VeCTOR Import"/>
      <sheetName val="Annual Summary"/>
    </sheetNames>
    <sheetDataSet>
      <sheetData sheetId="0" refreshError="1"/>
      <sheetData sheetId="1"/>
      <sheetData sheetId="2"/>
      <sheetData sheetId="3"/>
      <sheetData sheetId="4"/>
      <sheetData sheetId="5"/>
      <sheetData sheetId="6"/>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lections"/>
      <sheetName val="Calcs"/>
      <sheetName val="Account"/>
      <sheetName val="OCTrends"/>
      <sheetName val="ICTrends"/>
      <sheetName val="DivTrends"/>
      <sheetName val="WARFTrends"/>
      <sheetName val="WARFFitchTrends"/>
      <sheetName val="WASTrends"/>
      <sheetName val="WACTrends"/>
      <sheetName val="WALTrends"/>
      <sheetName val="Debt Structure"/>
      <sheetName val="Fund Schedule"/>
      <sheetName val="Principal"/>
      <sheetName val="Ineligible"/>
      <sheetName val="S&amp;P Industry"/>
      <sheetName val="Trade Activity Summary"/>
      <sheetName val="Sale Activity Bond"/>
      <sheetName val="Sale Activity"/>
      <sheetName val="Buy Activity Bond"/>
      <sheetName val="Buy Activity"/>
      <sheetName val="Default"/>
      <sheetName val="CCC"/>
      <sheetName val="CCCBond"/>
      <sheetName val="Presentation Info 22 (Adam Silv"/>
    </sheetNames>
    <sheetDataSet>
      <sheetData sheetId="0" refreshError="1"/>
      <sheetData sheetId="1" refreshError="1"/>
      <sheetData sheetId="2"/>
      <sheetData sheetId="3" refreshError="1"/>
      <sheetData sheetId="4" refreshError="1"/>
      <sheetData sheetId="5" refreshError="1"/>
      <sheetData sheetId="6" refreshError="1"/>
      <sheetData sheetId="7"/>
      <sheetData sheetId="8" refreshError="1"/>
      <sheetData sheetId="9" refreshError="1"/>
      <sheetData sheetId="10" refreshError="1"/>
      <sheetData sheetId="11"/>
      <sheetData sheetId="12"/>
      <sheetData sheetId="13" refreshError="1"/>
      <sheetData sheetId="14"/>
      <sheetData sheetId="15"/>
      <sheetData sheetId="16"/>
      <sheetData sheetId="17"/>
      <sheetData sheetId="18"/>
      <sheetData sheetId="19"/>
      <sheetData sheetId="20"/>
      <sheetData sheetId="21"/>
      <sheetData sheetId="22"/>
      <sheetData sheetId="23"/>
      <sheetData sheetId="24"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UM YTD 2000"/>
      <sheetName val="AUM_Chart"/>
      <sheetName val="Cap Structure"/>
      <sheetName val="TOP10"/>
      <sheetName val="DefaultHistory"/>
      <sheetName val="DefaultedSecuritySummary"/>
      <sheetName val="DefaultedSecuritySummary2"/>
      <sheetName val="DefaultedSecurityData"/>
      <sheetName val="Actual vs Covenant"/>
      <sheetName val="APEX"/>
      <sheetName val="APEX_MR"/>
      <sheetName val="APEX_SR"/>
      <sheetName val="APEX_MI"/>
      <sheetName val="APEX_SI"/>
      <sheetName val="ELC1"/>
      <sheetName val="ELC1_SR"/>
      <sheetName val="ELC1_MR"/>
      <sheetName val="ELC1_FR"/>
      <sheetName val="ELC1_SI"/>
      <sheetName val="ELC1_MI"/>
      <sheetName val="ELC2"/>
      <sheetName val="ELC2_SR"/>
      <sheetName val="ELC2_FR"/>
      <sheetName val="ELC2_SI"/>
      <sheetName val="ELC2_MI"/>
      <sheetName val="ELC3"/>
      <sheetName val="ELC3_MR"/>
      <sheetName val="ELC3_SR"/>
      <sheetName val="ELC3_FR"/>
      <sheetName val="ELC3_MI"/>
      <sheetName val="ELC3_SI"/>
      <sheetName val="ELC4"/>
      <sheetName val="ELC4_MR"/>
      <sheetName val="ELC4_SR"/>
      <sheetName val="ELC4_MI"/>
      <sheetName val="ELC4_SI"/>
      <sheetName val="ELC5"/>
      <sheetName val="ELC5_MR"/>
      <sheetName val="ELC5_SR"/>
      <sheetName val="ELC5_MI"/>
      <sheetName val="ELC5_SI"/>
      <sheetName val="TRYN"/>
      <sheetName val="TRYN_MR"/>
      <sheetName val="TRYN_SR"/>
      <sheetName val="TRYN_SI"/>
      <sheetName val="TRYN_MI"/>
      <sheetName val="SaleData"/>
      <sheetName val="SH_Results"/>
      <sheetName val="SH_APEX"/>
      <sheetName val="SH_ELC1"/>
      <sheetName val="SH_ELC2"/>
      <sheetName val="SH_ELC3"/>
      <sheetName val="SH_ELC4"/>
      <sheetName val="SH_ELC5"/>
      <sheetName val="SH_TRY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
      <sheetName val="EBITDA SUM"/>
      <sheetName val="RIF SUM"/>
      <sheetName val="OBS"/>
      <sheetName val="AFS"/>
      <sheetName val="MIS"/>
      <sheetName val="MBS"/>
      <sheetName val="MCF"/>
      <sheetName val="MC-MIS"/>
      <sheetName val="ED-MIS"/>
      <sheetName val="MED PUB-MIS"/>
      <sheetName val="OPT-MIS"/>
      <sheetName val="REV"/>
      <sheetName val="EXP"/>
      <sheetName val="MODR"/>
      <sheetName val="D&amp;A"/>
      <sheetName val="DEBT"/>
      <sheetName val="COVS"/>
      <sheetName val="DISPLAY"/>
      <sheetName val="CONTRO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amp;U"/>
      <sheetName val="BS"/>
      <sheetName val="IS"/>
      <sheetName val="CFS"/>
      <sheetName val="REV"/>
      <sheetName val="RATIO"/>
      <sheetName val="RETURN"/>
      <sheetName val="CONTROL"/>
      <sheetName val="D&amp;A"/>
    </sheetNames>
    <sheetDataSet>
      <sheetData sheetId="0" refreshError="1"/>
      <sheetData sheetId="1"/>
      <sheetData sheetId="2"/>
      <sheetData sheetId="3" refreshError="1"/>
      <sheetData sheetId="4" refreshError="1"/>
      <sheetData sheetId="5"/>
      <sheetData sheetId="6" refreshError="1"/>
      <sheetData sheetId="7" refreshError="1"/>
      <sheetData sheetId="8"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shflows"/>
      <sheetName val="OC-IC"/>
      <sheetName val="Sources and Uses"/>
      <sheetName val="After Tax"/>
      <sheetName val="Tax Report"/>
      <sheetName val="Price Yield"/>
      <sheetName val="LIBOR"/>
      <sheetName val="Revolver"/>
      <sheetName val="PV Calc"/>
      <sheetName val="Module1"/>
    </sheetNames>
    <sheetDataSet>
      <sheetData sheetId="0"/>
      <sheetData sheetId="1"/>
      <sheetData sheetId="2"/>
      <sheetData sheetId="3"/>
      <sheetData sheetId="4"/>
      <sheetData sheetId="5"/>
      <sheetData sheetId="6"/>
      <sheetData sheetId="7"/>
      <sheetData sheetId="8"/>
      <sheetData sheetId="9"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STER DRIVER"/>
      <sheetName val="Sheet1"/>
      <sheetName val="Bcom IS-Mnthly"/>
      <sheetName val="Conversion Balance Sheet"/>
      <sheetName val="Bcom BS-Mnthly"/>
      <sheetName val="Bcom FAS95-Mnthly"/>
      <sheetName val="Bcom Rollup-Income"/>
      <sheetName val="Bcom Rollup- Balance"/>
      <sheetName val="Bcom Conversion Charge Adj"/>
      <sheetName val="Bcom Debt"/>
      <sheetName val="Bcom Fixed Assets"/>
      <sheetName val="Bcom Lines"/>
      <sheetName val="Bcom New AE Efficiency"/>
      <sheetName val="Bcom Rev"/>
      <sheetName val="Bcom COGS"/>
      <sheetName val="Bcom-SG&amp;A,Taxes"/>
      <sheetName val="Bcom HEADCOUNT"/>
      <sheetName val="MasterDriverTrucom"/>
      <sheetName val="TruCom IS"/>
      <sheetName val="TruCom BS"/>
      <sheetName val="TruCom FAS95-Mnthly"/>
      <sheetName val="TruCom Rev"/>
      <sheetName val="TruCom COGS"/>
      <sheetName val="TruCom Lines"/>
      <sheetName val="TruCom-SG&amp;A,Taxes"/>
      <sheetName val="TruCom HEADCOUNT"/>
      <sheetName val="TruCom Amort."/>
      <sheetName val="TruCom Fixed Assets"/>
      <sheetName val="TruCom Debt"/>
      <sheetName val="TruCom Debt worksheet"/>
      <sheetName val="Cap Tables"/>
      <sheetName val="TruCom Cash Acct. Recon."/>
      <sheetName val="MASTER"/>
    </sheetNames>
    <sheetDataSet>
      <sheetData sheetId="0" refreshError="1"/>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
      <sheetName val="EBITDA SUM"/>
      <sheetName val="RIF SUM"/>
      <sheetName val="OBS"/>
      <sheetName val="AFS"/>
      <sheetName val="MIS"/>
      <sheetName val="MBS"/>
      <sheetName val="MCF"/>
      <sheetName val="MC-MIS"/>
      <sheetName val="ED-MIS"/>
      <sheetName val="MED PUB-MIS"/>
      <sheetName val="DISPLAY"/>
      <sheetName val="OPT-MIS"/>
      <sheetName val="REV"/>
      <sheetName val="EXP"/>
      <sheetName val="MODR"/>
      <sheetName val="D&amp;A"/>
      <sheetName val="DEBT"/>
      <sheetName val="COVS"/>
      <sheetName val="CONTRO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CM 2000 Rev Chart"/>
      <sheetName val="MCM 2001 Rev Chart"/>
      <sheetName val="MCM 1999 P&amp;L"/>
      <sheetName val="MCM 2000 P&amp;L"/>
      <sheetName val="MCM 2001 Plan"/>
      <sheetName val="MCM 2000 and 2001 Plan"/>
      <sheetName val="GSN Hist IS"/>
      <sheetName val="GSN Hist BS"/>
      <sheetName val="CC 2000 Detail"/>
      <sheetName val="CC 2000 IS"/>
      <sheetName val="CC 2000 BS"/>
      <sheetName val="CC 2000 CF"/>
      <sheetName val="Crescent Mo IS 9-00 to 6-01"/>
      <sheetName val="Crescent Qtr IS Sep00-Jun01"/>
      <sheetName val="Target P&amp;L RollUp"/>
      <sheetName val="Target P&amp;L RollUp June"/>
      <sheetName val="Target P&amp;L Pct Sales"/>
      <sheetName val="MASTER DRIVERS"/>
      <sheetName val="Summary"/>
      <sheetName val="IS Sum"/>
      <sheetName val="BS Sum"/>
      <sheetName val="CF Sum"/>
      <sheetName val="Covenants and Capitalization"/>
      <sheetName val="Ret Earn Reconcile"/>
      <sheetName val="GSN IS Sum"/>
      <sheetName val="Maine IS Sum"/>
      <sheetName val="Conversion BS"/>
      <sheetName val="Key Ratios"/>
      <sheetName val="MCG vs Vaxa"/>
      <sheetName val="Exhibits1"/>
      <sheetName val="Exhibits2"/>
      <sheetName val="IS"/>
      <sheetName val="BS"/>
      <sheetName val="CF"/>
      <sheetName val="Debt"/>
      <sheetName val="Fixed Assets"/>
      <sheetName val="Intangibles"/>
      <sheetName val="DCF"/>
      <sheetName val="Initial TTM EBITDA by Cluster"/>
      <sheetName val="Geographic Concentration"/>
    </sheetNames>
    <sheetDataSet>
      <sheetData sheetId="0" refreshError="1"/>
      <sheetData sheetId="1" refreshError="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oanX"/>
      <sheetName val="Portfolio Input"/>
      <sheetName val="Warehouse Summary"/>
      <sheetName val="Investor Summary"/>
      <sheetName val="Industry"/>
      <sheetName val="Rating"/>
      <sheetName val="Broad Loan Category"/>
      <sheetName val="Diversity Calc"/>
      <sheetName val="Vlookup"/>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puts"/>
      <sheetName val="Pipeline"/>
      <sheetName val="Monthly Financials"/>
      <sheetName val="Quarterly Financials"/>
      <sheetName val="Yearly Financials"/>
      <sheetName val="Distributions"/>
      <sheetName val="Returns"/>
      <sheetName val="Operations"/>
      <sheetName val="Payroll"/>
      <sheetName val="Depreciation"/>
      <sheetName val="Debt"/>
      <sheetName val="Equit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mps"/>
      <sheetName val="Model"/>
      <sheetName val="Portfolio Input"/>
    </sheetNames>
    <sheetDataSet>
      <sheetData sheetId="0"/>
      <sheetData sheetId="1" refreshError="1"/>
      <sheetData sheetId="2"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__FDSCACHE__"/>
      <sheetName val="TransSum"/>
      <sheetName val="Consolidated"/>
      <sheetName val="JDPC Proj."/>
      <sheetName val="EG Proj."/>
      <sheetName val="KBB Proj. "/>
    </sheetNames>
    <sheetDataSet>
      <sheetData sheetId="0"/>
      <sheetData sheetId="1"/>
      <sheetData sheetId="2"/>
      <sheetData sheetId="3"/>
      <sheetData sheetId="4"/>
      <sheetData sheetId="5"/>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eliminary"/>
      <sheetName val="Final"/>
    </sheetNames>
    <sheetDataSet>
      <sheetData sheetId="0" refreshError="1"/>
      <sheetData sheetId="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_01_05_v_Wicks_xls__01_05_v_Wic"/>
    </sheetNames>
    <sheetDataSet>
      <sheetData sheetId="0"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BO Summary"/>
      <sheetName val="Financials"/>
      <sheetName val="Debt"/>
      <sheetName val="Cap"/>
      <sheetName val="Consolidated"/>
      <sheetName val="Television"/>
      <sheetName val="Corporate"/>
      <sheetName val="Capex"/>
      <sheetName val="Tax"/>
      <sheetName val="Adj 2006"/>
      <sheetName val="Credit"/>
      <sheetName val="For Banks"/>
      <sheetName val="_01_05_v_Wicks_xls__01_05_v_Wic"/>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M Yields"/>
      <sheetName val="Vector Output"/>
      <sheetName val="Portfolio"/>
      <sheetName val="Action Items"/>
      <sheetName val="Defense Comps"/>
      <sheetName val="Telecom"/>
      <sheetName val="WARF"/>
      <sheetName val="Template"/>
      <sheetName val="1"/>
      <sheetName val="2"/>
      <sheetName val="3"/>
      <sheetName val="4"/>
      <sheetName val="Credit Breakdown"/>
      <sheetName val="Auto EVs"/>
      <sheetName val="WARF Tracker"/>
      <sheetName val="Deal Multiples"/>
      <sheetName val="Status"/>
      <sheetName val="Output"/>
      <sheetName val="Graphs"/>
      <sheetName val="Inputs"/>
      <sheetName val="LBO Summary"/>
      <sheetName val="Tanning Assumptions"/>
      <sheetName val="IncStmt"/>
      <sheetName val="BS"/>
      <sheetName val="DCF"/>
    </sheetNames>
    <sheetDataSet>
      <sheetData sheetId="0"/>
      <sheetData sheetId="1"/>
      <sheetData sheetId="2" refreshError="1"/>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efreshError="1"/>
      <sheetData sheetId="21" refreshError="1"/>
      <sheetData sheetId="22" refreshError="1"/>
      <sheetData sheetId="23" refreshError="1"/>
      <sheetData sheetId="24"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ly-by-night - Base"/>
      <sheetName val="Fly-by-night - problem 5"/>
      <sheetName val="Fly-by-night - problem 6"/>
      <sheetName val="Fly-by-night - Base with ltd"/>
      <sheetName val="Portfolio"/>
      <sheetName val="MASTER DRIVER"/>
      <sheetName val="LBO Summary"/>
      <sheetName val="IncStmt"/>
    </sheetNames>
    <sheetDataSet>
      <sheetData sheetId="0"/>
      <sheetData sheetId="1"/>
      <sheetData sheetId="2"/>
      <sheetData sheetId="3"/>
      <sheetData sheetId="4" refreshError="1"/>
      <sheetData sheetId="5" refreshError="1"/>
      <sheetData sheetId="6" refreshError="1"/>
      <sheetData sheetId="7" refreshError="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BO Summary"/>
      <sheetName val="Financials"/>
      <sheetName val="Debt"/>
      <sheetName val="Cap"/>
      <sheetName val="Consolidated"/>
      <sheetName val="Television"/>
      <sheetName val="Corporate"/>
      <sheetName val="Capex"/>
      <sheetName val="Tax"/>
      <sheetName val="Credit"/>
      <sheetName val="Summary"/>
      <sheetName val="Segments"/>
      <sheetName val="Adjustments"/>
      <sheetName val="Fly-by-night - problem 5"/>
      <sheetName val="Inputs"/>
      <sheetName val="IncStm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eal Info"/>
      <sheetName val="Qualitative Analysis"/>
      <sheetName val="Base"/>
      <sheetName val="EV_DCF Analysis"/>
      <sheetName val="VeCTOR Import"/>
      <sheetName val="Annual Summary"/>
      <sheetName val="LBO Summary"/>
      <sheetName val="Fly-by-night - problem 5"/>
      <sheetName val="Segment Info"/>
    </sheetNames>
    <sheetDataSet>
      <sheetData sheetId="0" refreshError="1"/>
      <sheetData sheetId="1"/>
      <sheetData sheetId="2"/>
      <sheetData sheetId="3" refreshError="1"/>
      <sheetData sheetId="4"/>
      <sheetData sheetId="5" refreshError="1"/>
      <sheetData sheetId="6" refreshError="1"/>
      <sheetData sheetId="7" refreshError="1"/>
      <sheetData sheetId="8"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ITLE"/>
      <sheetName val="SUMMARY"/>
      <sheetName val="TRANSACTION"/>
      <sheetName val="Capital Structure"/>
      <sheetName val="DEBT DETAIL"/>
      <sheetName val="Sheet2"/>
      <sheetName val="Flat EBITDA"/>
      <sheetName val="Scenario Fan"/>
      <sheetName val="Sheet1"/>
      <sheetName val="Sheet1 (2)"/>
      <sheetName val="Case Comparison"/>
      <sheetName val="INCOME STATEMENT"/>
      <sheetName val="BALANCE SHEET"/>
      <sheetName val="CASH FLOW"/>
      <sheetName val="World Cup"/>
      <sheetName val="Taxes"/>
      <sheetName val="CAPEX &amp; INTANG"/>
      <sheetName val="Drivers"/>
      <sheetName val="WORKING CAPITAL"/>
      <sheetName val="Buildup"/>
      <sheetName val="S&amp;U"/>
      <sheetName val="TV Build"/>
      <sheetName val="TV Group"/>
      <sheetName val="UVN"/>
      <sheetName val="TLF"/>
      <sheetName val="Gala"/>
      <sheetName val="TV Station Group"/>
      <sheetName val="UTG"/>
      <sheetName val="TTG"/>
      <sheetName val="Radio Operating Build"/>
      <sheetName val="Radio Drivers"/>
      <sheetName val="Consolidated"/>
      <sheetName val="Market Build"/>
      <sheetName val="Other"/>
      <sheetName val="Overview"/>
      <sheetName val="Margin Bridge"/>
      <sheetName val="Projections Detail"/>
      <sheetName val="VeCTOR Import"/>
      <sheetName val="LBO Summary"/>
      <sheetName val="Fly-by-night - problem 5"/>
    </sheetNames>
    <sheetDataSet>
      <sheetData sheetId="0" refreshError="1"/>
      <sheetData sheetId="1" refreshError="1"/>
      <sheetData sheetId="2" refreshError="1"/>
      <sheetData sheetId="3" refreshError="1"/>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epreciation"/>
      <sheetName val="S&amp;U"/>
      <sheetName val="Sheet1"/>
      <sheetName val="1998 assump"/>
      <sheetName val="1997 assump"/>
      <sheetName val="******"/>
      <sheetName val="1998 P &amp; L"/>
      <sheetName val="1999 P &amp; L"/>
      <sheetName val="summ people"/>
      <sheetName val="people"/>
      <sheetName val="Sheet2"/>
      <sheetName val="B"/>
      <sheetName val="Sheet5"/>
      <sheetName val="Employees"/>
      <sheetName val="Reconcile"/>
      <sheetName val="D"/>
      <sheetName val="TRANSACTION"/>
      <sheetName val="VeCTOR Impor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sheetName val="CovCalcs Table"/>
      <sheetName val="IS Table"/>
      <sheetName val="BS Table"/>
      <sheetName val="SoCF Table"/>
      <sheetName val="RE &amp; DIVS Table"/>
      <sheetName val="Debt Table"/>
      <sheetName val="RE &amp; DIVS"/>
      <sheetName val="Debt"/>
      <sheetName val="BalSh Comb"/>
      <sheetName val="SoCF Comb"/>
      <sheetName val="IS Comb"/>
      <sheetName val="Covenant Summary"/>
      <sheetName val="UF P&amp;L-Mth"/>
      <sheetName val="Sheet1"/>
      <sheetName val="MASTER"/>
      <sheetName val="FC P&amp;L-Mth"/>
      <sheetName val="Headcount"/>
      <sheetName val="New FC Contracts"/>
      <sheetName val="UF Bal-Mth"/>
      <sheetName val="FC Bal-Mth"/>
      <sheetName val="Fixed Assets"/>
      <sheetName val="G&amp;A"/>
      <sheetName val="FC Contracts 2001"/>
      <sheetName val="End Model"/>
      <sheetName val="Combnd Hist BS"/>
      <sheetName val="UF Bal Sheet"/>
      <sheetName val="FC Bal Sheet"/>
      <sheetName val="UF P&amp;L Hist"/>
      <sheetName val="FC P&amp;L Hist"/>
      <sheetName val="UF2000"/>
      <sheetName val="UF2001"/>
      <sheetName val="FC2000"/>
      <sheetName val="FC2001"/>
      <sheetName val="vs. 2001 actuals"/>
      <sheetName val="Sheet3"/>
      <sheetName val="Equity Table"/>
      <sheetName val="Card Count Table"/>
      <sheetName val="BS Tables"/>
      <sheetName val="Concentr Table"/>
      <sheetName val="BS Analysis"/>
      <sheetName val="Table 5"/>
      <sheetName val="Table 4"/>
      <sheetName val="Table 3"/>
      <sheetName val="Table 2"/>
      <sheetName val="Table 1"/>
      <sheetName val="DCF"/>
      <sheetName val="top50hotels"/>
      <sheetName val="Sheet5"/>
      <sheetName val="D"/>
      <sheetName val="MASTER DRIVERS"/>
      <sheetName val="TRANSACTION"/>
      <sheetName val="VeCTOR Impor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SUM"/>
      <sheetName val="OBS - MEDCON"/>
      <sheetName val="OBS - REFI"/>
      <sheetName val="AFS"/>
      <sheetName val="MBS"/>
      <sheetName val="MMIS (2)"/>
      <sheetName val="WHEC"/>
      <sheetName val="MIS"/>
      <sheetName val="MCF"/>
      <sheetName val="PACING06"/>
      <sheetName val="D&amp;A"/>
      <sheetName val="D&amp;A (2)"/>
      <sheetName val="DEBT"/>
      <sheetName val="CHARTS&gt;&gt;&gt;"/>
      <sheetName val="S&amp;U_CAP_MERGER"/>
      <sheetName val="S&amp;U_CAP_REFI"/>
      <sheetName val="MEDCON IS"/>
      <sheetName val="SUM IS"/>
      <sheetName val="PF IS"/>
      <sheetName val="PF BS"/>
      <sheetName val="COVS"/>
      <sheetName val="ECF"/>
      <sheetName val="Bridge"/>
      <sheetName val="HoldCo INT"/>
      <sheetName val="PACING05"/>
      <sheetName val="MASTER"/>
      <sheetName val="Sheet5"/>
      <sheetName val="D"/>
    </sheetNames>
    <sheetDataSet>
      <sheetData sheetId="0"/>
      <sheetData sheetId="1" refreshError="1"/>
      <sheetData sheetId="2"/>
      <sheetData sheetId="3" refreshError="1"/>
      <sheetData sheetId="4"/>
      <sheetData sheetId="5"/>
      <sheetData sheetId="6"/>
      <sheetData sheetId="7" refreshError="1"/>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efreshError="1"/>
      <sheetData sheetId="27" refreshError="1"/>
      <sheetData sheetId="28" refreshError="1"/>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
      <sheetName val="EBITDA SUM"/>
      <sheetName val="RIF SUM"/>
      <sheetName val="OBS"/>
      <sheetName val="AFS"/>
      <sheetName val="MIS"/>
      <sheetName val="MBS"/>
      <sheetName val="MCF"/>
      <sheetName val="MC-MIS"/>
      <sheetName val="ED-MIS"/>
      <sheetName val="MED PUB-MIS"/>
      <sheetName val="OPT-MIS"/>
      <sheetName val="REV"/>
      <sheetName val="EXP"/>
      <sheetName val="MODR"/>
      <sheetName val="D&amp;A"/>
      <sheetName val="DEBT"/>
      <sheetName val="COVS"/>
      <sheetName val="CONTROL"/>
      <sheetName val="OBS - REFI"/>
      <sheetName val="WHEC"/>
      <sheetName val="MASTER"/>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SUM"/>
      <sheetName val="AFS"/>
      <sheetName val="MIS"/>
      <sheetName val="MBS"/>
      <sheetName val="MCF"/>
      <sheetName val="DEBT"/>
      <sheetName val="D&amp;A"/>
      <sheetName val="COVS_ACTUAL"/>
      <sheetName val="COVS"/>
      <sheetName val="PACING05"/>
      <sheetName val="PACING06"/>
      <sheetName val="OBS - REFI"/>
      <sheetName val="WHEC"/>
    </sheetNames>
    <sheetDataSet>
      <sheetData sheetId="0" refreshError="1"/>
      <sheetData sheetId="1"/>
      <sheetData sheetId="2" refreshError="1"/>
      <sheetData sheetId="3"/>
      <sheetData sheetId="4" refreshError="1"/>
      <sheetData sheetId="5" refreshError="1"/>
      <sheetData sheetId="6"/>
      <sheetData sheetId="7" refreshError="1"/>
      <sheetData sheetId="8"/>
      <sheetData sheetId="9"/>
      <sheetData sheetId="10" refreshError="1"/>
      <sheetData sheetId="11" refreshError="1"/>
      <sheetData sheetId="12" refreshError="1"/>
      <sheetData sheetId="13" refreshError="1"/>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SCF"/>
      <sheetName val="DCFnew"/>
      <sheetName val="COVS_ACTUAL"/>
      <sheetName val="D&amp;A"/>
    </sheetNames>
    <sheetDataSet>
      <sheetData sheetId="0"/>
      <sheetData sheetId="1" refreshError="1"/>
      <sheetData sheetId="2" refreshError="1"/>
      <sheetData sheetId="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B4:Q1205"/>
  <sheetViews>
    <sheetView showGridLines="0" tabSelected="1" zoomScaleNormal="100" workbookViewId="0">
      <selection activeCell="G99" sqref="G99"/>
    </sheetView>
  </sheetViews>
  <sheetFormatPr defaultColWidth="11.42578125" defaultRowHeight="12.75"/>
  <cols>
    <col min="1" max="1" width="3.42578125" style="27" customWidth="1"/>
    <col min="2" max="2" width="5.5703125" style="27" customWidth="1"/>
    <col min="3" max="3" width="50.7109375" style="27" customWidth="1"/>
    <col min="4" max="7" width="15" style="27" customWidth="1"/>
    <col min="8" max="8" width="11.42578125" style="27" customWidth="1"/>
    <col min="9" max="9" width="32.5703125" style="27" bestFit="1" customWidth="1"/>
    <col min="10" max="10" width="50.7109375" style="27" customWidth="1"/>
    <col min="11" max="12" width="11.7109375" style="27" customWidth="1"/>
    <col min="13" max="13" width="12.42578125" style="27" bestFit="1" customWidth="1"/>
    <col min="14" max="16384" width="11.42578125" style="27"/>
  </cols>
  <sheetData>
    <row r="4" spans="2:17">
      <c r="B4" s="48" t="s">
        <v>0</v>
      </c>
      <c r="J4" s="27" t="s">
        <v>1</v>
      </c>
      <c r="K4" s="333">
        <f>Model!$P$193</f>
        <v>1.0795988210780874E-3</v>
      </c>
      <c r="L4" s="67"/>
    </row>
    <row r="5" spans="2:17">
      <c r="B5" s="48"/>
      <c r="J5" s="27" t="s">
        <v>2</v>
      </c>
      <c r="K5" s="333">
        <f>Model!$P$192</f>
        <v>1.0741572141014439E-3</v>
      </c>
      <c r="L5" s="67"/>
    </row>
    <row r="6" spans="2:17" ht="13.5" thickBot="1">
      <c r="B6" s="48"/>
      <c r="C6" s="48"/>
      <c r="D6" s="48"/>
      <c r="E6" s="48"/>
      <c r="F6" s="48"/>
      <c r="G6" s="48"/>
      <c r="J6" s="48"/>
      <c r="K6" s="67"/>
      <c r="L6" s="67"/>
    </row>
    <row r="7" spans="2:17">
      <c r="C7" s="325" t="s">
        <v>3</v>
      </c>
      <c r="D7" s="332" t="s">
        <v>4</v>
      </c>
      <c r="E7" s="332" t="s">
        <v>5</v>
      </c>
      <c r="F7" s="332" t="s">
        <v>6</v>
      </c>
      <c r="G7" s="332" t="s">
        <v>7</v>
      </c>
      <c r="J7" s="261" t="s">
        <v>8</v>
      </c>
      <c r="K7" s="262"/>
      <c r="L7" s="67"/>
    </row>
    <row r="8" spans="2:17">
      <c r="C8" s="331"/>
      <c r="D8" s="159"/>
      <c r="E8" s="159"/>
      <c r="F8" s="328"/>
      <c r="G8" s="328"/>
      <c r="J8" s="202" t="s">
        <v>9</v>
      </c>
      <c r="K8" s="203">
        <v>1252</v>
      </c>
    </row>
    <row r="9" spans="2:17">
      <c r="C9" s="334" t="s">
        <v>10</v>
      </c>
      <c r="D9" s="171">
        <f>SUM(D10:D11)</f>
        <v>28456.754000000001</v>
      </c>
      <c r="E9" s="171">
        <f>SUM(E10:E11)</f>
        <v>30.721878070109149</v>
      </c>
      <c r="F9" s="160"/>
      <c r="G9" s="160"/>
      <c r="J9" s="204" t="s">
        <v>11</v>
      </c>
      <c r="K9" s="205">
        <v>765</v>
      </c>
      <c r="L9" s="162"/>
      <c r="M9" s="160"/>
      <c r="N9" s="160"/>
    </row>
    <row r="10" spans="2:17" ht="13.5" thickBot="1">
      <c r="C10" s="335" t="s">
        <v>12</v>
      </c>
      <c r="D10" s="161">
        <v>10331.611000000001</v>
      </c>
      <c r="E10" s="162">
        <f>D10*$K$4</f>
        <v>11.153995055437401</v>
      </c>
      <c r="F10" s="160"/>
      <c r="G10" s="160"/>
      <c r="J10" s="260" t="s">
        <v>13</v>
      </c>
      <c r="K10" s="259">
        <v>1.1000000000000001</v>
      </c>
      <c r="L10" s="57"/>
      <c r="M10" s="165"/>
      <c r="N10" s="165"/>
      <c r="Q10" s="247"/>
    </row>
    <row r="11" spans="2:17">
      <c r="C11" s="335" t="s">
        <v>14</v>
      </c>
      <c r="D11" s="161">
        <v>18125.143</v>
      </c>
      <c r="E11" s="162">
        <f>D11*$K$4</f>
        <v>19.56788301467175</v>
      </c>
      <c r="F11" s="160"/>
      <c r="G11" s="160"/>
      <c r="I11" s="157"/>
      <c r="J11" s="157"/>
      <c r="K11" s="157"/>
      <c r="L11" s="157"/>
      <c r="M11" s="157"/>
      <c r="N11" s="157"/>
      <c r="Q11" s="247"/>
    </row>
    <row r="12" spans="2:17">
      <c r="C12" s="326"/>
      <c r="D12" s="161"/>
      <c r="E12" s="161"/>
      <c r="F12" s="160"/>
      <c r="G12" s="160"/>
      <c r="J12" s="143"/>
      <c r="K12" s="159"/>
      <c r="L12" s="160"/>
      <c r="M12" s="160"/>
      <c r="N12" s="160"/>
      <c r="Q12" s="248"/>
    </row>
    <row r="13" spans="2:17">
      <c r="C13" s="334" t="s">
        <v>15</v>
      </c>
      <c r="D13" s="171">
        <f>SUM(D14:D15)</f>
        <v>1103916.9169999999</v>
      </c>
      <c r="E13" s="171">
        <f>SUM(E14:E15)</f>
        <v>1191.7874021613568</v>
      </c>
      <c r="F13" s="160"/>
      <c r="G13" s="160"/>
      <c r="K13" s="159"/>
      <c r="L13" s="160"/>
      <c r="M13" s="160"/>
      <c r="N13" s="160"/>
      <c r="Q13" s="248"/>
    </row>
    <row r="14" spans="2:17">
      <c r="C14" s="335" t="s">
        <v>12</v>
      </c>
      <c r="D14" s="161">
        <v>105292.19899999999</v>
      </c>
      <c r="E14" s="162">
        <f>D14*$K$4</f>
        <v>113.67333390911936</v>
      </c>
      <c r="F14" s="160"/>
      <c r="G14" s="160"/>
      <c r="K14" s="159"/>
      <c r="L14" s="160"/>
      <c r="M14" s="160"/>
      <c r="N14" s="160"/>
      <c r="Q14" s="248"/>
    </row>
    <row r="15" spans="2:17">
      <c r="C15" s="335" t="s">
        <v>14</v>
      </c>
      <c r="D15" s="161">
        <v>998624.71799999999</v>
      </c>
      <c r="E15" s="162">
        <f>D15*$K$4</f>
        <v>1078.1140682522375</v>
      </c>
      <c r="F15" s="160"/>
      <c r="G15" s="160"/>
      <c r="K15" s="159"/>
      <c r="L15" s="160"/>
      <c r="M15" s="160"/>
    </row>
    <row r="16" spans="2:17">
      <c r="C16" s="326"/>
      <c r="D16" s="161"/>
      <c r="E16" s="161"/>
      <c r="F16" s="160"/>
      <c r="G16" s="160"/>
      <c r="K16" s="162"/>
      <c r="L16" s="160"/>
      <c r="M16" s="160"/>
    </row>
    <row r="17" spans="3:17" ht="12.75" customHeight="1">
      <c r="C17" s="334" t="s">
        <v>16</v>
      </c>
      <c r="D17" s="171">
        <f>SUM(D18:D19)</f>
        <v>28428.066999999999</v>
      </c>
      <c r="E17" s="171">
        <f>SUM(E18:E19)</f>
        <v>30.690907618728879</v>
      </c>
      <c r="F17" s="160"/>
      <c r="G17" s="160"/>
      <c r="K17" s="162"/>
      <c r="L17" s="157"/>
      <c r="M17" s="157"/>
    </row>
    <row r="18" spans="3:17">
      <c r="C18" s="335" t="s">
        <v>17</v>
      </c>
      <c r="D18" s="161">
        <v>9855.6419999999998</v>
      </c>
      <c r="E18" s="162">
        <f>D18*$K$4</f>
        <v>10.640139484167683</v>
      </c>
      <c r="F18" s="160"/>
      <c r="G18" s="160"/>
      <c r="I18" s="158"/>
      <c r="J18" s="163"/>
      <c r="K18" s="162"/>
      <c r="L18" s="160"/>
      <c r="M18" s="160"/>
    </row>
    <row r="19" spans="3:17">
      <c r="C19" s="335" t="s">
        <v>18</v>
      </c>
      <c r="D19" s="161">
        <v>18572.424999999999</v>
      </c>
      <c r="E19" s="162">
        <f>D19*$K$4</f>
        <v>20.050768134561196</v>
      </c>
      <c r="F19" s="160"/>
      <c r="G19" s="160"/>
      <c r="K19" s="162"/>
      <c r="L19" s="160"/>
      <c r="M19" s="160"/>
    </row>
    <row r="20" spans="3:17">
      <c r="C20" s="326"/>
      <c r="D20" s="330"/>
      <c r="E20" s="162"/>
      <c r="F20" s="160"/>
      <c r="G20" s="160"/>
      <c r="K20" s="162"/>
      <c r="L20" s="160"/>
      <c r="M20" s="160"/>
    </row>
    <row r="21" spans="3:17">
      <c r="C21" s="327" t="s">
        <v>19</v>
      </c>
      <c r="D21" s="222">
        <f>SUM(D9,D13,D17)</f>
        <v>1160801.7379999999</v>
      </c>
      <c r="E21" s="222">
        <f>SUM(E9,E13,E17)</f>
        <v>1253.2001878501949</v>
      </c>
      <c r="F21" s="329">
        <f>+D21/D26</f>
        <v>1.8235142151580177</v>
      </c>
      <c r="G21" s="329">
        <f>+E21/E26</f>
        <v>1.8327520134476407</v>
      </c>
      <c r="I21" s="166"/>
      <c r="J21" s="56"/>
      <c r="K21" s="162"/>
      <c r="L21" s="167"/>
      <c r="M21" s="167"/>
    </row>
    <row r="22" spans="3:17">
      <c r="C22" s="166" t="s">
        <v>20</v>
      </c>
      <c r="D22" s="56">
        <f>Model!AX$111</f>
        <v>325667.01</v>
      </c>
      <c r="E22" s="162">
        <f>D22*$K4</f>
        <v>351.58972006002574</v>
      </c>
      <c r="F22" s="167"/>
      <c r="G22" s="167"/>
      <c r="I22" s="166"/>
      <c r="J22" s="56"/>
      <c r="K22" s="162"/>
      <c r="L22" s="167"/>
      <c r="M22" s="167"/>
    </row>
    <row r="23" spans="3:17">
      <c r="C23" s="327" t="s">
        <v>21</v>
      </c>
      <c r="D23" s="222">
        <f>+D21-D22</f>
        <v>835134.72799999989</v>
      </c>
      <c r="E23" s="222">
        <f>+E21-E22</f>
        <v>901.6104677901692</v>
      </c>
      <c r="F23" s="329">
        <f>+D23/D26</f>
        <v>1.311920889008976</v>
      </c>
      <c r="G23" s="329">
        <f>+E23/E26</f>
        <v>1.3185669905001882</v>
      </c>
      <c r="I23" s="164"/>
      <c r="J23" s="57"/>
      <c r="K23" s="57"/>
      <c r="L23" s="165"/>
      <c r="M23" s="165"/>
    </row>
    <row r="24" spans="3:17">
      <c r="C24" s="166" t="s">
        <v>22</v>
      </c>
      <c r="D24" s="56">
        <f>Model!AX$118</f>
        <v>1406537.9480000001</v>
      </c>
      <c r="E24" s="162">
        <f>D24*$K4</f>
        <v>1518.4967104623925</v>
      </c>
      <c r="I24" s="166"/>
      <c r="J24" s="56"/>
      <c r="K24" s="56"/>
      <c r="L24" s="167"/>
      <c r="M24" s="167"/>
    </row>
    <row r="25" spans="3:17">
      <c r="C25" s="327" t="s">
        <v>23</v>
      </c>
      <c r="D25" s="222">
        <f>D21+D24</f>
        <v>2567339.6859999998</v>
      </c>
      <c r="E25" s="222">
        <f>E21+E24</f>
        <v>2771.6968983125871</v>
      </c>
      <c r="F25" s="329">
        <f>D25/D26</f>
        <v>4.0330577214903522</v>
      </c>
      <c r="G25" s="329">
        <f>E25/E26</f>
        <v>4.0534889160551328</v>
      </c>
      <c r="I25" s="166"/>
      <c r="J25" s="30"/>
      <c r="K25" s="162"/>
    </row>
    <row r="26" spans="3:17" s="48" customFormat="1">
      <c r="C26" s="336" t="s">
        <v>24</v>
      </c>
      <c r="D26" s="337">
        <f>Model!AX$87</f>
        <v>636574</v>
      </c>
      <c r="E26" s="338">
        <f>D26*$K5</f>
        <v>683.7805544094125</v>
      </c>
      <c r="F26" s="339"/>
      <c r="G26" s="339"/>
    </row>
    <row r="27" spans="3:17">
      <c r="C27" s="80" t="s">
        <v>25</v>
      </c>
      <c r="D27" s="172">
        <f>D21-Model!AX$114</f>
        <v>0</v>
      </c>
      <c r="E27" s="81"/>
    </row>
    <row r="28" spans="3:17">
      <c r="C28" s="80"/>
      <c r="D28" s="172"/>
      <c r="E28" s="81"/>
    </row>
    <row r="29" spans="3:17" ht="13.5" thickBot="1">
      <c r="D29" s="103"/>
      <c r="E29" s="103"/>
      <c r="F29" s="188"/>
      <c r="G29" s="188"/>
    </row>
    <row r="30" spans="3:17">
      <c r="C30" s="251" t="s">
        <v>26</v>
      </c>
      <c r="D30" s="252" t="str">
        <f>D7</f>
        <v>Ch$(mn)</v>
      </c>
      <c r="E30" s="252" t="str">
        <f>E7</f>
        <v>USD (mn)</v>
      </c>
    </row>
    <row r="31" spans="3:17">
      <c r="C31" s="54" t="s">
        <v>27</v>
      </c>
      <c r="D31" s="95">
        <f>D22</f>
        <v>325667.01</v>
      </c>
      <c r="E31" s="96">
        <f>D31*$K$4</f>
        <v>351.58972006002574</v>
      </c>
    </row>
    <row r="32" spans="3:17" ht="13.5" thickBot="1">
      <c r="C32" s="92" t="s">
        <v>28</v>
      </c>
      <c r="D32" s="98">
        <f>SUM(D31:D31)</f>
        <v>325667.01</v>
      </c>
      <c r="E32" s="98">
        <f>SUM(E31:E31)</f>
        <v>351.58972006002574</v>
      </c>
      <c r="I32" s="156"/>
      <c r="J32" s="352"/>
      <c r="K32" s="352"/>
      <c r="L32" s="352"/>
      <c r="M32" s="352"/>
      <c r="N32" s="352"/>
      <c r="O32" s="352"/>
      <c r="P32" s="352"/>
      <c r="Q32" s="352"/>
    </row>
    <row r="33" spans="3:17">
      <c r="I33" s="158"/>
      <c r="J33" s="159"/>
      <c r="K33" s="159"/>
      <c r="L33" s="160"/>
      <c r="M33" s="160"/>
      <c r="N33" s="159"/>
      <c r="O33" s="159"/>
      <c r="P33" s="160"/>
      <c r="Q33" s="160"/>
    </row>
    <row r="34" spans="3:17">
      <c r="I34" s="158"/>
      <c r="J34" s="159"/>
      <c r="K34" s="159"/>
      <c r="L34" s="160"/>
      <c r="M34" s="160"/>
      <c r="N34" s="159"/>
      <c r="O34" s="159"/>
      <c r="P34" s="160"/>
      <c r="Q34" s="160"/>
    </row>
    <row r="35" spans="3:17">
      <c r="C35" s="342" t="s">
        <v>29</v>
      </c>
      <c r="D35" s="341"/>
      <c r="E35" s="341"/>
      <c r="F35" s="341"/>
      <c r="G35" s="341"/>
      <c r="H35" s="341"/>
      <c r="I35" s="158"/>
      <c r="J35" s="159"/>
      <c r="K35" s="159"/>
      <c r="L35" s="160"/>
      <c r="M35" s="160"/>
      <c r="N35" s="159"/>
      <c r="O35" s="159"/>
      <c r="P35" s="160"/>
      <c r="Q35" s="160"/>
    </row>
    <row r="36" spans="3:17">
      <c r="I36" s="158"/>
      <c r="J36" s="159"/>
      <c r="K36" s="159"/>
      <c r="L36" s="160"/>
      <c r="M36" s="160"/>
      <c r="N36" s="159"/>
      <c r="O36" s="159"/>
      <c r="P36" s="160"/>
      <c r="Q36" s="160"/>
    </row>
    <row r="37" spans="3:17">
      <c r="I37" s="158"/>
      <c r="J37" s="159"/>
      <c r="K37" s="159"/>
      <c r="L37" s="160"/>
      <c r="M37" s="160"/>
      <c r="N37" s="159"/>
      <c r="O37" s="159"/>
      <c r="P37" s="160"/>
      <c r="Q37" s="160"/>
    </row>
    <row r="38" spans="3:17">
      <c r="I38" s="158"/>
      <c r="J38" s="159"/>
      <c r="K38" s="159"/>
      <c r="L38" s="160"/>
      <c r="M38" s="160"/>
      <c r="N38" s="159"/>
      <c r="O38" s="159"/>
      <c r="P38" s="160"/>
      <c r="Q38" s="160"/>
    </row>
    <row r="39" spans="3:17">
      <c r="I39" s="158"/>
      <c r="J39" s="159"/>
      <c r="K39" s="159"/>
      <c r="L39" s="160"/>
      <c r="M39" s="160"/>
      <c r="N39" s="159"/>
      <c r="O39" s="159"/>
      <c r="P39" s="160"/>
      <c r="Q39" s="160"/>
    </row>
    <row r="40" spans="3:17">
      <c r="I40" s="158"/>
      <c r="J40" s="159"/>
      <c r="K40" s="159"/>
      <c r="L40" s="160"/>
      <c r="M40" s="160"/>
      <c r="N40" s="159"/>
      <c r="O40" s="159"/>
      <c r="P40" s="160"/>
      <c r="Q40" s="160"/>
    </row>
    <row r="41" spans="3:17">
      <c r="I41" s="158"/>
      <c r="J41" s="159"/>
      <c r="K41" s="159"/>
      <c r="L41" s="160"/>
      <c r="M41" s="160"/>
      <c r="N41" s="159"/>
      <c r="O41" s="159"/>
      <c r="P41" s="160"/>
      <c r="Q41" s="160"/>
    </row>
    <row r="42" spans="3:17">
      <c r="I42" s="158"/>
      <c r="J42" s="159"/>
      <c r="K42" s="159"/>
      <c r="L42" s="160"/>
      <c r="M42" s="160"/>
      <c r="N42" s="159"/>
      <c r="O42" s="159"/>
      <c r="P42" s="160"/>
      <c r="Q42" s="160"/>
    </row>
    <row r="43" spans="3:17">
      <c r="I43" s="158"/>
      <c r="J43" s="159"/>
      <c r="K43" s="159"/>
      <c r="L43" s="160"/>
      <c r="M43" s="160"/>
      <c r="N43" s="159"/>
      <c r="O43" s="159"/>
      <c r="P43" s="160"/>
      <c r="Q43" s="160"/>
    </row>
    <row r="44" spans="3:17">
      <c r="I44" s="158"/>
      <c r="J44" s="159"/>
      <c r="K44" s="159"/>
      <c r="L44" s="160"/>
      <c r="M44" s="160"/>
      <c r="N44" s="159"/>
      <c r="O44" s="159"/>
      <c r="P44" s="160"/>
      <c r="Q44" s="160"/>
    </row>
    <row r="45" spans="3:17">
      <c r="I45" s="158"/>
      <c r="J45" s="159"/>
      <c r="K45" s="159"/>
      <c r="L45" s="160"/>
      <c r="M45" s="160"/>
      <c r="N45" s="159"/>
      <c r="O45" s="159"/>
      <c r="P45" s="160"/>
      <c r="Q45" s="160"/>
    </row>
    <row r="46" spans="3:17">
      <c r="I46" s="158"/>
      <c r="J46" s="159"/>
      <c r="K46" s="159"/>
      <c r="L46" s="160"/>
      <c r="M46" s="160"/>
      <c r="N46" s="159"/>
      <c r="O46" s="159"/>
      <c r="P46" s="160"/>
      <c r="Q46" s="160"/>
    </row>
    <row r="47" spans="3:17">
      <c r="I47" s="158"/>
      <c r="J47" s="159"/>
      <c r="K47" s="159"/>
      <c r="L47" s="160"/>
      <c r="M47" s="160"/>
      <c r="N47" s="159"/>
      <c r="O47" s="159"/>
      <c r="P47" s="160"/>
      <c r="Q47" s="160"/>
    </row>
    <row r="48" spans="3:17">
      <c r="I48" s="158"/>
      <c r="J48" s="159"/>
      <c r="K48" s="159"/>
      <c r="L48" s="160"/>
      <c r="M48" s="160"/>
      <c r="N48" s="159"/>
      <c r="O48" s="159"/>
      <c r="P48" s="160"/>
      <c r="Q48" s="160"/>
    </row>
    <row r="49" spans="3:17">
      <c r="I49" s="158"/>
      <c r="J49" s="159"/>
      <c r="K49" s="159"/>
      <c r="L49" s="160"/>
      <c r="M49" s="160"/>
      <c r="N49" s="159"/>
      <c r="O49" s="159"/>
      <c r="P49" s="160"/>
      <c r="Q49" s="160"/>
    </row>
    <row r="50" spans="3:17">
      <c r="I50" s="158"/>
      <c r="J50" s="159"/>
      <c r="K50" s="159"/>
      <c r="L50" s="160"/>
      <c r="M50" s="160"/>
      <c r="N50" s="159"/>
      <c r="O50" s="159"/>
      <c r="P50" s="160"/>
      <c r="Q50" s="160"/>
    </row>
    <row r="51" spans="3:17">
      <c r="I51" s="158"/>
      <c r="J51" s="159"/>
      <c r="K51" s="159"/>
      <c r="L51" s="160"/>
      <c r="M51" s="160"/>
      <c r="N51" s="159"/>
      <c r="O51" s="159"/>
      <c r="P51" s="160"/>
      <c r="Q51" s="160"/>
    </row>
    <row r="52" spans="3:17">
      <c r="I52" s="158"/>
      <c r="J52" s="159"/>
      <c r="K52" s="159"/>
      <c r="L52" s="160"/>
      <c r="M52" s="160"/>
      <c r="N52" s="159"/>
      <c r="O52" s="159"/>
      <c r="P52" s="160"/>
      <c r="Q52" s="160"/>
    </row>
    <row r="53" spans="3:17">
      <c r="C53" s="342" t="s">
        <v>30</v>
      </c>
      <c r="D53" s="341"/>
      <c r="E53" s="341"/>
      <c r="F53" s="341"/>
      <c r="G53" s="341"/>
      <c r="H53" s="341"/>
      <c r="I53" s="158"/>
      <c r="J53" s="159"/>
      <c r="K53" s="159"/>
      <c r="L53" s="160"/>
      <c r="M53" s="160"/>
      <c r="N53" s="159"/>
      <c r="O53" s="159"/>
      <c r="P53" s="160"/>
      <c r="Q53" s="160"/>
    </row>
    <row r="54" spans="3:17">
      <c r="I54" s="158"/>
      <c r="J54" s="159"/>
      <c r="K54" s="159"/>
      <c r="L54" s="160"/>
      <c r="M54" s="160"/>
      <c r="N54" s="159"/>
      <c r="O54" s="159"/>
      <c r="P54" s="160"/>
      <c r="Q54" s="160"/>
    </row>
    <row r="55" spans="3:17">
      <c r="I55" s="158"/>
      <c r="J55" s="159"/>
      <c r="K55" s="159"/>
      <c r="L55" s="160"/>
      <c r="M55" s="160"/>
      <c r="N55" s="159"/>
      <c r="O55" s="159"/>
      <c r="P55" s="160"/>
      <c r="Q55" s="160"/>
    </row>
    <row r="56" spans="3:17">
      <c r="I56" s="158"/>
      <c r="J56" s="159"/>
      <c r="K56" s="159"/>
      <c r="L56" s="160"/>
      <c r="M56" s="160"/>
      <c r="N56" s="159"/>
      <c r="O56" s="159"/>
      <c r="P56" s="160"/>
      <c r="Q56" s="160"/>
    </row>
    <row r="57" spans="3:17">
      <c r="I57" s="158"/>
      <c r="J57" s="159"/>
      <c r="K57" s="159"/>
      <c r="L57" s="160"/>
      <c r="M57" s="160"/>
      <c r="N57" s="159"/>
      <c r="O57" s="159"/>
      <c r="P57" s="160"/>
      <c r="Q57" s="160"/>
    </row>
    <row r="58" spans="3:17">
      <c r="I58" s="158"/>
      <c r="J58" s="159"/>
      <c r="K58" s="159"/>
      <c r="L58" s="160"/>
      <c r="M58" s="160"/>
      <c r="N58" s="159"/>
      <c r="O58" s="159"/>
      <c r="P58" s="160"/>
      <c r="Q58" s="160"/>
    </row>
    <row r="59" spans="3:17">
      <c r="I59" s="158"/>
      <c r="J59" s="159"/>
      <c r="K59" s="159"/>
      <c r="L59" s="160"/>
      <c r="M59" s="160"/>
      <c r="N59" s="159"/>
      <c r="O59" s="159"/>
      <c r="P59" s="160"/>
      <c r="Q59" s="160"/>
    </row>
    <row r="60" spans="3:17">
      <c r="I60" s="158"/>
      <c r="J60" s="159"/>
      <c r="K60" s="159"/>
      <c r="L60" s="160"/>
      <c r="M60" s="160"/>
      <c r="N60" s="159"/>
      <c r="O60" s="159"/>
      <c r="P60" s="160"/>
      <c r="Q60" s="160"/>
    </row>
    <row r="61" spans="3:17">
      <c r="I61" s="158"/>
      <c r="J61" s="159"/>
      <c r="K61" s="159"/>
      <c r="L61" s="160"/>
      <c r="M61" s="160"/>
      <c r="N61" s="159"/>
      <c r="O61" s="159"/>
      <c r="P61" s="160"/>
      <c r="Q61" s="160"/>
    </row>
    <row r="62" spans="3:17">
      <c r="I62" s="158"/>
      <c r="J62" s="159"/>
      <c r="K62" s="159"/>
      <c r="L62" s="160"/>
      <c r="M62" s="160"/>
      <c r="N62" s="159"/>
      <c r="O62" s="159"/>
      <c r="P62" s="160"/>
      <c r="Q62" s="160"/>
    </row>
    <row r="63" spans="3:17">
      <c r="I63" s="158"/>
      <c r="J63" s="159"/>
      <c r="K63" s="159"/>
      <c r="L63" s="160"/>
      <c r="M63" s="160"/>
      <c r="N63" s="159"/>
      <c r="O63" s="159"/>
      <c r="P63" s="160"/>
      <c r="Q63" s="160"/>
    </row>
    <row r="64" spans="3:17">
      <c r="J64" s="159"/>
      <c r="K64" s="159"/>
      <c r="L64" s="160"/>
      <c r="M64" s="160"/>
      <c r="N64" s="159"/>
      <c r="O64" s="159"/>
      <c r="P64" s="160"/>
      <c r="Q64" s="160"/>
    </row>
    <row r="65" spans="3:17">
      <c r="I65" s="158"/>
      <c r="J65" s="159"/>
      <c r="K65" s="159"/>
      <c r="L65" s="160"/>
      <c r="M65" s="160"/>
      <c r="N65" s="159"/>
      <c r="O65" s="159"/>
      <c r="P65" s="160"/>
      <c r="Q65" s="160"/>
    </row>
    <row r="66" spans="3:17">
      <c r="C66" s="342" t="s">
        <v>31</v>
      </c>
      <c r="D66" s="341"/>
      <c r="E66" s="341"/>
      <c r="F66" s="341"/>
      <c r="G66" s="341"/>
      <c r="H66" s="341"/>
      <c r="I66" s="158"/>
      <c r="J66" s="159"/>
      <c r="K66" s="159"/>
      <c r="L66" s="160"/>
      <c r="M66" s="160"/>
      <c r="N66" s="159"/>
      <c r="O66" s="159"/>
      <c r="P66" s="160"/>
      <c r="Q66" s="160"/>
    </row>
    <row r="67" spans="3:17">
      <c r="I67" s="158"/>
      <c r="J67" s="159"/>
      <c r="K67" s="159"/>
      <c r="L67" s="160"/>
      <c r="M67" s="160"/>
      <c r="N67" s="159"/>
      <c r="O67" s="159"/>
      <c r="P67" s="160"/>
      <c r="Q67" s="160"/>
    </row>
    <row r="68" spans="3:17">
      <c r="I68" s="158"/>
      <c r="J68" s="159"/>
      <c r="K68" s="159"/>
      <c r="L68" s="160"/>
      <c r="M68" s="160"/>
      <c r="N68" s="159"/>
      <c r="O68" s="159"/>
      <c r="P68" s="160"/>
      <c r="Q68" s="160"/>
    </row>
    <row r="69" spans="3:17">
      <c r="I69" s="158"/>
      <c r="J69" s="159"/>
      <c r="K69" s="159"/>
      <c r="L69" s="160"/>
      <c r="M69" s="160"/>
      <c r="N69" s="159"/>
      <c r="O69" s="159"/>
      <c r="P69" s="160"/>
      <c r="Q69" s="160"/>
    </row>
    <row r="70" spans="3:17">
      <c r="I70" s="158"/>
      <c r="J70" s="159"/>
      <c r="K70" s="159"/>
      <c r="L70" s="160"/>
      <c r="M70" s="160"/>
      <c r="N70" s="159"/>
      <c r="O70" s="159"/>
      <c r="P70" s="160"/>
      <c r="Q70" s="160"/>
    </row>
    <row r="71" spans="3:17">
      <c r="I71" s="158"/>
      <c r="J71" s="159"/>
      <c r="K71" s="159"/>
      <c r="L71" s="160"/>
      <c r="M71" s="160"/>
      <c r="N71" s="159"/>
      <c r="O71" s="159"/>
      <c r="P71" s="160"/>
      <c r="Q71" s="160"/>
    </row>
    <row r="72" spans="3:17">
      <c r="I72" s="158"/>
      <c r="J72" s="159"/>
      <c r="K72" s="159"/>
      <c r="L72" s="160"/>
      <c r="M72" s="160"/>
      <c r="N72" s="159"/>
      <c r="O72" s="159"/>
      <c r="P72" s="160"/>
      <c r="Q72" s="160"/>
    </row>
    <row r="73" spans="3:17">
      <c r="I73" s="158"/>
      <c r="J73" s="159"/>
      <c r="K73" s="159"/>
      <c r="L73" s="160"/>
      <c r="M73" s="160"/>
      <c r="N73" s="159"/>
      <c r="O73" s="159"/>
      <c r="P73" s="160"/>
      <c r="Q73" s="160"/>
    </row>
    <row r="74" spans="3:17">
      <c r="I74" s="158"/>
      <c r="J74" s="159"/>
      <c r="K74" s="159"/>
      <c r="L74" s="160"/>
      <c r="M74" s="160"/>
      <c r="N74" s="159"/>
      <c r="O74" s="159"/>
      <c r="P74" s="160"/>
      <c r="Q74" s="160"/>
    </row>
    <row r="75" spans="3:17">
      <c r="I75" s="158"/>
      <c r="J75" s="159"/>
      <c r="K75" s="159"/>
      <c r="L75" s="160"/>
      <c r="M75" s="160"/>
      <c r="N75" s="159"/>
      <c r="O75" s="159"/>
      <c r="P75" s="160"/>
      <c r="Q75" s="160"/>
    </row>
    <row r="76" spans="3:17">
      <c r="I76" s="158"/>
      <c r="J76" s="159"/>
      <c r="K76" s="159"/>
      <c r="L76" s="160"/>
      <c r="M76" s="160"/>
      <c r="N76" s="159"/>
      <c r="O76" s="159"/>
      <c r="P76" s="160"/>
      <c r="Q76" s="160"/>
    </row>
    <row r="77" spans="3:17">
      <c r="I77" s="158"/>
      <c r="J77" s="159"/>
      <c r="K77" s="159"/>
      <c r="L77" s="160"/>
      <c r="M77" s="160"/>
      <c r="N77" s="159"/>
      <c r="O77" s="159"/>
      <c r="P77" s="160"/>
      <c r="Q77" s="160"/>
    </row>
    <row r="78" spans="3:17">
      <c r="I78" s="158"/>
      <c r="J78" s="159"/>
      <c r="K78" s="159"/>
      <c r="L78" s="160"/>
      <c r="M78" s="160"/>
      <c r="N78" s="159"/>
      <c r="O78" s="159"/>
      <c r="P78" s="160"/>
      <c r="Q78" s="160"/>
    </row>
    <row r="79" spans="3:17">
      <c r="I79" s="158"/>
      <c r="J79" s="159"/>
      <c r="K79" s="159"/>
      <c r="L79" s="160"/>
      <c r="M79" s="160"/>
      <c r="N79" s="159"/>
      <c r="O79" s="159"/>
      <c r="P79" s="160"/>
      <c r="Q79" s="160"/>
    </row>
    <row r="80" spans="3:17">
      <c r="I80" s="158"/>
      <c r="J80" s="159"/>
      <c r="K80" s="159"/>
      <c r="L80" s="160"/>
      <c r="M80" s="160"/>
      <c r="N80" s="159"/>
      <c r="O80" s="159"/>
      <c r="P80" s="160"/>
      <c r="Q80" s="160"/>
    </row>
    <row r="81" spans="3:17">
      <c r="I81" s="158"/>
      <c r="J81" s="159"/>
      <c r="K81" s="159"/>
      <c r="L81" s="160"/>
      <c r="M81" s="160"/>
      <c r="N81" s="159"/>
      <c r="O81" s="159"/>
      <c r="P81" s="160"/>
      <c r="Q81" s="160"/>
    </row>
    <row r="82" spans="3:17">
      <c r="I82" s="158"/>
      <c r="J82" s="159"/>
      <c r="K82" s="159"/>
      <c r="L82" s="160"/>
      <c r="M82" s="160"/>
      <c r="N82" s="159"/>
      <c r="O82" s="159"/>
      <c r="P82" s="160"/>
      <c r="Q82" s="160"/>
    </row>
    <row r="83" spans="3:17">
      <c r="I83" s="158"/>
      <c r="J83" s="159"/>
      <c r="K83" s="159"/>
      <c r="L83" s="160"/>
      <c r="M83" s="160"/>
      <c r="N83" s="159"/>
      <c r="O83" s="159"/>
      <c r="P83" s="160"/>
      <c r="Q83" s="160"/>
    </row>
    <row r="84" spans="3:17">
      <c r="I84" s="158"/>
      <c r="J84" s="159"/>
      <c r="K84" s="159"/>
      <c r="L84" s="160"/>
      <c r="M84" s="160"/>
      <c r="N84" s="159"/>
      <c r="O84" s="159"/>
      <c r="P84" s="160"/>
      <c r="Q84" s="160"/>
    </row>
    <row r="85" spans="3:17">
      <c r="I85" s="158"/>
      <c r="J85" s="159"/>
      <c r="K85" s="159"/>
      <c r="L85" s="160"/>
      <c r="M85" s="160"/>
      <c r="N85" s="159"/>
      <c r="O85" s="159"/>
      <c r="P85" s="160"/>
      <c r="Q85" s="160"/>
    </row>
    <row r="86" spans="3:17">
      <c r="I86" s="158"/>
      <c r="J86" s="159"/>
      <c r="K86" s="159"/>
      <c r="L86" s="160"/>
      <c r="M86" s="160"/>
      <c r="N86" s="159"/>
      <c r="O86" s="159"/>
      <c r="P86" s="160"/>
      <c r="Q86" s="160"/>
    </row>
    <row r="87" spans="3:17">
      <c r="I87" s="158"/>
      <c r="J87" s="159"/>
      <c r="K87" s="159"/>
      <c r="L87" s="160"/>
      <c r="M87" s="160"/>
      <c r="N87" s="159"/>
      <c r="O87" s="159"/>
      <c r="P87" s="160"/>
      <c r="Q87" s="160"/>
    </row>
    <row r="88" spans="3:17">
      <c r="I88" s="158"/>
      <c r="J88" s="159"/>
      <c r="K88" s="159"/>
      <c r="L88" s="160"/>
      <c r="M88" s="160"/>
      <c r="N88" s="159"/>
      <c r="O88" s="159"/>
      <c r="P88" s="160"/>
      <c r="Q88" s="160"/>
    </row>
    <row r="89" spans="3:17">
      <c r="I89" s="158"/>
      <c r="J89" s="159"/>
      <c r="K89" s="159"/>
      <c r="L89" s="160"/>
      <c r="M89" s="160"/>
      <c r="N89" s="159"/>
      <c r="O89" s="159"/>
      <c r="P89" s="160"/>
      <c r="Q89" s="160"/>
    </row>
    <row r="90" spans="3:17" ht="13.5" thickBot="1">
      <c r="I90" s="158"/>
      <c r="J90" s="159"/>
      <c r="K90" s="159"/>
      <c r="L90" s="160"/>
      <c r="M90" s="160"/>
      <c r="N90" s="159"/>
      <c r="O90" s="159"/>
      <c r="P90" s="160"/>
      <c r="Q90" s="160"/>
    </row>
    <row r="91" spans="3:17">
      <c r="C91" s="256" t="s">
        <v>32</v>
      </c>
      <c r="D91" s="257" t="str">
        <f>D7</f>
        <v>Ch$(mn)</v>
      </c>
      <c r="E91" s="257" t="str">
        <f>E7</f>
        <v>USD (mn)</v>
      </c>
      <c r="I91" s="158"/>
      <c r="J91" s="159"/>
      <c r="K91" s="159"/>
      <c r="L91" s="160"/>
      <c r="M91" s="160"/>
      <c r="N91" s="159"/>
      <c r="O91" s="159"/>
      <c r="P91" s="160"/>
      <c r="Q91" s="160"/>
    </row>
    <row r="92" spans="3:17">
      <c r="C92" s="87" t="s">
        <v>33</v>
      </c>
      <c r="D92" s="91">
        <v>93292.198999999993</v>
      </c>
      <c r="E92" s="97">
        <f>D92*$K$4</f>
        <v>100.71814805618232</v>
      </c>
      <c r="I92" s="158"/>
      <c r="J92" s="159"/>
      <c r="K92" s="159"/>
      <c r="L92" s="160"/>
      <c r="M92" s="160"/>
      <c r="N92" s="159"/>
      <c r="O92" s="159"/>
      <c r="P92" s="160"/>
      <c r="Q92" s="160"/>
    </row>
    <row r="93" spans="3:17" ht="13.5" thickBot="1">
      <c r="C93" s="174" t="s">
        <v>34</v>
      </c>
      <c r="D93" s="91">
        <v>12000</v>
      </c>
      <c r="E93" s="97">
        <f>D93*$K$4</f>
        <v>12.955185852937049</v>
      </c>
      <c r="I93" s="158"/>
      <c r="J93" s="159"/>
      <c r="K93" s="159"/>
      <c r="L93" s="160"/>
      <c r="M93" s="160"/>
      <c r="N93" s="159"/>
      <c r="O93" s="159"/>
      <c r="P93" s="160"/>
      <c r="Q93" s="160"/>
    </row>
    <row r="94" spans="3:17" ht="13.5" thickBot="1">
      <c r="C94" s="88" t="s">
        <v>35</v>
      </c>
      <c r="D94" s="105">
        <f>SUM(D92:D93)</f>
        <v>105292.19899999999</v>
      </c>
      <c r="E94" s="105">
        <f>SUM(E92:E93)</f>
        <v>113.67333390911936</v>
      </c>
      <c r="I94" s="158"/>
      <c r="J94" s="159"/>
      <c r="K94" s="159"/>
      <c r="L94" s="160"/>
      <c r="M94" s="160"/>
      <c r="N94" s="159"/>
      <c r="O94" s="159"/>
      <c r="P94" s="160"/>
      <c r="Q94" s="160"/>
    </row>
    <row r="95" spans="3:17">
      <c r="C95" s="343" t="s">
        <v>25</v>
      </c>
      <c r="D95" s="344">
        <f>D94-D14</f>
        <v>0</v>
      </c>
      <c r="E95" s="344">
        <f>E94-E14</f>
        <v>0</v>
      </c>
      <c r="I95" s="158"/>
      <c r="J95" s="159"/>
      <c r="K95" s="159"/>
      <c r="L95" s="160"/>
      <c r="M95" s="160"/>
      <c r="N95" s="159"/>
      <c r="O95" s="159"/>
      <c r="P95" s="160"/>
      <c r="Q95" s="160"/>
    </row>
    <row r="96" spans="3:17">
      <c r="I96" s="158"/>
      <c r="J96" s="159"/>
      <c r="K96" s="159"/>
      <c r="L96" s="160"/>
      <c r="M96" s="160"/>
      <c r="N96" s="159"/>
      <c r="O96" s="159"/>
      <c r="P96" s="160"/>
      <c r="Q96" s="160"/>
    </row>
    <row r="97" spans="2:17" ht="13.5" thickBot="1">
      <c r="I97" s="158"/>
      <c r="J97" s="161"/>
      <c r="K97" s="162"/>
      <c r="L97" s="160"/>
      <c r="M97" s="160"/>
      <c r="N97" s="161"/>
      <c r="O97" s="162"/>
      <c r="P97" s="160"/>
      <c r="Q97" s="160"/>
    </row>
    <row r="98" spans="2:17">
      <c r="C98" s="256" t="s">
        <v>36</v>
      </c>
      <c r="D98" s="257" t="str">
        <f>D30</f>
        <v>Ch$(mn)</v>
      </c>
      <c r="E98" s="257" t="str">
        <f>E30</f>
        <v>USD (mn)</v>
      </c>
      <c r="I98" s="158"/>
      <c r="J98" s="163"/>
      <c r="K98" s="162"/>
      <c r="L98" s="157"/>
      <c r="M98" s="157"/>
      <c r="N98" s="163"/>
      <c r="O98" s="162"/>
      <c r="P98" s="157"/>
      <c r="Q98" s="157"/>
    </row>
    <row r="99" spans="2:17">
      <c r="C99" s="87">
        <v>2028</v>
      </c>
      <c r="D99" s="91">
        <v>196962</v>
      </c>
      <c r="E99" s="97">
        <f>D99*$K$4</f>
        <v>212.63994299718226</v>
      </c>
      <c r="I99" s="158"/>
      <c r="J99" s="163"/>
      <c r="K99" s="162"/>
      <c r="L99" s="157"/>
      <c r="M99" s="157"/>
      <c r="N99" s="163"/>
      <c r="O99" s="162"/>
      <c r="P99" s="157"/>
      <c r="Q99" s="157"/>
    </row>
    <row r="100" spans="2:17">
      <c r="C100" s="174">
        <v>2031</v>
      </c>
      <c r="D100" s="91">
        <v>24448.321</v>
      </c>
      <c r="E100" s="97">
        <f>D100*$K$4</f>
        <v>26.394378528938649</v>
      </c>
    </row>
    <row r="101" spans="2:17">
      <c r="C101" s="174">
        <v>2034</v>
      </c>
      <c r="D101" s="91">
        <v>159366.88</v>
      </c>
      <c r="E101" s="97">
        <f>D101*$K$4</f>
        <v>172.05229576689302</v>
      </c>
    </row>
    <row r="102" spans="2:17">
      <c r="C102" s="174">
        <v>2035</v>
      </c>
      <c r="D102" s="91">
        <v>119525.24400000001</v>
      </c>
      <c r="E102" s="97">
        <f>D102*$K$4</f>
        <v>129.03931251147074</v>
      </c>
    </row>
    <row r="103" spans="2:17">
      <c r="C103" s="174">
        <v>2039</v>
      </c>
      <c r="D103" s="91">
        <v>227097.804</v>
      </c>
      <c r="E103" s="97">
        <f>D103*$K$4</f>
        <v>245.17452146782259</v>
      </c>
    </row>
    <row r="104" spans="2:17">
      <c r="C104" s="174">
        <v>2050</v>
      </c>
      <c r="D104" s="91">
        <v>278238</v>
      </c>
      <c r="E104" s="97">
        <f>D104*$K$4</f>
        <v>300.38541677912491</v>
      </c>
      <c r="J104" s="143"/>
    </row>
    <row r="105" spans="2:17" ht="13.5" thickBot="1">
      <c r="C105" s="174" t="s">
        <v>37</v>
      </c>
      <c r="D105" s="91">
        <v>-7013.5309999999999</v>
      </c>
      <c r="E105" s="97">
        <f>D105*$K$4</f>
        <v>-7.5717997991946193</v>
      </c>
      <c r="J105" s="143"/>
    </row>
    <row r="106" spans="2:17" ht="13.5" thickBot="1">
      <c r="C106" s="88" t="s">
        <v>35</v>
      </c>
      <c r="D106" s="105">
        <f>SUM(D99:D105)</f>
        <v>998624.71800000011</v>
      </c>
      <c r="E106" s="105">
        <f>SUM(E99:E105)</f>
        <v>1078.1140682522375</v>
      </c>
      <c r="F106" s="143"/>
    </row>
    <row r="107" spans="2:17">
      <c r="C107" s="343" t="s">
        <v>25</v>
      </c>
      <c r="D107" s="344">
        <f>D106-D15</f>
        <v>0</v>
      </c>
      <c r="E107" s="113"/>
    </row>
    <row r="110" spans="2:17">
      <c r="B110" s="48" t="s">
        <v>38</v>
      </c>
      <c r="I110" s="48" t="s">
        <v>39</v>
      </c>
      <c r="J110" s="67">
        <f>Model!$P$193</f>
        <v>1.0795988210780874E-3</v>
      </c>
      <c r="K110" s="67"/>
    </row>
    <row r="111" spans="2:17">
      <c r="B111" s="48"/>
      <c r="I111" s="48" t="s">
        <v>40</v>
      </c>
      <c r="J111" s="67">
        <f>Model!$P$192</f>
        <v>1.0741572141014439E-3</v>
      </c>
      <c r="K111" s="67"/>
    </row>
    <row r="112" spans="2:17">
      <c r="B112" s="48"/>
      <c r="C112" s="48"/>
      <c r="D112" s="48"/>
      <c r="E112" s="48"/>
      <c r="F112" s="48"/>
      <c r="G112" s="48"/>
      <c r="I112" s="48"/>
      <c r="J112" s="67"/>
      <c r="K112" s="67"/>
    </row>
    <row r="113" spans="3:17">
      <c r="C113" s="340" t="s">
        <v>41</v>
      </c>
      <c r="D113" s="345" t="s">
        <v>4</v>
      </c>
      <c r="E113" s="345" t="s">
        <v>5</v>
      </c>
      <c r="F113" s="345" t="s">
        <v>6</v>
      </c>
      <c r="G113" s="345" t="s">
        <v>7</v>
      </c>
      <c r="I113" s="340" t="s">
        <v>8</v>
      </c>
      <c r="J113" s="346"/>
      <c r="K113" s="67"/>
    </row>
    <row r="114" spans="3:17">
      <c r="C114" s="168"/>
      <c r="D114" s="159"/>
      <c r="E114" s="159"/>
      <c r="F114" s="160"/>
      <c r="G114" s="160"/>
      <c r="I114" s="166" t="s">
        <v>9</v>
      </c>
      <c r="J114" s="347">
        <v>1279</v>
      </c>
    </row>
    <row r="115" spans="3:17">
      <c r="C115" s="326" t="s">
        <v>42</v>
      </c>
      <c r="D115" s="161">
        <v>11820.186</v>
      </c>
      <c r="E115" s="162">
        <f>D115*$J$110</f>
        <v>12.761058870523714</v>
      </c>
      <c r="F115" s="160"/>
      <c r="G115" s="160"/>
      <c r="I115" s="27" t="s">
        <v>11</v>
      </c>
      <c r="J115" s="348">
        <v>832</v>
      </c>
      <c r="K115" s="162"/>
      <c r="L115" s="160"/>
      <c r="M115" s="160"/>
      <c r="N115" s="160"/>
    </row>
    <row r="116" spans="3:17">
      <c r="C116" s="326" t="s">
        <v>43</v>
      </c>
      <c r="D116" s="161">
        <f>9625.901+18589.311</f>
        <v>28215.212</v>
      </c>
      <c r="E116" s="162">
        <f>D116*$J$110</f>
        <v>30.461109611668306</v>
      </c>
      <c r="F116" s="160"/>
      <c r="G116" s="160"/>
      <c r="I116" s="27" t="s">
        <v>13</v>
      </c>
      <c r="J116" s="349">
        <v>1.2</v>
      </c>
      <c r="K116" s="57"/>
      <c r="L116" s="165"/>
      <c r="M116" s="165"/>
      <c r="N116" s="165"/>
      <c r="Q116" s="247"/>
    </row>
    <row r="117" spans="3:17">
      <c r="C117" s="326" t="s">
        <v>44</v>
      </c>
      <c r="D117" s="161">
        <f>6969.624</f>
        <v>6969.6239999999998</v>
      </c>
      <c r="E117" s="162">
        <f>D117*$J$110</f>
        <v>7.5243978537575442</v>
      </c>
      <c r="F117" s="160"/>
      <c r="G117" s="160"/>
      <c r="I117" s="157"/>
      <c r="J117" s="157"/>
      <c r="K117" s="157"/>
      <c r="L117" s="157"/>
      <c r="M117" s="157"/>
      <c r="N117" s="157"/>
      <c r="Q117" s="247"/>
    </row>
    <row r="118" spans="3:17">
      <c r="C118" s="326" t="s">
        <v>45</v>
      </c>
      <c r="D118" s="161">
        <f>5900.241+27087.238</f>
        <v>32987.478999999999</v>
      </c>
      <c r="E118" s="162">
        <f>D118*$J$110</f>
        <v>35.613243438738166</v>
      </c>
      <c r="F118" s="160"/>
      <c r="G118" s="160"/>
      <c r="K118" s="159"/>
      <c r="L118" s="160"/>
      <c r="M118" s="160"/>
      <c r="N118" s="160"/>
      <c r="Q118" s="248"/>
    </row>
    <row r="119" spans="3:17">
      <c r="C119" s="326" t="s">
        <v>46</v>
      </c>
      <c r="D119" s="161">
        <f>2226.78+158911.84</f>
        <v>161138.62</v>
      </c>
      <c r="E119" s="162">
        <f>D119*$J$110</f>
        <v>173.96506418214992</v>
      </c>
      <c r="F119" s="160"/>
      <c r="G119" s="160"/>
      <c r="K119" s="159"/>
      <c r="L119" s="160"/>
      <c r="M119" s="160"/>
    </row>
    <row r="120" spans="3:17">
      <c r="C120" s="326" t="s">
        <v>47</v>
      </c>
      <c r="D120" s="161">
        <f>1475.993+119183.952</f>
        <v>120659.94500000001</v>
      </c>
      <c r="E120" s="162">
        <f>D120*$J$110</f>
        <v>130.26433437334688</v>
      </c>
      <c r="F120" s="160"/>
      <c r="G120" s="160"/>
      <c r="K120" s="162"/>
      <c r="L120" s="160"/>
      <c r="M120" s="160"/>
    </row>
    <row r="121" spans="3:17" ht="12.75" customHeight="1">
      <c r="C121" s="217" t="s">
        <v>48</v>
      </c>
      <c r="D121" s="218">
        <f>1659.714+226449.372</f>
        <v>228109.08600000001</v>
      </c>
      <c r="E121" s="162">
        <f>D121*$J$110</f>
        <v>246.26630032280008</v>
      </c>
      <c r="F121" s="215"/>
      <c r="G121" s="216"/>
      <c r="K121" s="162"/>
      <c r="L121" s="157"/>
      <c r="M121" s="157"/>
    </row>
    <row r="122" spans="3:17">
      <c r="C122" s="217" t="s">
        <v>49</v>
      </c>
      <c r="D122" s="218">
        <f>1471.66+194957.7</f>
        <v>196429.36000000002</v>
      </c>
      <c r="E122" s="162">
        <f>D122*$J$110</f>
        <v>212.06490548112325</v>
      </c>
      <c r="F122" s="215"/>
      <c r="G122" s="216"/>
      <c r="I122" s="158"/>
      <c r="J122" s="163"/>
      <c r="K122" s="162"/>
      <c r="L122" s="160"/>
      <c r="M122" s="160"/>
    </row>
    <row r="123" spans="3:17">
      <c r="C123" s="217" t="s">
        <v>50</v>
      </c>
      <c r="D123" s="218">
        <f>4747.692+272139</f>
        <v>276886.69199999998</v>
      </c>
      <c r="E123" s="162">
        <f>D123*$J$110</f>
        <v>298.92654625541149</v>
      </c>
      <c r="F123" s="215"/>
      <c r="G123" s="216"/>
      <c r="K123" s="162"/>
      <c r="L123" s="160"/>
      <c r="M123" s="160"/>
    </row>
    <row r="124" spans="3:17">
      <c r="C124" s="217" t="s">
        <v>51</v>
      </c>
      <c r="D124" s="219">
        <f>+Model!AW$109-SUM(D115:D123)</f>
        <v>97188.990999999922</v>
      </c>
      <c r="E124" s="162">
        <f>D124*$J$110</f>
        <v>104.92512010536876</v>
      </c>
      <c r="F124" s="215"/>
      <c r="G124" s="216"/>
      <c r="K124" s="162"/>
      <c r="L124" s="160"/>
      <c r="M124" s="160"/>
    </row>
    <row r="125" spans="3:17">
      <c r="C125" s="220" t="s">
        <v>19</v>
      </c>
      <c r="D125" s="221">
        <f>SUM(D115:D124)</f>
        <v>1160405.1949999998</v>
      </c>
      <c r="E125" s="222">
        <f>SUM(E115:E124)</f>
        <v>1252.7720804948879</v>
      </c>
      <c r="F125" s="223">
        <f>+D125/D130</f>
        <v>1.888041149806055</v>
      </c>
      <c r="G125" s="224">
        <f>+E125/E130</f>
        <v>1.8976058371331044</v>
      </c>
      <c r="I125" s="166"/>
      <c r="J125" s="56"/>
      <c r="K125" s="162"/>
      <c r="L125" s="167"/>
      <c r="M125" s="167"/>
    </row>
    <row r="126" spans="3:17">
      <c r="C126" s="178" t="s">
        <v>20</v>
      </c>
      <c r="D126" s="225">
        <f>Model!AW$111</f>
        <v>296539.70899999997</v>
      </c>
      <c r="E126" s="162">
        <f>D126*$J110</f>
        <v>320.14392023923909</v>
      </c>
      <c r="F126" s="226"/>
      <c r="G126" s="227"/>
      <c r="I126" s="166"/>
      <c r="J126" s="56"/>
      <c r="K126" s="162"/>
      <c r="L126" s="167"/>
      <c r="M126" s="167"/>
    </row>
    <row r="127" spans="3:17">
      <c r="C127" s="220" t="s">
        <v>21</v>
      </c>
      <c r="D127" s="221">
        <f>+D125-D126</f>
        <v>863865.4859999998</v>
      </c>
      <c r="E127" s="222">
        <f>+E125-E126</f>
        <v>932.62816025564871</v>
      </c>
      <c r="F127" s="223">
        <f>+D127/D130</f>
        <v>1.4055552254445107</v>
      </c>
      <c r="G127" s="224">
        <f>+E127/E130</f>
        <v>1.412675672079722</v>
      </c>
      <c r="I127" s="164"/>
      <c r="J127" s="57"/>
      <c r="K127" s="57"/>
      <c r="L127" s="165"/>
      <c r="M127" s="165"/>
    </row>
    <row r="128" spans="3:17">
      <c r="C128" s="228" t="s">
        <v>22</v>
      </c>
      <c r="D128" s="229">
        <f>Model!AW$118</f>
        <v>1196553.848</v>
      </c>
      <c r="E128" s="162">
        <f>D128*$J110</f>
        <v>1291.7981236572491</v>
      </c>
      <c r="F128" s="230"/>
      <c r="G128" s="231"/>
      <c r="I128" s="164"/>
      <c r="J128" s="57"/>
      <c r="K128" s="57"/>
      <c r="L128" s="165"/>
      <c r="M128" s="165"/>
    </row>
    <row r="129" spans="3:17">
      <c r="C129" s="220" t="s">
        <v>23</v>
      </c>
      <c r="D129" s="221">
        <f>D125+D128</f>
        <v>2356959.0429999996</v>
      </c>
      <c r="E129" s="222">
        <f>E125+E128</f>
        <v>2544.5702041521372</v>
      </c>
      <c r="F129" s="223">
        <f>D129/D130</f>
        <v>3.8348980862598592</v>
      </c>
      <c r="G129" s="224">
        <f>E129/E130</f>
        <v>3.8543254176662458</v>
      </c>
      <c r="I129" s="166"/>
      <c r="J129" s="30"/>
      <c r="K129" s="162"/>
    </row>
    <row r="130" spans="3:17">
      <c r="C130" s="232" t="s">
        <v>24</v>
      </c>
      <c r="D130" s="233">
        <f>Model!AW$87</f>
        <v>614608</v>
      </c>
      <c r="E130" s="234">
        <f>D130*$J111</f>
        <v>660.18561704446017</v>
      </c>
      <c r="F130" s="235"/>
      <c r="G130" s="236"/>
    </row>
    <row r="132" spans="3:17">
      <c r="C132" s="80" t="s">
        <v>25</v>
      </c>
      <c r="D132" s="172">
        <f>D125-Model!AW$114</f>
        <v>0</v>
      </c>
      <c r="E132" s="81"/>
    </row>
    <row r="133" spans="3:17" ht="13.5" thickBot="1">
      <c r="D133" s="103"/>
      <c r="E133" s="103"/>
      <c r="F133" s="188"/>
      <c r="G133" s="188"/>
    </row>
    <row r="134" spans="3:17">
      <c r="C134" s="251" t="s">
        <v>52</v>
      </c>
      <c r="D134" s="252" t="str">
        <f>D113</f>
        <v>Ch$(mn)</v>
      </c>
      <c r="E134" s="252" t="str">
        <f>E113</f>
        <v>USD (mn)</v>
      </c>
    </row>
    <row r="135" spans="3:17">
      <c r="C135" s="54"/>
      <c r="D135" s="82"/>
      <c r="E135" s="68"/>
    </row>
    <row r="136" spans="3:17">
      <c r="C136" s="54" t="s">
        <v>27</v>
      </c>
      <c r="D136" s="95">
        <f>D126</f>
        <v>296539.70899999997</v>
      </c>
      <c r="E136" s="96">
        <f>D136*$J$110</f>
        <v>320.14392023923909</v>
      </c>
    </row>
    <row r="137" spans="3:17" ht="13.5" thickBot="1">
      <c r="C137" s="92" t="s">
        <v>28</v>
      </c>
      <c r="D137" s="98">
        <f>SUM(D136:D136)</f>
        <v>296539.70899999997</v>
      </c>
      <c r="E137" s="98">
        <f>SUM(E136:E136)</f>
        <v>320.14392023923909</v>
      </c>
      <c r="I137" s="156"/>
      <c r="J137" s="352"/>
      <c r="K137" s="352"/>
      <c r="L137" s="352"/>
      <c r="M137" s="352"/>
      <c r="N137" s="352"/>
      <c r="O137" s="352"/>
      <c r="P137" s="352"/>
      <c r="Q137" s="352"/>
    </row>
    <row r="138" spans="3:17">
      <c r="I138" s="158"/>
      <c r="J138" s="159"/>
      <c r="K138" s="159"/>
      <c r="L138" s="160"/>
      <c r="M138" s="160"/>
      <c r="N138" s="159"/>
      <c r="O138" s="159"/>
      <c r="P138" s="160"/>
      <c r="Q138" s="160"/>
    </row>
    <row r="139" spans="3:17" ht="13.5" thickBot="1">
      <c r="I139" s="158"/>
      <c r="J139" s="161"/>
      <c r="K139" s="162"/>
      <c r="L139" s="160"/>
      <c r="M139" s="160"/>
      <c r="N139" s="161"/>
      <c r="O139" s="162"/>
      <c r="P139" s="160"/>
      <c r="Q139" s="160"/>
    </row>
    <row r="140" spans="3:17">
      <c r="C140" s="256" t="s">
        <v>53</v>
      </c>
      <c r="D140" s="257" t="str">
        <f>D134</f>
        <v>Ch$(mn)</v>
      </c>
      <c r="E140" s="257" t="str">
        <f>E134</f>
        <v>USD (mn)</v>
      </c>
      <c r="I140" s="158"/>
      <c r="J140" s="163"/>
      <c r="K140" s="162"/>
      <c r="L140" s="157"/>
      <c r="M140" s="157"/>
      <c r="N140" s="163"/>
      <c r="O140" s="162"/>
      <c r="P140" s="157"/>
      <c r="Q140" s="157"/>
    </row>
    <row r="141" spans="3:17">
      <c r="C141" s="87"/>
      <c r="D141" s="102"/>
      <c r="E141" s="97"/>
      <c r="I141" s="158"/>
      <c r="J141" s="163"/>
      <c r="K141" s="162"/>
      <c r="L141" s="160"/>
      <c r="M141" s="160"/>
      <c r="N141" s="163"/>
      <c r="O141" s="162"/>
      <c r="P141" s="160"/>
      <c r="Q141" s="160"/>
    </row>
    <row r="142" spans="3:17">
      <c r="C142" s="87">
        <v>2026</v>
      </c>
      <c r="D142" s="102">
        <f>D117</f>
        <v>6969.6239999999998</v>
      </c>
      <c r="E142" s="97">
        <f>D142*$J110</f>
        <v>7.5243978537575442</v>
      </c>
      <c r="I142" s="168"/>
      <c r="J142" s="169"/>
      <c r="K142" s="162"/>
      <c r="L142" s="160"/>
      <c r="M142" s="160"/>
      <c r="N142" s="163"/>
      <c r="O142" s="162"/>
      <c r="P142" s="160"/>
      <c r="Q142" s="160"/>
    </row>
    <row r="143" spans="3:17">
      <c r="C143" s="87">
        <f>+C142+1</f>
        <v>2027</v>
      </c>
      <c r="D143" s="102">
        <v>0</v>
      </c>
      <c r="E143" s="97">
        <f>D143*$J110</f>
        <v>0</v>
      </c>
      <c r="I143" s="168"/>
      <c r="J143" s="170"/>
      <c r="K143" s="171"/>
      <c r="L143" s="165"/>
      <c r="M143" s="165"/>
      <c r="N143" s="170"/>
      <c r="O143" s="171"/>
      <c r="P143" s="165"/>
      <c r="Q143" s="165"/>
    </row>
    <row r="144" spans="3:17">
      <c r="C144" s="87">
        <f t="shared" ref="C144:C146" si="0">+C143+1</f>
        <v>2028</v>
      </c>
      <c r="D144" s="102">
        <f>D122</f>
        <v>196429.36000000002</v>
      </c>
      <c r="E144" s="97">
        <f>D144*$J110</f>
        <v>212.06490548112325</v>
      </c>
      <c r="I144" s="158"/>
      <c r="J144" s="163"/>
      <c r="K144" s="162"/>
      <c r="L144" s="157"/>
      <c r="M144" s="157"/>
      <c r="N144" s="163"/>
      <c r="O144" s="162"/>
      <c r="P144" s="157"/>
      <c r="Q144" s="157"/>
    </row>
    <row r="145" spans="2:11">
      <c r="C145" s="87">
        <f t="shared" si="0"/>
        <v>2029</v>
      </c>
      <c r="D145" s="102">
        <v>0</v>
      </c>
      <c r="E145" s="97">
        <f>D145*$J110</f>
        <v>0</v>
      </c>
    </row>
    <row r="146" spans="2:11">
      <c r="C146" s="87">
        <f t="shared" si="0"/>
        <v>2030</v>
      </c>
      <c r="D146" s="102">
        <v>0</v>
      </c>
      <c r="E146" s="97">
        <f>D146*$J110</f>
        <v>0</v>
      </c>
    </row>
    <row r="147" spans="2:11">
      <c r="C147" s="174" t="s">
        <v>54</v>
      </c>
      <c r="D147" s="102">
        <f>D118+D119+D120+D121+D123</f>
        <v>819781.82199999993</v>
      </c>
      <c r="E147" s="97">
        <f>D147*$J110</f>
        <v>885.03548857244641</v>
      </c>
    </row>
    <row r="148" spans="2:11" ht="13.5" thickBot="1">
      <c r="C148" s="174" t="s">
        <v>55</v>
      </c>
      <c r="D148" s="102">
        <f>D124</f>
        <v>97188.990999999922</v>
      </c>
      <c r="E148" s="97">
        <f>D148*$J110</f>
        <v>104.92512010536876</v>
      </c>
      <c r="J148" s="143"/>
    </row>
    <row r="149" spans="2:11" ht="13.5" thickBot="1">
      <c r="C149" s="88" t="s">
        <v>56</v>
      </c>
      <c r="D149" s="105">
        <f>SUM(D141:D148)</f>
        <v>1120369.7969999998</v>
      </c>
      <c r="E149" s="105">
        <f>SUM(E141:E148)</f>
        <v>1209.5499120126958</v>
      </c>
      <c r="F149" s="143"/>
    </row>
    <row r="150" spans="2:11" ht="13.5" thickBot="1">
      <c r="C150" s="87" t="s">
        <v>57</v>
      </c>
      <c r="D150" s="175">
        <f>+D115+D116</f>
        <v>40035.398000000001</v>
      </c>
      <c r="E150" s="97">
        <f>D150*$J110</f>
        <v>43.222168482192018</v>
      </c>
    </row>
    <row r="151" spans="2:11" ht="13.5" thickBot="1">
      <c r="C151" s="88" t="s">
        <v>58</v>
      </c>
      <c r="D151" s="105">
        <f>+D149+D150</f>
        <v>1160405.1949999998</v>
      </c>
      <c r="E151" s="105">
        <f>+E149+E150</f>
        <v>1252.7720804948879</v>
      </c>
    </row>
    <row r="152" spans="2:11">
      <c r="C152" s="189"/>
      <c r="D152" s="113"/>
      <c r="E152" s="113"/>
    </row>
    <row r="158" spans="2:11">
      <c r="B158" s="48" t="s">
        <v>59</v>
      </c>
      <c r="I158" s="48" t="s">
        <v>39</v>
      </c>
      <c r="J158" s="67">
        <f>Model!$P$193</f>
        <v>1.0795988210780874E-3</v>
      </c>
      <c r="K158" s="67"/>
    </row>
    <row r="159" spans="2:11">
      <c r="B159" s="48"/>
      <c r="I159" s="48" t="s">
        <v>60</v>
      </c>
      <c r="J159" s="67">
        <f>Model!$P$192</f>
        <v>1.0741572141014439E-3</v>
      </c>
      <c r="K159" s="67"/>
    </row>
    <row r="160" spans="2:11" ht="13.5" thickBot="1">
      <c r="B160" s="48"/>
      <c r="I160" s="48"/>
      <c r="J160" s="67"/>
      <c r="K160" s="67"/>
    </row>
    <row r="161" spans="3:17">
      <c r="C161" s="249" t="s">
        <v>61</v>
      </c>
      <c r="D161" s="250" t="s">
        <v>4</v>
      </c>
      <c r="E161" s="255" t="s">
        <v>5</v>
      </c>
      <c r="F161" s="254" t="s">
        <v>6</v>
      </c>
      <c r="G161" s="255" t="s">
        <v>7</v>
      </c>
      <c r="I161" s="261" t="s">
        <v>62</v>
      </c>
      <c r="J161" s="262"/>
      <c r="K161" s="67"/>
    </row>
    <row r="162" spans="3:17">
      <c r="C162" s="213"/>
      <c r="D162" s="214"/>
      <c r="E162" s="159"/>
      <c r="F162" s="215"/>
      <c r="G162" s="216"/>
      <c r="I162" s="202" t="s">
        <v>9</v>
      </c>
      <c r="J162" s="203">
        <v>1138</v>
      </c>
    </row>
    <row r="163" spans="3:17">
      <c r="C163" s="217" t="s">
        <v>42</v>
      </c>
      <c r="D163" s="218">
        <v>14384.932000000001</v>
      </c>
      <c r="E163" s="162">
        <f>D163*$J$158</f>
        <v>15.529955628488455</v>
      </c>
      <c r="F163" s="215"/>
      <c r="G163" s="216"/>
      <c r="I163" s="204" t="s">
        <v>11</v>
      </c>
      <c r="J163" s="205">
        <v>845</v>
      </c>
      <c r="K163" s="162"/>
      <c r="L163" s="160"/>
      <c r="M163" s="263"/>
    </row>
    <row r="164" spans="3:17" ht="13.5" thickBot="1">
      <c r="C164" s="217" t="s">
        <v>43</v>
      </c>
      <c r="D164" s="218">
        <f>11267.535+20932.865</f>
        <v>32200.400000000001</v>
      </c>
      <c r="E164" s="162">
        <f>D164*$J$158</f>
        <v>34.763513878242847</v>
      </c>
      <c r="F164" s="215"/>
      <c r="G164" s="216"/>
      <c r="I164" s="260" t="s">
        <v>13</v>
      </c>
      <c r="J164" s="259">
        <v>1.2</v>
      </c>
      <c r="K164" s="57"/>
      <c r="L164" s="165"/>
      <c r="M164" s="165"/>
      <c r="Q164" s="247"/>
    </row>
    <row r="165" spans="3:17">
      <c r="C165" s="217" t="s">
        <v>44</v>
      </c>
      <c r="D165" s="218">
        <v>13854.951999999999</v>
      </c>
      <c r="E165" s="162">
        <f>D165*$J$158</f>
        <v>14.957789845293489</v>
      </c>
      <c r="F165" s="215"/>
      <c r="G165" s="216"/>
      <c r="I165" s="157"/>
      <c r="J165" s="157"/>
      <c r="K165" s="157"/>
      <c r="L165" s="157"/>
      <c r="M165" s="157"/>
      <c r="Q165" s="247"/>
    </row>
    <row r="166" spans="3:17">
      <c r="C166" s="217" t="s">
        <v>45</v>
      </c>
      <c r="D166" s="218">
        <f>5544.356+26922.027</f>
        <v>32466.382999999998</v>
      </c>
      <c r="E166" s="162">
        <f>D166*$J$158</f>
        <v>35.050668811469656</v>
      </c>
      <c r="F166" s="215"/>
      <c r="G166" s="216"/>
      <c r="K166" s="159"/>
      <c r="L166" s="160"/>
      <c r="M166" s="160"/>
      <c r="Q166" s="248"/>
    </row>
    <row r="167" spans="3:17">
      <c r="C167" s="217" t="s">
        <v>46</v>
      </c>
      <c r="D167" s="218">
        <f>726.722+157942.6</f>
        <v>158669.32200000001</v>
      </c>
      <c r="E167" s="162">
        <f>D167*$J$158</f>
        <v>171.29921297245946</v>
      </c>
      <c r="F167" s="215"/>
      <c r="G167" s="216"/>
      <c r="K167" s="159"/>
      <c r="L167" s="160"/>
      <c r="M167" s="160"/>
    </row>
    <row r="168" spans="3:17">
      <c r="C168" s="217" t="s">
        <v>47</v>
      </c>
      <c r="D168" s="218">
        <f>366.703+118457.021</f>
        <v>118823.72399999999</v>
      </c>
      <c r="E168" s="162">
        <f>D168*$J$158</f>
        <v>128.28195234650804</v>
      </c>
      <c r="F168" s="215"/>
      <c r="G168" s="216"/>
      <c r="K168" s="162"/>
      <c r="L168" s="160"/>
      <c r="M168" s="160"/>
    </row>
    <row r="169" spans="3:17" ht="12.75" customHeight="1">
      <c r="C169" s="217" t="s">
        <v>48</v>
      </c>
      <c r="D169" s="218">
        <f>85.029+225068.205</f>
        <v>225153.234</v>
      </c>
      <c r="E169" s="162">
        <f>D169*$J$158</f>
        <v>243.07516598831876</v>
      </c>
      <c r="F169" s="215"/>
      <c r="G169" s="216"/>
      <c r="K169" s="162"/>
      <c r="L169" s="157"/>
      <c r="M169" s="157"/>
    </row>
    <row r="170" spans="3:17">
      <c r="C170" s="217" t="s">
        <v>63</v>
      </c>
      <c r="D170" s="218">
        <f>155.406+205871.7</f>
        <v>206027.106</v>
      </c>
      <c r="E170" s="162">
        <f>D170*$J$158</f>
        <v>222.42662074773014</v>
      </c>
      <c r="F170" s="215"/>
      <c r="G170" s="216"/>
      <c r="I170" s="158"/>
      <c r="J170" s="163"/>
      <c r="K170" s="162"/>
      <c r="L170" s="160"/>
      <c r="M170" s="160"/>
    </row>
    <row r="171" spans="3:17">
      <c r="C171" s="217" t="s">
        <v>50</v>
      </c>
      <c r="D171" s="218">
        <f>2185.828+288717</f>
        <v>290902.82799999998</v>
      </c>
      <c r="E171" s="162">
        <f>D171*$J$158</f>
        <v>314.05835015708163</v>
      </c>
      <c r="F171" s="215"/>
      <c r="G171" s="216"/>
      <c r="K171" s="162"/>
      <c r="L171" s="160"/>
      <c r="M171" s="160"/>
    </row>
    <row r="172" spans="3:17">
      <c r="C172" s="217" t="s">
        <v>51</v>
      </c>
      <c r="D172" s="219">
        <f>+Model!AV$109-SUM(D163:D171)</f>
        <v>95941.792000000132</v>
      </c>
      <c r="E172" s="162">
        <f>D172*$J$158</f>
        <v>103.57864553531923</v>
      </c>
      <c r="F172" s="215"/>
      <c r="G172" s="216"/>
      <c r="K172" s="162"/>
      <c r="L172" s="160"/>
      <c r="M172" s="160"/>
    </row>
    <row r="173" spans="3:17">
      <c r="C173" s="220" t="s">
        <v>19</v>
      </c>
      <c r="D173" s="221">
        <f>SUM(D163:D172)</f>
        <v>1188424.6730000002</v>
      </c>
      <c r="E173" s="222">
        <f>SUM(E163:E172)</f>
        <v>1283.0218759109116</v>
      </c>
      <c r="F173" s="223">
        <f>+D173/D178</f>
        <v>1.9218075887507704</v>
      </c>
      <c r="G173" s="224">
        <f>+E173/E178</f>
        <v>1.9315433345479631</v>
      </c>
      <c r="I173" s="166"/>
      <c r="J173" s="56"/>
      <c r="K173" s="162"/>
      <c r="L173" s="167"/>
      <c r="M173" s="167"/>
    </row>
    <row r="174" spans="3:17">
      <c r="C174" s="178" t="s">
        <v>20</v>
      </c>
      <c r="D174" s="225">
        <f>Model!AV$111</f>
        <v>282827.772</v>
      </c>
      <c r="E174" s="162">
        <f>D174*$J158</f>
        <v>305.3405292193421</v>
      </c>
      <c r="F174" s="226"/>
      <c r="G174" s="227"/>
      <c r="I174" s="166"/>
      <c r="J174" s="56"/>
      <c r="K174" s="162"/>
      <c r="L174" s="167"/>
      <c r="M174" s="167"/>
    </row>
    <row r="175" spans="3:17">
      <c r="C175" s="220" t="s">
        <v>21</v>
      </c>
      <c r="D175" s="221">
        <f>+D173-D174</f>
        <v>905596.90100000019</v>
      </c>
      <c r="E175" s="222">
        <f>+E173-E174</f>
        <v>977.6813466915695</v>
      </c>
      <c r="F175" s="223">
        <f>+D175/D178</f>
        <v>1.4644453588275343</v>
      </c>
      <c r="G175" s="224">
        <f>+E175/E178</f>
        <v>1.471864138850508</v>
      </c>
      <c r="I175" s="164"/>
      <c r="J175" s="57"/>
      <c r="K175" s="57"/>
      <c r="L175" s="165"/>
      <c r="M175" s="165"/>
    </row>
    <row r="176" spans="3:17">
      <c r="C176" s="228" t="s">
        <v>22</v>
      </c>
      <c r="D176" s="229">
        <f>Model!AV$118</f>
        <v>1173654.9990000001</v>
      </c>
      <c r="E176" s="162">
        <f>D176*$J158</f>
        <v>1267.0765532728039</v>
      </c>
      <c r="F176" s="230"/>
      <c r="G176" s="231"/>
      <c r="I176" s="164"/>
      <c r="J176" s="57"/>
      <c r="K176" s="57"/>
      <c r="L176" s="165"/>
      <c r="M176" s="165"/>
    </row>
    <row r="177" spans="3:17">
      <c r="C177" s="220" t="s">
        <v>23</v>
      </c>
      <c r="D177" s="221">
        <f>D173+D176</f>
        <v>2362079.6720000003</v>
      </c>
      <c r="E177" s="222">
        <f>E173+E176</f>
        <v>2550.0984291837158</v>
      </c>
      <c r="F177" s="223">
        <f>D177/D178</f>
        <v>3.8197310624865581</v>
      </c>
      <c r="G177" s="224">
        <f>E177/E178</f>
        <v>3.8390815587878993</v>
      </c>
      <c r="I177" s="166"/>
      <c r="J177" s="30"/>
      <c r="K177" s="162"/>
    </row>
    <row r="178" spans="3:17">
      <c r="C178" s="232" t="s">
        <v>24</v>
      </c>
      <c r="D178" s="233">
        <f>Model!AV$87</f>
        <v>618389</v>
      </c>
      <c r="E178" s="234">
        <f>D178*$J159</f>
        <v>664.2470054709778</v>
      </c>
      <c r="F178" s="235"/>
      <c r="G178" s="236"/>
    </row>
    <row r="180" spans="3:17">
      <c r="C180" s="80" t="s">
        <v>25</v>
      </c>
      <c r="D180" s="172">
        <f>D173-Model!AV$114</f>
        <v>0</v>
      </c>
      <c r="E180" s="81"/>
    </row>
    <row r="181" spans="3:17" ht="13.5" thickBot="1">
      <c r="D181" s="103"/>
      <c r="E181" s="103"/>
      <c r="F181" s="188"/>
      <c r="G181" s="188"/>
    </row>
    <row r="182" spans="3:17">
      <c r="C182" s="251" t="s">
        <v>64</v>
      </c>
      <c r="D182" s="252" t="s">
        <v>4</v>
      </c>
      <c r="E182" s="253" t="s">
        <v>65</v>
      </c>
    </row>
    <row r="183" spans="3:17">
      <c r="C183" s="54"/>
      <c r="D183" s="82"/>
      <c r="E183" s="68"/>
    </row>
    <row r="184" spans="3:17">
      <c r="C184" s="54" t="s">
        <v>27</v>
      </c>
      <c r="D184" s="95">
        <f>D174</f>
        <v>282827.772</v>
      </c>
      <c r="E184" s="96">
        <f>E174</f>
        <v>305.3405292193421</v>
      </c>
    </row>
    <row r="185" spans="3:17" ht="13.5" thickBot="1">
      <c r="C185" s="92" t="s">
        <v>28</v>
      </c>
      <c r="D185" s="98">
        <f>SUM(D184:D184)</f>
        <v>282827.772</v>
      </c>
      <c r="E185" s="98">
        <f>SUM(E184:E184)</f>
        <v>305.3405292193421</v>
      </c>
      <c r="I185" s="156"/>
      <c r="J185" s="352"/>
      <c r="K185" s="352"/>
      <c r="L185" s="352"/>
      <c r="M185" s="352"/>
      <c r="N185" s="352"/>
      <c r="O185" s="352"/>
      <c r="P185" s="352"/>
      <c r="Q185" s="352"/>
    </row>
    <row r="186" spans="3:17">
      <c r="I186" s="158"/>
      <c r="J186" s="159"/>
      <c r="K186" s="159"/>
      <c r="L186" s="160"/>
      <c r="M186" s="160"/>
      <c r="N186" s="159"/>
      <c r="O186" s="159"/>
      <c r="P186" s="160"/>
      <c r="Q186" s="160"/>
    </row>
    <row r="187" spans="3:17" ht="13.5" thickBot="1">
      <c r="I187" s="158"/>
      <c r="J187" s="161"/>
      <c r="K187" s="162"/>
      <c r="L187" s="160"/>
      <c r="M187" s="160"/>
      <c r="N187" s="161"/>
      <c r="O187" s="162"/>
      <c r="P187" s="160"/>
      <c r="Q187" s="160"/>
    </row>
    <row r="188" spans="3:17">
      <c r="C188" s="256" t="s">
        <v>66</v>
      </c>
      <c r="D188" s="257" t="s">
        <v>4</v>
      </c>
      <c r="E188" s="258" t="s">
        <v>65</v>
      </c>
      <c r="I188" s="158"/>
      <c r="J188" s="163"/>
      <c r="K188" s="162"/>
      <c r="L188" s="157"/>
      <c r="M188" s="157"/>
      <c r="N188" s="163"/>
      <c r="O188" s="162"/>
      <c r="P188" s="157"/>
      <c r="Q188" s="157"/>
    </row>
    <row r="189" spans="3:17">
      <c r="C189" s="87"/>
      <c r="D189" s="102"/>
      <c r="E189" s="97"/>
      <c r="I189" s="158"/>
      <c r="J189" s="163"/>
      <c r="K189" s="162"/>
      <c r="L189" s="160"/>
      <c r="M189" s="160"/>
      <c r="N189" s="163"/>
      <c r="O189" s="162"/>
      <c r="P189" s="160"/>
      <c r="Q189" s="160"/>
    </row>
    <row r="190" spans="3:17">
      <c r="C190" s="87">
        <v>2026</v>
      </c>
      <c r="D190" s="102">
        <f>D165</f>
        <v>13854.951999999999</v>
      </c>
      <c r="E190" s="97">
        <f>D190*$J158</f>
        <v>14.957789845293489</v>
      </c>
      <c r="I190" s="168"/>
      <c r="J190" s="169"/>
      <c r="K190" s="162"/>
      <c r="L190" s="160"/>
      <c r="M190" s="160"/>
      <c r="N190" s="163"/>
      <c r="O190" s="162"/>
      <c r="P190" s="160"/>
      <c r="Q190" s="160"/>
    </row>
    <row r="191" spans="3:17">
      <c r="C191" s="87">
        <f>+C190+1</f>
        <v>2027</v>
      </c>
      <c r="D191" s="102">
        <v>0</v>
      </c>
      <c r="E191" s="97">
        <f>D191*$J158</f>
        <v>0</v>
      </c>
      <c r="I191" s="168"/>
      <c r="J191" s="170"/>
      <c r="K191" s="171"/>
      <c r="L191" s="165"/>
      <c r="M191" s="165"/>
      <c r="N191" s="170"/>
      <c r="O191" s="171"/>
      <c r="P191" s="165"/>
      <c r="Q191" s="165"/>
    </row>
    <row r="192" spans="3:17">
      <c r="C192" s="87">
        <f t="shared" ref="C192:C194" si="1">+C191+1</f>
        <v>2028</v>
      </c>
      <c r="D192" s="102">
        <f>D170</f>
        <v>206027.106</v>
      </c>
      <c r="E192" s="97">
        <f>D192*$J158</f>
        <v>222.42662074773014</v>
      </c>
      <c r="I192" s="158"/>
      <c r="J192" s="163"/>
      <c r="K192" s="162"/>
      <c r="L192" s="157"/>
      <c r="M192" s="157"/>
      <c r="N192" s="163"/>
      <c r="O192" s="162"/>
      <c r="P192" s="157"/>
      <c r="Q192" s="157"/>
    </row>
    <row r="193" spans="2:11">
      <c r="C193" s="87">
        <f t="shared" si="1"/>
        <v>2029</v>
      </c>
      <c r="D193" s="102">
        <v>0</v>
      </c>
      <c r="E193" s="97">
        <f>D193*$J158</f>
        <v>0</v>
      </c>
    </row>
    <row r="194" spans="2:11">
      <c r="C194" s="87">
        <f t="shared" si="1"/>
        <v>2030</v>
      </c>
      <c r="D194" s="102">
        <v>0</v>
      </c>
      <c r="E194" s="97">
        <f>D194*$J158</f>
        <v>0</v>
      </c>
    </row>
    <row r="195" spans="2:11">
      <c r="C195" s="174" t="s">
        <v>54</v>
      </c>
      <c r="D195" s="102">
        <f>D166+D167+D168+D169+D171</f>
        <v>826015.49099999992</v>
      </c>
      <c r="E195" s="97">
        <f>D195*$J158</f>
        <v>891.76535027583748</v>
      </c>
    </row>
    <row r="196" spans="2:11" ht="13.5" thickBot="1">
      <c r="C196" s="174" t="s">
        <v>55</v>
      </c>
      <c r="D196" s="102">
        <f>D172</f>
        <v>95941.792000000132</v>
      </c>
      <c r="E196" s="97">
        <f>D196*$J158</f>
        <v>103.57864553531923</v>
      </c>
      <c r="J196" s="143"/>
    </row>
    <row r="197" spans="2:11" ht="13.5" thickBot="1">
      <c r="C197" s="88" t="s">
        <v>56</v>
      </c>
      <c r="D197" s="105">
        <f>SUM(D189:D196)</f>
        <v>1141839.341</v>
      </c>
      <c r="E197" s="105">
        <f>SUM(E189:E196)</f>
        <v>1232.7284064041803</v>
      </c>
      <c r="F197" s="143"/>
    </row>
    <row r="198" spans="2:11" ht="13.5" thickBot="1">
      <c r="C198" s="87" t="s">
        <v>57</v>
      </c>
      <c r="D198" s="175">
        <f>+D163+D164</f>
        <v>46585.332000000002</v>
      </c>
      <c r="E198" s="97">
        <f>D198*$J158</f>
        <v>50.293469506731306</v>
      </c>
    </row>
    <row r="199" spans="2:11" ht="13.5" thickBot="1">
      <c r="C199" s="88" t="s">
        <v>58</v>
      </c>
      <c r="D199" s="105">
        <f>+D197+D198</f>
        <v>1188424.673</v>
      </c>
      <c r="E199" s="105">
        <f>+E197+E198</f>
        <v>1283.0218759109116</v>
      </c>
    </row>
    <row r="200" spans="2:11">
      <c r="C200" s="189"/>
      <c r="D200" s="113"/>
      <c r="E200" s="113"/>
    </row>
    <row r="205" spans="2:11">
      <c r="B205" s="48" t="s">
        <v>67</v>
      </c>
      <c r="I205" s="48" t="s">
        <v>39</v>
      </c>
      <c r="J205" s="67">
        <f>Model!$P$193</f>
        <v>1.0795988210780874E-3</v>
      </c>
      <c r="K205" s="67"/>
    </row>
    <row r="206" spans="2:11">
      <c r="B206" s="48"/>
      <c r="I206" s="48" t="s">
        <v>60</v>
      </c>
      <c r="J206" s="67">
        <f>Model!$P$192</f>
        <v>1.0741572141014439E-3</v>
      </c>
      <c r="K206" s="67"/>
    </row>
    <row r="207" spans="2:11" ht="13.5" thickBot="1">
      <c r="B207" s="48"/>
      <c r="I207" s="48"/>
      <c r="J207" s="67"/>
      <c r="K207" s="67"/>
    </row>
    <row r="208" spans="2:11">
      <c r="C208" s="249" t="s">
        <v>68</v>
      </c>
      <c r="D208" s="250" t="s">
        <v>4</v>
      </c>
      <c r="E208" s="255" t="s">
        <v>5</v>
      </c>
      <c r="F208" s="254" t="s">
        <v>6</v>
      </c>
      <c r="G208" s="255" t="s">
        <v>7</v>
      </c>
      <c r="I208" s="261" t="s">
        <v>62</v>
      </c>
      <c r="J208" s="262"/>
      <c r="K208" s="67"/>
    </row>
    <row r="209" spans="3:17">
      <c r="C209" s="213"/>
      <c r="D209" s="214"/>
      <c r="E209" s="159"/>
      <c r="F209" s="215"/>
      <c r="G209" s="216"/>
      <c r="I209" s="202" t="s">
        <v>9</v>
      </c>
      <c r="J209" s="203">
        <v>1106</v>
      </c>
    </row>
    <row r="210" spans="3:17">
      <c r="C210" s="217" t="s">
        <v>42</v>
      </c>
      <c r="D210" s="218">
        <v>47716.784</v>
      </c>
      <c r="E210" s="162">
        <f>D210*$J$205</f>
        <v>51.514983752037743</v>
      </c>
      <c r="F210" s="215"/>
      <c r="G210" s="216"/>
      <c r="I210" s="204" t="s">
        <v>11</v>
      </c>
      <c r="J210" s="205">
        <v>884</v>
      </c>
      <c r="K210" s="162"/>
      <c r="L210" s="160"/>
      <c r="M210" s="263"/>
    </row>
    <row r="211" spans="3:17" ht="13.5" thickBot="1">
      <c r="C211" s="217" t="s">
        <v>43</v>
      </c>
      <c r="D211" s="218">
        <f>11009.298+21844.909</f>
        <v>32854.207000000002</v>
      </c>
      <c r="E211" s="162">
        <f>D211*$J$205</f>
        <v>35.469363144655453</v>
      </c>
      <c r="F211" s="215"/>
      <c r="G211" s="216"/>
      <c r="I211" s="260" t="s">
        <v>13</v>
      </c>
      <c r="J211" s="259">
        <v>1.2</v>
      </c>
      <c r="K211" s="57"/>
      <c r="L211" s="165"/>
      <c r="M211" s="165"/>
      <c r="Q211" s="247"/>
    </row>
    <row r="212" spans="3:17">
      <c r="C212" s="217" t="s">
        <v>44</v>
      </c>
      <c r="D212" s="218">
        <f>13561.269</f>
        <v>13561.269</v>
      </c>
      <c r="E212" s="162">
        <f>D212*$J$205</f>
        <v>14.640730024722814</v>
      </c>
      <c r="F212" s="215"/>
      <c r="G212" s="216"/>
      <c r="I212" s="157"/>
      <c r="J212" s="157"/>
      <c r="K212" s="157"/>
      <c r="L212" s="157"/>
      <c r="M212" s="157"/>
      <c r="Q212" s="247"/>
    </row>
    <row r="213" spans="3:17">
      <c r="C213" s="217" t="s">
        <v>45</v>
      </c>
      <c r="D213" s="218">
        <f>5871.557+29450.296</f>
        <v>35321.852999999996</v>
      </c>
      <c r="E213" s="162">
        <f>D213*$J$205</f>
        <v>38.133430857093501</v>
      </c>
      <c r="F213" s="215"/>
      <c r="G213" s="216"/>
      <c r="K213" s="159"/>
      <c r="L213" s="160"/>
      <c r="M213" s="160"/>
      <c r="Q213" s="248"/>
    </row>
    <row r="214" spans="3:17">
      <c r="C214" s="217" t="s">
        <v>46</v>
      </c>
      <c r="D214" s="218">
        <f>2200.947+157068.28</f>
        <v>159269.22700000001</v>
      </c>
      <c r="E214" s="162">
        <f>D214*$J$205</f>
        <v>171.94686970321831</v>
      </c>
      <c r="F214" s="215"/>
      <c r="G214" s="216"/>
      <c r="K214" s="159"/>
      <c r="L214" s="160"/>
      <c r="M214" s="160"/>
    </row>
    <row r="215" spans="3:17">
      <c r="C215" s="217" t="s">
        <v>47</v>
      </c>
      <c r="D215" s="218">
        <f>1458.882+117801.269</f>
        <v>119260.151</v>
      </c>
      <c r="E215" s="162">
        <f>D215*$J$205</f>
        <v>128.7531184211947</v>
      </c>
      <c r="F215" s="215"/>
      <c r="G215" s="216"/>
      <c r="K215" s="162"/>
      <c r="L215" s="160"/>
      <c r="M215" s="160"/>
    </row>
    <row r="216" spans="3:17" ht="12.75" customHeight="1">
      <c r="C216" s="217" t="s">
        <v>48</v>
      </c>
      <c r="D216" s="218">
        <f>1640.459+223822.299</f>
        <v>225462.758</v>
      </c>
      <c r="E216" s="162">
        <f>D216*$J$205</f>
        <v>243.40932773381414</v>
      </c>
      <c r="F216" s="215"/>
      <c r="G216" s="216"/>
      <c r="K216" s="162"/>
      <c r="L216" s="157"/>
      <c r="M216" s="157"/>
    </row>
    <row r="217" spans="3:17">
      <c r="C217" s="217" t="s">
        <v>63</v>
      </c>
      <c r="D217" s="218">
        <f>4227.796+200027.1</f>
        <v>204254.89600000001</v>
      </c>
      <c r="E217" s="162">
        <f>D217*$J$205</f>
        <v>220.51334492102737</v>
      </c>
      <c r="F217" s="215"/>
      <c r="G217" s="216"/>
      <c r="I217" s="158"/>
      <c r="J217" s="163"/>
      <c r="K217" s="162"/>
      <c r="L217" s="160"/>
      <c r="M217" s="160"/>
    </row>
    <row r="218" spans="3:17">
      <c r="C218" s="217" t="s">
        <v>50</v>
      </c>
      <c r="D218" s="218">
        <f>4885.287+280026</f>
        <v>284911.28700000001</v>
      </c>
      <c r="E218" s="162">
        <f>D218*$J$205</f>
        <v>307.58988955704064</v>
      </c>
      <c r="F218" s="215"/>
      <c r="G218" s="216"/>
      <c r="K218" s="162"/>
      <c r="L218" s="160"/>
      <c r="M218" s="160"/>
    </row>
    <row r="219" spans="3:17">
      <c r="C219" s="217" t="s">
        <v>51</v>
      </c>
      <c r="D219" s="219">
        <f>+Model!AU$109-SUM(D210:D218)</f>
        <v>-5843.8389999999199</v>
      </c>
      <c r="E219" s="162">
        <f>D219*$J$205</f>
        <v>-6.3090016949700631</v>
      </c>
      <c r="F219" s="215"/>
      <c r="G219" s="216"/>
      <c r="K219" s="162"/>
      <c r="L219" s="160"/>
      <c r="M219" s="160"/>
    </row>
    <row r="220" spans="3:17">
      <c r="C220" s="220" t="s">
        <v>19</v>
      </c>
      <c r="D220" s="221">
        <f>SUM(D210:D219)</f>
        <v>1116768.5930000001</v>
      </c>
      <c r="E220" s="222">
        <f>SUM(E210:E219)</f>
        <v>1205.6620564198347</v>
      </c>
      <c r="F220" s="223">
        <f>+D220/D225</f>
        <v>1.8616129759807167</v>
      </c>
      <c r="G220" s="224">
        <f>+E220/E225</f>
        <v>1.8710437799867963</v>
      </c>
      <c r="I220" s="166"/>
      <c r="J220" s="56"/>
      <c r="K220" s="162"/>
      <c r="L220" s="167"/>
      <c r="M220" s="167"/>
    </row>
    <row r="221" spans="3:17">
      <c r="C221" s="178" t="s">
        <v>20</v>
      </c>
      <c r="D221" s="225">
        <f>Model!AU$111</f>
        <v>207186.89</v>
      </c>
      <c r="E221" s="162">
        <f>D221*$J205</f>
        <v>223.67872218683539</v>
      </c>
      <c r="F221" s="226"/>
      <c r="G221" s="227"/>
      <c r="I221" s="166"/>
      <c r="J221" s="56"/>
      <c r="K221" s="162"/>
      <c r="L221" s="167"/>
      <c r="M221" s="167"/>
    </row>
    <row r="222" spans="3:17">
      <c r="C222" s="220" t="s">
        <v>21</v>
      </c>
      <c r="D222" s="221">
        <f>+D220-D221</f>
        <v>909581.7030000001</v>
      </c>
      <c r="E222" s="222">
        <f>+E220-E221</f>
        <v>981.98333423299937</v>
      </c>
      <c r="F222" s="223">
        <f>+D222/D225</f>
        <v>1.5162399011156991</v>
      </c>
      <c r="G222" s="224">
        <f>+E222/E225</f>
        <v>1.5239210687472724</v>
      </c>
      <c r="I222" s="164"/>
      <c r="J222" s="57"/>
      <c r="K222" s="57"/>
      <c r="L222" s="165"/>
      <c r="M222" s="165"/>
    </row>
    <row r="223" spans="3:17">
      <c r="C223" s="228" t="s">
        <v>22</v>
      </c>
      <c r="D223" s="229">
        <f>Model!AU$118</f>
        <v>1108216.223</v>
      </c>
      <c r="E223" s="162">
        <f>D223*$J205</f>
        <v>1196.4289278504109</v>
      </c>
      <c r="F223" s="230"/>
      <c r="G223" s="231"/>
      <c r="I223" s="164"/>
      <c r="J223" s="57"/>
      <c r="K223" s="57"/>
      <c r="L223" s="165"/>
      <c r="M223" s="165"/>
    </row>
    <row r="224" spans="3:17">
      <c r="C224" s="220" t="s">
        <v>23</v>
      </c>
      <c r="D224" s="221">
        <f>D220+D223</f>
        <v>2224984.8160000001</v>
      </c>
      <c r="E224" s="222">
        <f>E220+E223</f>
        <v>2402.0909842702458</v>
      </c>
      <c r="F224" s="223">
        <f>D224/D225</f>
        <v>3.7089694595536207</v>
      </c>
      <c r="G224" s="224">
        <f>E224/E225</f>
        <v>3.7277588451503547</v>
      </c>
      <c r="I224" s="166"/>
      <c r="J224" s="30"/>
      <c r="K224" s="162"/>
    </row>
    <row r="225" spans="3:17">
      <c r="C225" s="232" t="s">
        <v>24</v>
      </c>
      <c r="D225" s="233">
        <f>Model!AU$87</f>
        <v>599893</v>
      </c>
      <c r="E225" s="234">
        <f>D225*$J206</f>
        <v>644.37939363895748</v>
      </c>
      <c r="F225" s="235"/>
      <c r="G225" s="236"/>
    </row>
    <row r="227" spans="3:17">
      <c r="C227" s="80" t="s">
        <v>25</v>
      </c>
      <c r="D227" s="172">
        <f>D220-Model!AU$114</f>
        <v>0</v>
      </c>
      <c r="E227" s="81"/>
    </row>
    <row r="228" spans="3:17" ht="13.5" thickBot="1">
      <c r="D228" s="103"/>
      <c r="E228" s="103"/>
      <c r="F228" s="188"/>
      <c r="G228" s="188"/>
    </row>
    <row r="229" spans="3:17">
      <c r="C229" s="251" t="s">
        <v>69</v>
      </c>
      <c r="D229" s="252" t="s">
        <v>4</v>
      </c>
      <c r="E229" s="253" t="s">
        <v>65</v>
      </c>
    </row>
    <row r="230" spans="3:17">
      <c r="C230" s="54"/>
      <c r="D230" s="82"/>
      <c r="E230" s="68"/>
    </row>
    <row r="231" spans="3:17">
      <c r="C231" s="54" t="s">
        <v>27</v>
      </c>
      <c r="D231" s="95">
        <f>D221</f>
        <v>207186.89</v>
      </c>
      <c r="E231" s="96">
        <f>E221</f>
        <v>223.67872218683539</v>
      </c>
    </row>
    <row r="232" spans="3:17" ht="13.5" thickBot="1">
      <c r="C232" s="92" t="s">
        <v>28</v>
      </c>
      <c r="D232" s="98">
        <f>SUM(D231:D231)</f>
        <v>207186.89</v>
      </c>
      <c r="E232" s="98">
        <f>SUM(E231:E231)</f>
        <v>223.67872218683539</v>
      </c>
      <c r="I232" s="156"/>
      <c r="J232" s="352"/>
      <c r="K232" s="352"/>
      <c r="L232" s="352"/>
      <c r="M232" s="352"/>
      <c r="N232" s="352"/>
      <c r="O232" s="352"/>
      <c r="P232" s="352"/>
      <c r="Q232" s="352"/>
    </row>
    <row r="233" spans="3:17">
      <c r="I233" s="158"/>
      <c r="J233" s="159"/>
      <c r="K233" s="159"/>
      <c r="L233" s="160"/>
      <c r="M233" s="160"/>
      <c r="N233" s="159"/>
      <c r="O233" s="159"/>
      <c r="P233" s="160"/>
      <c r="Q233" s="160"/>
    </row>
    <row r="234" spans="3:17" ht="13.5" thickBot="1">
      <c r="I234" s="158"/>
      <c r="J234" s="161"/>
      <c r="K234" s="162"/>
      <c r="L234" s="160"/>
      <c r="M234" s="160"/>
      <c r="N234" s="161"/>
      <c r="O234" s="162"/>
      <c r="P234" s="160"/>
      <c r="Q234" s="160"/>
    </row>
    <row r="235" spans="3:17">
      <c r="C235" s="256" t="s">
        <v>70</v>
      </c>
      <c r="D235" s="257" t="s">
        <v>4</v>
      </c>
      <c r="E235" s="258" t="s">
        <v>65</v>
      </c>
      <c r="I235" s="158"/>
      <c r="J235" s="163"/>
      <c r="K235" s="162"/>
      <c r="L235" s="157"/>
      <c r="M235" s="157"/>
      <c r="N235" s="163"/>
      <c r="O235" s="162"/>
      <c r="P235" s="157"/>
      <c r="Q235" s="157"/>
    </row>
    <row r="236" spans="3:17">
      <c r="C236" s="87"/>
      <c r="D236" s="102"/>
      <c r="E236" s="97"/>
      <c r="I236" s="158"/>
      <c r="J236" s="163"/>
      <c r="K236" s="162"/>
      <c r="L236" s="160"/>
      <c r="M236" s="160"/>
      <c r="N236" s="163"/>
      <c r="O236" s="162"/>
      <c r="P236" s="160"/>
      <c r="Q236" s="160"/>
    </row>
    <row r="237" spans="3:17">
      <c r="C237" s="87">
        <v>2026</v>
      </c>
      <c r="D237" s="102">
        <f>D212</f>
        <v>13561.269</v>
      </c>
      <c r="E237" s="97">
        <f>D237*$J205</f>
        <v>14.640730024722814</v>
      </c>
      <c r="I237" s="168"/>
      <c r="J237" s="169"/>
      <c r="K237" s="162"/>
      <c r="L237" s="160"/>
      <c r="M237" s="160"/>
      <c r="N237" s="163"/>
      <c r="O237" s="162"/>
      <c r="P237" s="160"/>
      <c r="Q237" s="160"/>
    </row>
    <row r="238" spans="3:17">
      <c r="C238" s="87">
        <f>+C237+1</f>
        <v>2027</v>
      </c>
      <c r="D238" s="102">
        <v>0</v>
      </c>
      <c r="E238" s="97">
        <f>D238*$J205</f>
        <v>0</v>
      </c>
      <c r="I238" s="168"/>
      <c r="J238" s="170"/>
      <c r="K238" s="171"/>
      <c r="L238" s="165"/>
      <c r="M238" s="165"/>
      <c r="N238" s="170"/>
      <c r="O238" s="171"/>
      <c r="P238" s="165"/>
      <c r="Q238" s="165"/>
    </row>
    <row r="239" spans="3:17">
      <c r="C239" s="87">
        <f t="shared" ref="C239:C241" si="2">+C238+1</f>
        <v>2028</v>
      </c>
      <c r="D239" s="102">
        <f>D217</f>
        <v>204254.89600000001</v>
      </c>
      <c r="E239" s="97">
        <f>D239*$J205</f>
        <v>220.51334492102737</v>
      </c>
      <c r="I239" s="158"/>
      <c r="J239" s="163"/>
      <c r="K239" s="162"/>
      <c r="L239" s="157"/>
      <c r="M239" s="157"/>
      <c r="N239" s="163"/>
      <c r="O239" s="162"/>
      <c r="P239" s="157"/>
      <c r="Q239" s="157"/>
    </row>
    <row r="240" spans="3:17">
      <c r="C240" s="87">
        <f t="shared" si="2"/>
        <v>2029</v>
      </c>
      <c r="D240" s="102">
        <v>0</v>
      </c>
      <c r="E240" s="97">
        <f>D240*$J205</f>
        <v>0</v>
      </c>
    </row>
    <row r="241" spans="2:13">
      <c r="C241" s="87">
        <f t="shared" si="2"/>
        <v>2030</v>
      </c>
      <c r="D241" s="102">
        <v>0</v>
      </c>
      <c r="E241" s="97">
        <f>D241*$J205</f>
        <v>0</v>
      </c>
    </row>
    <row r="242" spans="2:13">
      <c r="C242" s="174" t="s">
        <v>54</v>
      </c>
      <c r="D242" s="102">
        <f>D213+D214+D215+D216+D218</f>
        <v>824225.27600000007</v>
      </c>
      <c r="E242" s="97">
        <f>D242*$J205</f>
        <v>889.83263627236136</v>
      </c>
    </row>
    <row r="243" spans="2:13" ht="13.5" thickBot="1">
      <c r="C243" s="174" t="s">
        <v>55</v>
      </c>
      <c r="D243" s="102">
        <f>D219</f>
        <v>-5843.8389999999199</v>
      </c>
      <c r="E243" s="97">
        <f>D243*$J205</f>
        <v>-6.3090016949700631</v>
      </c>
      <c r="J243" s="143"/>
    </row>
    <row r="244" spans="2:13" ht="13.5" thickBot="1">
      <c r="C244" s="88" t="s">
        <v>56</v>
      </c>
      <c r="D244" s="105">
        <f>SUM(D236:D243)</f>
        <v>1036197.6020000002</v>
      </c>
      <c r="E244" s="105">
        <f>SUM(E236:E243)</f>
        <v>1118.6777095231416</v>
      </c>
      <c r="F244" s="143"/>
    </row>
    <row r="245" spans="2:13" ht="13.5" thickBot="1">
      <c r="C245" s="87" t="s">
        <v>57</v>
      </c>
      <c r="D245" s="175">
        <f>+D210+D211</f>
        <v>80570.991000000009</v>
      </c>
      <c r="E245" s="97">
        <f>D245*$J205</f>
        <v>86.984346896693197</v>
      </c>
    </row>
    <row r="246" spans="2:13" ht="13.5" thickBot="1">
      <c r="C246" s="88" t="s">
        <v>58</v>
      </c>
      <c r="D246" s="105">
        <f>+D244+D245</f>
        <v>1116768.5930000001</v>
      </c>
      <c r="E246" s="105">
        <f>+E244+E245</f>
        <v>1205.6620564198349</v>
      </c>
    </row>
    <row r="247" spans="2:13">
      <c r="C247" s="189"/>
      <c r="D247" s="113"/>
      <c r="E247" s="113"/>
    </row>
    <row r="252" spans="2:13">
      <c r="B252" s="48" t="s">
        <v>71</v>
      </c>
      <c r="I252" s="48" t="s">
        <v>39</v>
      </c>
      <c r="J252" s="67">
        <f>Model!AT$193</f>
        <v>1.0510000000000001E-3</v>
      </c>
      <c r="K252" s="67"/>
    </row>
    <row r="253" spans="2:13">
      <c r="C253" s="110" t="s">
        <v>72</v>
      </c>
      <c r="D253" s="350"/>
      <c r="E253" s="351"/>
      <c r="F253" s="78" t="s">
        <v>6</v>
      </c>
      <c r="G253" s="107" t="s">
        <v>7</v>
      </c>
      <c r="I253" s="48" t="s">
        <v>73</v>
      </c>
      <c r="J253" s="67">
        <f>Model!AP$192</f>
        <v>1.057E-3</v>
      </c>
      <c r="K253" s="67"/>
    </row>
    <row r="254" spans="2:13">
      <c r="C254" s="213"/>
      <c r="D254" s="214" t="s">
        <v>4</v>
      </c>
      <c r="E254" s="159" t="s">
        <v>5</v>
      </c>
      <c r="F254" s="215"/>
      <c r="G254" s="216"/>
    </row>
    <row r="255" spans="2:13" ht="13.5" thickBot="1">
      <c r="C255" s="213"/>
      <c r="D255" s="214"/>
      <c r="E255" s="159"/>
      <c r="F255" s="215"/>
      <c r="G255" s="216"/>
    </row>
    <row r="256" spans="2:13">
      <c r="C256" s="217" t="s">
        <v>42</v>
      </c>
      <c r="D256" s="218">
        <v>48720.082999999999</v>
      </c>
      <c r="E256" s="162">
        <f>D256*$J252</f>
        <v>51.204807233000004</v>
      </c>
      <c r="F256" s="215"/>
      <c r="G256" s="216"/>
      <c r="I256" s="211" t="s">
        <v>74</v>
      </c>
      <c r="J256" s="212"/>
      <c r="K256" s="162"/>
      <c r="L256" s="160"/>
      <c r="M256" s="160"/>
    </row>
    <row r="257" spans="3:13">
      <c r="C257" s="217" t="s">
        <v>43</v>
      </c>
      <c r="D257" s="218">
        <f>8487.065+20422.031</f>
        <v>28909.095999999998</v>
      </c>
      <c r="E257" s="162">
        <f>D257*$J252</f>
        <v>30.383459895999998</v>
      </c>
      <c r="F257" s="215"/>
      <c r="G257" s="216"/>
      <c r="I257" s="202" t="s">
        <v>9</v>
      </c>
      <c r="J257" s="203">
        <v>1069</v>
      </c>
      <c r="K257" s="57"/>
      <c r="L257" s="165"/>
      <c r="M257" s="165"/>
    </row>
    <row r="258" spans="3:13">
      <c r="C258" s="217" t="s">
        <v>44</v>
      </c>
      <c r="D258" s="218">
        <f>13366.742+6787.566</f>
        <v>20154.308000000001</v>
      </c>
      <c r="E258" s="162">
        <f>D258*$J252</f>
        <v>21.182177708000001</v>
      </c>
      <c r="F258" s="215"/>
      <c r="G258" s="216"/>
      <c r="I258" s="204" t="s">
        <v>11</v>
      </c>
      <c r="J258" s="205">
        <v>850</v>
      </c>
      <c r="K258" s="157"/>
      <c r="L258" s="157"/>
      <c r="M258" s="157"/>
    </row>
    <row r="259" spans="3:13">
      <c r="C259" s="217" t="s">
        <v>45</v>
      </c>
      <c r="D259" s="218">
        <f>5474.425+29170.576</f>
        <v>34645.001000000004</v>
      </c>
      <c r="E259" s="162">
        <f>D259*$J252</f>
        <v>36.411896051000006</v>
      </c>
      <c r="F259" s="215"/>
      <c r="G259" s="216"/>
      <c r="I259" s="202" t="s">
        <v>75</v>
      </c>
      <c r="J259" s="206">
        <f>E271</f>
        <v>623.449253</v>
      </c>
      <c r="K259" s="159"/>
      <c r="L259" s="160"/>
      <c r="M259" s="160"/>
    </row>
    <row r="260" spans="3:13">
      <c r="C260" s="217" t="s">
        <v>46</v>
      </c>
      <c r="D260" s="218">
        <f>715.834+155576.44</f>
        <v>156292.274</v>
      </c>
      <c r="E260" s="162">
        <f>D260*$J252</f>
        <v>164.26317997400002</v>
      </c>
      <c r="F260" s="215"/>
      <c r="G260" s="216"/>
      <c r="I260" s="207" t="s">
        <v>76</v>
      </c>
      <c r="J260" s="208">
        <f>J257/J259</f>
        <v>1.714654392247704</v>
      </c>
      <c r="K260" s="159"/>
      <c r="L260" s="160"/>
      <c r="M260" s="160"/>
    </row>
    <row r="261" spans="3:13" ht="13.5" thickBot="1">
      <c r="C261" s="217" t="s">
        <v>47</v>
      </c>
      <c r="D261" s="218">
        <f>361.221+116682.388</f>
        <v>117043.60900000001</v>
      </c>
      <c r="E261" s="162">
        <f>D261*$J252</f>
        <v>123.01283305900002</v>
      </c>
      <c r="F261" s="215"/>
      <c r="G261" s="216"/>
      <c r="I261" s="209" t="s">
        <v>13</v>
      </c>
      <c r="J261" s="210">
        <f>J258/J259</f>
        <v>1.3633828189060322</v>
      </c>
      <c r="K261" s="162"/>
      <c r="L261" s="160"/>
      <c r="M261" s="160"/>
    </row>
    <row r="262" spans="3:13" ht="12.75" customHeight="1">
      <c r="C262" s="217" t="s">
        <v>48</v>
      </c>
      <c r="D262" s="218">
        <f>100.507+221696.428</f>
        <v>221796.93500000003</v>
      </c>
      <c r="E262" s="162">
        <f>D262*$J252</f>
        <v>233.10857868500005</v>
      </c>
      <c r="F262" s="215"/>
      <c r="G262" s="216"/>
      <c r="K262" s="162"/>
      <c r="L262" s="157"/>
      <c r="M262" s="157"/>
    </row>
    <row r="263" spans="3:13">
      <c r="C263" s="217" t="s">
        <v>77</v>
      </c>
      <c r="D263" s="218">
        <f>2626.626+183137.6</f>
        <v>185764.226</v>
      </c>
      <c r="E263" s="162">
        <f>D263*$J253</f>
        <v>196.352786882</v>
      </c>
      <c r="F263" s="215"/>
      <c r="G263" s="216"/>
      <c r="I263" s="158"/>
      <c r="J263" s="163"/>
      <c r="K263" s="162"/>
      <c r="L263" s="160"/>
      <c r="M263" s="160"/>
    </row>
    <row r="264" spans="3:13">
      <c r="C264" s="217" t="s">
        <v>50</v>
      </c>
      <c r="D264" s="218">
        <f>2164.66+285921</f>
        <v>288085.65999999997</v>
      </c>
      <c r="E264" s="162">
        <f>D264*$J252</f>
        <v>302.77802866000002</v>
      </c>
      <c r="F264" s="215"/>
      <c r="G264" s="216"/>
      <c r="K264" s="162"/>
      <c r="L264" s="160"/>
      <c r="M264" s="160"/>
    </row>
    <row r="265" spans="3:13">
      <c r="C265" s="217" t="s">
        <v>51</v>
      </c>
      <c r="D265" s="219">
        <f>+Model!AT$109-SUM(D256:D264)</f>
        <v>-6056.5090000000782</v>
      </c>
      <c r="E265" s="162">
        <f>D265*$J252</f>
        <v>-6.3653909590000826</v>
      </c>
      <c r="F265" s="215"/>
      <c r="G265" s="216"/>
      <c r="K265" s="162"/>
      <c r="L265" s="160"/>
      <c r="M265" s="160"/>
    </row>
    <row r="266" spans="3:13">
      <c r="C266" s="220" t="s">
        <v>19</v>
      </c>
      <c r="D266" s="221">
        <f>SUM(D256:D265)</f>
        <v>1095354.683</v>
      </c>
      <c r="E266" s="222">
        <f>SUM(E256:E265)</f>
        <v>1152.3323571890003</v>
      </c>
      <c r="F266" s="223">
        <f>+D266/D271</f>
        <v>1.8570715970221878</v>
      </c>
      <c r="G266" s="224">
        <f>+E266/E271</f>
        <v>1.848317808777614</v>
      </c>
      <c r="I266" s="166"/>
      <c r="J266" s="56"/>
      <c r="K266" s="162"/>
      <c r="L266" s="167"/>
      <c r="M266" s="167"/>
    </row>
    <row r="267" spans="3:13">
      <c r="C267" s="178" t="s">
        <v>20</v>
      </c>
      <c r="D267" s="225">
        <f>Model!AT$111</f>
        <v>208478.139</v>
      </c>
      <c r="E267" s="162">
        <f>D267*$J252</f>
        <v>219.11052408900002</v>
      </c>
      <c r="F267" s="226"/>
      <c r="G267" s="227"/>
      <c r="I267" s="166"/>
      <c r="J267" s="56"/>
      <c r="K267" s="162"/>
      <c r="L267" s="167"/>
      <c r="M267" s="167"/>
    </row>
    <row r="268" spans="3:13">
      <c r="C268" s="220" t="s">
        <v>21</v>
      </c>
      <c r="D268" s="221">
        <f>+D266-D267</f>
        <v>886876.54399999999</v>
      </c>
      <c r="E268" s="222">
        <f>+E266-E267</f>
        <v>933.22183310000025</v>
      </c>
      <c r="F268" s="223">
        <f>+D268/D271</f>
        <v>1.5036163769499296</v>
      </c>
      <c r="G268" s="224">
        <f>+E268/E271</f>
        <v>1.4968689570312153</v>
      </c>
      <c r="I268" s="164"/>
      <c r="J268" s="57"/>
      <c r="K268" s="57"/>
      <c r="L268" s="165"/>
      <c r="M268" s="165"/>
    </row>
    <row r="269" spans="3:13">
      <c r="C269" s="228" t="s">
        <v>22</v>
      </c>
      <c r="D269" s="229">
        <f>Model!AT$118</f>
        <v>1072961.199</v>
      </c>
      <c r="E269" s="162">
        <f>D269*$J252</f>
        <v>1127.6822201490002</v>
      </c>
      <c r="F269" s="230"/>
      <c r="G269" s="231"/>
      <c r="I269" s="164"/>
      <c r="J269" s="57"/>
      <c r="K269" s="57"/>
      <c r="L269" s="165"/>
      <c r="M269" s="165"/>
    </row>
    <row r="270" spans="3:13">
      <c r="C270" s="220" t="s">
        <v>23</v>
      </c>
      <c r="D270" s="221">
        <f>D266+D269</f>
        <v>2168315.8820000002</v>
      </c>
      <c r="E270" s="222">
        <f>E266+E269</f>
        <v>2280.0145773380004</v>
      </c>
      <c r="F270" s="223">
        <f>D270/D271</f>
        <v>3.6761771326943915</v>
      </c>
      <c r="G270" s="224">
        <f>E270/E271</f>
        <v>3.6570972959975627</v>
      </c>
      <c r="I270" s="166"/>
      <c r="J270" s="30"/>
      <c r="K270" s="162"/>
    </row>
    <row r="271" spans="3:13">
      <c r="C271" s="232" t="s">
        <v>24</v>
      </c>
      <c r="D271" s="233">
        <f>Model!AT$87</f>
        <v>589829</v>
      </c>
      <c r="E271" s="234">
        <f>D271*$J253</f>
        <v>623.449253</v>
      </c>
      <c r="F271" s="235"/>
      <c r="G271" s="236"/>
    </row>
    <row r="273" spans="3:17">
      <c r="C273" s="80" t="s">
        <v>25</v>
      </c>
      <c r="D273" s="172">
        <f>D266-Model!AT$114</f>
        <v>0</v>
      </c>
      <c r="E273" s="81"/>
    </row>
    <row r="274" spans="3:17" ht="13.5" thickBot="1">
      <c r="D274" s="103"/>
      <c r="E274" s="103"/>
      <c r="F274" s="188"/>
      <c r="G274" s="188"/>
    </row>
    <row r="275" spans="3:17">
      <c r="C275" s="53" t="s">
        <v>78</v>
      </c>
      <c r="D275" s="99" t="s">
        <v>4</v>
      </c>
      <c r="E275" s="100" t="s">
        <v>65</v>
      </c>
    </row>
    <row r="276" spans="3:17">
      <c r="C276" s="54"/>
      <c r="D276" s="82"/>
      <c r="E276" s="68"/>
    </row>
    <row r="277" spans="3:17">
      <c r="C277" s="54" t="s">
        <v>27</v>
      </c>
      <c r="D277" s="95">
        <f>D267</f>
        <v>208478.139</v>
      </c>
      <c r="E277" s="96">
        <f>E267</f>
        <v>219.11052408900002</v>
      </c>
    </row>
    <row r="278" spans="3:17" ht="13.5" thickBot="1">
      <c r="C278" s="92" t="s">
        <v>28</v>
      </c>
      <c r="D278" s="98">
        <f>SUM(D277:D277)</f>
        <v>208478.139</v>
      </c>
      <c r="E278" s="98">
        <f>SUM(E277:E277)</f>
        <v>219.11052408900002</v>
      </c>
      <c r="I278" s="156"/>
      <c r="J278" s="352"/>
      <c r="K278" s="352"/>
      <c r="L278" s="352"/>
      <c r="M278" s="352"/>
      <c r="N278" s="352"/>
      <c r="O278" s="352"/>
      <c r="P278" s="352"/>
      <c r="Q278" s="352"/>
    </row>
    <row r="279" spans="3:17">
      <c r="I279" s="158"/>
      <c r="J279" s="159"/>
      <c r="K279" s="159"/>
      <c r="L279" s="160"/>
      <c r="M279" s="160"/>
      <c r="N279" s="159"/>
      <c r="O279" s="159"/>
      <c r="P279" s="160"/>
      <c r="Q279" s="160"/>
    </row>
    <row r="280" spans="3:17" ht="13.5" thickBot="1">
      <c r="I280" s="158"/>
      <c r="J280" s="161"/>
      <c r="K280" s="162"/>
      <c r="L280" s="160"/>
      <c r="M280" s="160"/>
      <c r="N280" s="161"/>
      <c r="O280" s="162"/>
      <c r="P280" s="160"/>
      <c r="Q280" s="160"/>
    </row>
    <row r="281" spans="3:17">
      <c r="C281" s="85" t="s">
        <v>79</v>
      </c>
      <c r="D281" s="99" t="s">
        <v>4</v>
      </c>
      <c r="E281" s="86" t="s">
        <v>65</v>
      </c>
      <c r="I281" s="158"/>
      <c r="J281" s="163"/>
      <c r="K281" s="162"/>
      <c r="L281" s="157"/>
      <c r="M281" s="157"/>
      <c r="N281" s="163"/>
      <c r="O281" s="162"/>
      <c r="P281" s="157"/>
      <c r="Q281" s="157"/>
    </row>
    <row r="282" spans="3:17">
      <c r="C282" s="87"/>
      <c r="D282" s="102"/>
      <c r="E282" s="97"/>
      <c r="I282" s="158"/>
      <c r="J282" s="163"/>
      <c r="K282" s="162"/>
      <c r="L282" s="160"/>
      <c r="M282" s="160"/>
      <c r="N282" s="163"/>
      <c r="O282" s="162"/>
      <c r="P282" s="160"/>
      <c r="Q282" s="160"/>
    </row>
    <row r="283" spans="3:17">
      <c r="C283" s="87">
        <v>2026</v>
      </c>
      <c r="D283" s="102">
        <f>D258</f>
        <v>20154.308000000001</v>
      </c>
      <c r="E283" s="97">
        <f>D283*$J252</f>
        <v>21.182177708000001</v>
      </c>
      <c r="I283" s="168"/>
      <c r="J283" s="169"/>
      <c r="K283" s="162"/>
      <c r="L283" s="160"/>
      <c r="M283" s="160"/>
      <c r="N283" s="163"/>
      <c r="O283" s="162"/>
      <c r="P283" s="160"/>
      <c r="Q283" s="160"/>
    </row>
    <row r="284" spans="3:17">
      <c r="C284" s="87">
        <f>+C283+1</f>
        <v>2027</v>
      </c>
      <c r="D284" s="102">
        <v>0</v>
      </c>
      <c r="E284" s="97">
        <f>D284*$J252</f>
        <v>0</v>
      </c>
      <c r="I284" s="168"/>
      <c r="J284" s="170"/>
      <c r="K284" s="171"/>
      <c r="L284" s="165"/>
      <c r="M284" s="165"/>
      <c r="N284" s="170"/>
      <c r="O284" s="171"/>
      <c r="P284" s="165"/>
      <c r="Q284" s="165"/>
    </row>
    <row r="285" spans="3:17">
      <c r="C285" s="87">
        <f t="shared" ref="C285:C287" si="3">+C284+1</f>
        <v>2028</v>
      </c>
      <c r="D285" s="102">
        <f>D263</f>
        <v>185764.226</v>
      </c>
      <c r="E285" s="97">
        <f>D285*$J252</f>
        <v>195.23820152600001</v>
      </c>
      <c r="I285" s="158"/>
      <c r="J285" s="163"/>
      <c r="K285" s="162"/>
      <c r="L285" s="157"/>
      <c r="M285" s="157"/>
      <c r="N285" s="163"/>
      <c r="O285" s="162"/>
      <c r="P285" s="157"/>
      <c r="Q285" s="157"/>
    </row>
    <row r="286" spans="3:17">
      <c r="C286" s="87">
        <f t="shared" si="3"/>
        <v>2029</v>
      </c>
      <c r="D286" s="102">
        <v>0</v>
      </c>
      <c r="E286" s="97">
        <f>D286*$J252</f>
        <v>0</v>
      </c>
    </row>
    <row r="287" spans="3:17">
      <c r="C287" s="87">
        <f t="shared" si="3"/>
        <v>2030</v>
      </c>
      <c r="D287" s="102">
        <v>0</v>
      </c>
      <c r="E287" s="97">
        <f>D287*$J252</f>
        <v>0</v>
      </c>
    </row>
    <row r="288" spans="3:17">
      <c r="C288" s="174" t="s">
        <v>54</v>
      </c>
      <c r="D288" s="102">
        <f>D259+D260+D261+D262+D264</f>
        <v>817863.47900000005</v>
      </c>
      <c r="E288" s="97">
        <f>D288*$J252</f>
        <v>859.57451642900014</v>
      </c>
    </row>
    <row r="289" spans="2:13" ht="13.5" thickBot="1">
      <c r="C289" s="174" t="s">
        <v>80</v>
      </c>
      <c r="D289" s="102">
        <f>D265</f>
        <v>-6056.5090000000782</v>
      </c>
      <c r="E289" s="97">
        <f>D289*$J252</f>
        <v>-6.3653909590000826</v>
      </c>
      <c r="J289" s="143"/>
    </row>
    <row r="290" spans="2:13" ht="13.5" thickBot="1">
      <c r="C290" s="88" t="s">
        <v>56</v>
      </c>
      <c r="D290" s="105">
        <f>SUM(D282:D289)</f>
        <v>1017725.504</v>
      </c>
      <c r="E290" s="105">
        <f>SUM(E282:E289)</f>
        <v>1069.6295047040001</v>
      </c>
      <c r="F290" s="143"/>
    </row>
    <row r="291" spans="2:13" ht="13.5" thickBot="1">
      <c r="C291" s="87" t="s">
        <v>57</v>
      </c>
      <c r="D291" s="175">
        <f>+D256+D257</f>
        <v>77629.179000000004</v>
      </c>
      <c r="E291" s="97">
        <f>D291*$J252</f>
        <v>81.588267129000016</v>
      </c>
    </row>
    <row r="292" spans="2:13" ht="13.5" thickBot="1">
      <c r="C292" s="88" t="s">
        <v>58</v>
      </c>
      <c r="D292" s="105">
        <f>+D290+D291</f>
        <v>1095354.683</v>
      </c>
      <c r="E292" s="105">
        <f>+E290+E291</f>
        <v>1151.2177718330001</v>
      </c>
    </row>
    <row r="293" spans="2:13">
      <c r="C293" s="189"/>
      <c r="D293" s="113"/>
      <c r="E293" s="113"/>
    </row>
    <row r="299" spans="2:13">
      <c r="B299" s="48" t="s">
        <v>81</v>
      </c>
      <c r="I299" s="48" t="s">
        <v>39</v>
      </c>
      <c r="J299" s="67">
        <f>Model!AS$193</f>
        <v>1.005E-3</v>
      </c>
      <c r="K299" s="67"/>
    </row>
    <row r="300" spans="2:13">
      <c r="C300" s="110"/>
      <c r="D300" s="350" t="s">
        <v>82</v>
      </c>
      <c r="E300" s="351"/>
      <c r="F300" s="78" t="s">
        <v>6</v>
      </c>
      <c r="G300" s="107" t="s">
        <v>7</v>
      </c>
      <c r="I300" s="48" t="s">
        <v>83</v>
      </c>
      <c r="J300" s="67">
        <f>Model!AS$192</f>
        <v>1.0369999999999999E-3</v>
      </c>
      <c r="K300" s="67"/>
    </row>
    <row r="301" spans="2:13">
      <c r="C301" s="111"/>
      <c r="D301" s="128" t="s">
        <v>4</v>
      </c>
      <c r="E301" s="129" t="s">
        <v>5</v>
      </c>
      <c r="F301" s="79"/>
      <c r="G301" s="108"/>
    </row>
    <row r="302" spans="2:13">
      <c r="C302" s="111"/>
      <c r="D302" s="128"/>
      <c r="E302" s="129"/>
      <c r="F302" s="79"/>
      <c r="G302" s="108"/>
    </row>
    <row r="303" spans="2:13">
      <c r="C303" s="149" t="s">
        <v>42</v>
      </c>
      <c r="D303" s="101">
        <f>56401.282</f>
        <v>56401.281999999999</v>
      </c>
      <c r="E303" s="73">
        <f>D303*$J299</f>
        <v>56.683288410000003</v>
      </c>
      <c r="F303" s="79"/>
      <c r="G303" s="108"/>
      <c r="I303" s="158"/>
      <c r="J303" s="163"/>
      <c r="K303" s="162"/>
      <c r="L303" s="160"/>
      <c r="M303" s="160"/>
    </row>
    <row r="304" spans="2:13">
      <c r="C304" s="149" t="s">
        <v>43</v>
      </c>
      <c r="D304" s="101">
        <f>9631.011+20891.121</f>
        <v>30522.131999999998</v>
      </c>
      <c r="E304" s="73">
        <f>D304*$J299</f>
        <v>30.67474266</v>
      </c>
      <c r="F304" s="79"/>
      <c r="G304" s="108"/>
      <c r="I304" s="176" t="s">
        <v>84</v>
      </c>
      <c r="J304" s="199">
        <v>1114</v>
      </c>
      <c r="K304" s="57"/>
      <c r="L304" s="165"/>
      <c r="M304" s="165"/>
    </row>
    <row r="305" spans="3:13">
      <c r="C305" s="149" t="s">
        <v>44</v>
      </c>
      <c r="D305" s="101">
        <f>12894.275+6704.249</f>
        <v>19598.523999999998</v>
      </c>
      <c r="E305" s="73">
        <f>D305*$J299</f>
        <v>19.696516619999997</v>
      </c>
      <c r="F305" s="79"/>
      <c r="G305" s="108"/>
      <c r="I305" s="184" t="s">
        <v>11</v>
      </c>
      <c r="J305" s="200">
        <v>799</v>
      </c>
      <c r="K305" s="157"/>
      <c r="L305" s="157"/>
      <c r="M305" s="157"/>
    </row>
    <row r="306" spans="3:13">
      <c r="C306" s="149" t="s">
        <v>45</v>
      </c>
      <c r="D306" s="101">
        <f>5783.306+31431.837</f>
        <v>37215.142999999996</v>
      </c>
      <c r="E306" s="73">
        <f>D306*$J299</f>
        <v>37.401218714999999</v>
      </c>
      <c r="F306" s="79"/>
      <c r="G306" s="108"/>
      <c r="I306" s="178" t="s">
        <v>75</v>
      </c>
      <c r="J306" s="179">
        <f>E318</f>
        <v>599.585104</v>
      </c>
      <c r="K306" s="159"/>
      <c r="L306" s="160"/>
      <c r="M306" s="160"/>
    </row>
    <row r="307" spans="3:13">
      <c r="C307" s="149" t="s">
        <v>46</v>
      </c>
      <c r="D307" s="101">
        <f>2153.282+153666.76</f>
        <v>155820.04200000002</v>
      </c>
      <c r="E307" s="73">
        <f>D307*$J299</f>
        <v>156.59914221000002</v>
      </c>
      <c r="F307" s="79"/>
      <c r="G307" s="108"/>
      <c r="I307" s="180" t="s">
        <v>76</v>
      </c>
      <c r="J307" s="181">
        <f>J304/J306</f>
        <v>1.8579514276925733</v>
      </c>
      <c r="K307" s="159"/>
      <c r="L307" s="160"/>
      <c r="M307" s="160"/>
    </row>
    <row r="308" spans="3:13">
      <c r="C308" s="149" t="s">
        <v>47</v>
      </c>
      <c r="D308" s="101">
        <f>1427.299+115250.116</f>
        <v>116677.41499999999</v>
      </c>
      <c r="E308" s="73">
        <f>D308*$J299</f>
        <v>117.260802075</v>
      </c>
      <c r="F308" s="79"/>
      <c r="G308" s="108"/>
      <c r="I308" s="182" t="s">
        <v>13</v>
      </c>
      <c r="J308" s="183">
        <f>J305/J306</f>
        <v>1.3325881424832728</v>
      </c>
      <c r="K308" s="162"/>
      <c r="L308" s="160"/>
      <c r="M308" s="160"/>
    </row>
    <row r="309" spans="3:13" ht="12.75" customHeight="1">
      <c r="C309" s="149" t="s">
        <v>48</v>
      </c>
      <c r="D309" s="101">
        <f>1604.933+218975.134</f>
        <v>220580.06699999998</v>
      </c>
      <c r="E309" s="73">
        <f>D309*$J299</f>
        <v>221.682967335</v>
      </c>
      <c r="F309" s="79"/>
      <c r="G309" s="108"/>
      <c r="K309" s="162"/>
      <c r="L309" s="157"/>
      <c r="M309" s="157"/>
    </row>
    <row r="310" spans="3:13">
      <c r="C310" s="149" t="s">
        <v>85</v>
      </c>
      <c r="D310" s="101">
        <f>1412.322+187096.9</f>
        <v>188509.22199999998</v>
      </c>
      <c r="E310" s="73">
        <f>D310*$J300</f>
        <v>195.48406321399997</v>
      </c>
      <c r="F310" s="79"/>
      <c r="G310" s="108"/>
      <c r="I310" s="158"/>
      <c r="J310" s="163"/>
      <c r="K310" s="162"/>
      <c r="L310" s="160"/>
      <c r="M310" s="160"/>
    </row>
    <row r="311" spans="3:13">
      <c r="C311" s="149" t="s">
        <v>50</v>
      </c>
      <c r="D311" s="101">
        <f>5215.223+298938</f>
        <v>304153.223</v>
      </c>
      <c r="E311" s="73">
        <f>D311*$J299</f>
        <v>305.67398911499998</v>
      </c>
      <c r="F311" s="79"/>
      <c r="G311" s="108"/>
      <c r="K311" s="162"/>
      <c r="L311" s="160"/>
      <c r="M311" s="160"/>
    </row>
    <row r="312" spans="3:13">
      <c r="C312" s="149" t="s">
        <v>51</v>
      </c>
      <c r="D312" s="173">
        <f>+Model!AS$109-SUM(D303:D311)</f>
        <v>-8888.9799999997485</v>
      </c>
      <c r="E312" s="73">
        <f>D312*$J299</f>
        <v>-8.9334248999997481</v>
      </c>
      <c r="F312" s="79"/>
      <c r="G312" s="108"/>
      <c r="K312" s="162"/>
      <c r="L312" s="160"/>
      <c r="M312" s="160"/>
    </row>
    <row r="313" spans="3:13">
      <c r="C313" s="130" t="s">
        <v>19</v>
      </c>
      <c r="D313" s="116">
        <f>SUM(D303:D312)</f>
        <v>1120588.07</v>
      </c>
      <c r="E313" s="117">
        <f>SUM(E303:E312)</f>
        <v>1132.2233054540004</v>
      </c>
      <c r="F313" s="118">
        <f>+D313/D318</f>
        <v>1.9380898905553865</v>
      </c>
      <c r="G313" s="119">
        <f>+E313/E318</f>
        <v>1.8883446201391962</v>
      </c>
      <c r="I313" s="166"/>
      <c r="J313" s="56"/>
      <c r="K313" s="162"/>
      <c r="L313" s="167"/>
      <c r="M313" s="167"/>
    </row>
    <row r="314" spans="3:13">
      <c r="C314" s="131" t="s">
        <v>20</v>
      </c>
      <c r="D314" s="120">
        <f>Model!AS$111</f>
        <v>248899.00399999999</v>
      </c>
      <c r="E314" s="73">
        <f>D314*$J299</f>
        <v>250.14349902000001</v>
      </c>
      <c r="F314" s="121"/>
      <c r="G314" s="122"/>
      <c r="I314" s="166"/>
      <c r="J314" s="56"/>
      <c r="K314" s="162"/>
      <c r="L314" s="167"/>
      <c r="M314" s="167"/>
    </row>
    <row r="315" spans="3:13">
      <c r="C315" s="130" t="s">
        <v>21</v>
      </c>
      <c r="D315" s="116">
        <f>+D313-D314</f>
        <v>871689.06600000011</v>
      </c>
      <c r="E315" s="117">
        <f>+E313-E314</f>
        <v>882.07980643400037</v>
      </c>
      <c r="F315" s="118">
        <f>+D315/D318</f>
        <v>1.5076117725599802</v>
      </c>
      <c r="G315" s="119">
        <f>+E315/E318</f>
        <v>1.4711503013490481</v>
      </c>
      <c r="I315" s="164"/>
      <c r="J315" s="57"/>
      <c r="K315" s="57"/>
      <c r="L315" s="165"/>
      <c r="M315" s="165"/>
    </row>
    <row r="316" spans="3:13">
      <c r="C316" s="132" t="s">
        <v>22</v>
      </c>
      <c r="D316" s="123">
        <f>Model!AS$118</f>
        <v>1014397.02</v>
      </c>
      <c r="E316" s="73">
        <f>D316*$J299</f>
        <v>1019.4690051</v>
      </c>
      <c r="F316" s="112"/>
      <c r="G316" s="109"/>
      <c r="I316" s="164"/>
      <c r="J316" s="57"/>
      <c r="K316" s="57"/>
      <c r="L316" s="165"/>
      <c r="M316" s="165"/>
    </row>
    <row r="317" spans="3:13">
      <c r="C317" s="130" t="s">
        <v>23</v>
      </c>
      <c r="D317" s="116">
        <f>D313+D316</f>
        <v>2134985.09</v>
      </c>
      <c r="E317" s="117">
        <f>E313+E316</f>
        <v>2151.6923105540004</v>
      </c>
      <c r="F317" s="118">
        <f>D317/D318</f>
        <v>3.6925192496610122</v>
      </c>
      <c r="G317" s="119">
        <f>E317/E318</f>
        <v>3.5886353683563166</v>
      </c>
      <c r="I317" s="166"/>
      <c r="J317" s="30"/>
      <c r="K317" s="162"/>
    </row>
    <row r="318" spans="3:13">
      <c r="C318" s="133" t="s">
        <v>24</v>
      </c>
      <c r="D318" s="124">
        <f>Model!AS$87</f>
        <v>578192</v>
      </c>
      <c r="E318" s="125">
        <f>D318*$J300</f>
        <v>599.585104</v>
      </c>
      <c r="F318" s="126"/>
      <c r="G318" s="127"/>
    </row>
    <row r="320" spans="3:13">
      <c r="C320" s="80" t="s">
        <v>25</v>
      </c>
      <c r="D320" s="172">
        <f>D313-Model!AS$114</f>
        <v>0</v>
      </c>
      <c r="E320" s="81"/>
    </row>
    <row r="321" spans="3:17" ht="13.5" thickBot="1">
      <c r="D321" s="103"/>
      <c r="E321" s="103"/>
      <c r="F321" s="188"/>
      <c r="G321" s="188"/>
    </row>
    <row r="322" spans="3:17">
      <c r="C322" s="53" t="s">
        <v>86</v>
      </c>
      <c r="D322" s="99" t="s">
        <v>4</v>
      </c>
      <c r="E322" s="100" t="s">
        <v>65</v>
      </c>
    </row>
    <row r="323" spans="3:17">
      <c r="C323" s="54"/>
      <c r="D323" s="82"/>
      <c r="E323" s="68"/>
    </row>
    <row r="324" spans="3:17">
      <c r="C324" s="54" t="s">
        <v>27</v>
      </c>
      <c r="D324" s="95">
        <f>D314</f>
        <v>248899.00399999999</v>
      </c>
      <c r="E324" s="96">
        <f>E314</f>
        <v>250.14349902000001</v>
      </c>
    </row>
    <row r="325" spans="3:17" ht="13.5" thickBot="1">
      <c r="C325" s="92" t="s">
        <v>28</v>
      </c>
      <c r="D325" s="98">
        <f>SUM(D324:D324)</f>
        <v>248899.00399999999</v>
      </c>
      <c r="E325" s="98">
        <f>SUM(E324:E324)</f>
        <v>250.14349902000001</v>
      </c>
      <c r="I325" s="156"/>
      <c r="J325" s="352"/>
      <c r="K325" s="352"/>
      <c r="L325" s="352"/>
      <c r="M325" s="352"/>
      <c r="N325" s="352"/>
      <c r="O325" s="352"/>
      <c r="P325" s="352"/>
      <c r="Q325" s="352"/>
    </row>
    <row r="326" spans="3:17">
      <c r="I326" s="158"/>
      <c r="J326" s="159"/>
      <c r="K326" s="159"/>
      <c r="L326" s="160"/>
      <c r="M326" s="160"/>
      <c r="N326" s="159"/>
      <c r="O326" s="159"/>
      <c r="P326" s="160"/>
      <c r="Q326" s="160"/>
    </row>
    <row r="327" spans="3:17" ht="13.5" thickBot="1">
      <c r="I327" s="158"/>
      <c r="J327" s="161"/>
      <c r="K327" s="162"/>
      <c r="L327" s="160"/>
      <c r="M327" s="160"/>
      <c r="N327" s="161"/>
      <c r="O327" s="162"/>
      <c r="P327" s="160"/>
      <c r="Q327" s="160"/>
    </row>
    <row r="328" spans="3:17">
      <c r="C328" s="85" t="s">
        <v>87</v>
      </c>
      <c r="D328" s="99" t="s">
        <v>4</v>
      </c>
      <c r="E328" s="86" t="s">
        <v>65</v>
      </c>
      <c r="I328" s="158"/>
      <c r="J328" s="163"/>
      <c r="K328" s="162"/>
      <c r="L328" s="157"/>
      <c r="M328" s="157"/>
      <c r="N328" s="163"/>
      <c r="O328" s="162"/>
      <c r="P328" s="157"/>
      <c r="Q328" s="157"/>
    </row>
    <row r="329" spans="3:17">
      <c r="C329" s="87"/>
      <c r="D329" s="102"/>
      <c r="E329" s="97"/>
      <c r="I329" s="158"/>
      <c r="J329" s="163"/>
      <c r="K329" s="162"/>
      <c r="L329" s="160"/>
      <c r="M329" s="160"/>
      <c r="N329" s="163"/>
      <c r="O329" s="162"/>
      <c r="P329" s="160"/>
      <c r="Q329" s="160"/>
    </row>
    <row r="330" spans="3:17">
      <c r="C330" s="87">
        <v>2026</v>
      </c>
      <c r="D330" s="102">
        <f>D305</f>
        <v>19598.523999999998</v>
      </c>
      <c r="E330" s="97">
        <f>D330*$J299</f>
        <v>19.696516619999997</v>
      </c>
      <c r="I330" s="168"/>
      <c r="J330" s="169"/>
      <c r="K330" s="162"/>
      <c r="L330" s="160"/>
      <c r="M330" s="160"/>
      <c r="N330" s="163"/>
      <c r="O330" s="162"/>
      <c r="P330" s="160"/>
      <c r="Q330" s="160"/>
    </row>
    <row r="331" spans="3:17">
      <c r="C331" s="87">
        <f>+C330+1</f>
        <v>2027</v>
      </c>
      <c r="D331" s="102">
        <v>0</v>
      </c>
      <c r="E331" s="97">
        <f>D331*$J299</f>
        <v>0</v>
      </c>
      <c r="I331" s="168"/>
      <c r="J331" s="170"/>
      <c r="K331" s="171"/>
      <c r="L331" s="165"/>
      <c r="M331" s="165"/>
      <c r="N331" s="170"/>
      <c r="O331" s="171"/>
      <c r="P331" s="165"/>
      <c r="Q331" s="165"/>
    </row>
    <row r="332" spans="3:17">
      <c r="C332" s="87">
        <f t="shared" ref="C332:C334" si="4">+C331+1</f>
        <v>2028</v>
      </c>
      <c r="D332" s="102">
        <f>D310</f>
        <v>188509.22199999998</v>
      </c>
      <c r="E332" s="97">
        <f>D332*$J299</f>
        <v>189.45176810999999</v>
      </c>
      <c r="I332" s="158"/>
      <c r="J332" s="163"/>
      <c r="K332" s="162"/>
      <c r="L332" s="157"/>
      <c r="M332" s="157"/>
      <c r="N332" s="163"/>
      <c r="O332" s="162"/>
      <c r="P332" s="157"/>
      <c r="Q332" s="157"/>
    </row>
    <row r="333" spans="3:17">
      <c r="C333" s="87">
        <f t="shared" si="4"/>
        <v>2029</v>
      </c>
      <c r="D333" s="102">
        <v>0</v>
      </c>
      <c r="E333" s="97">
        <f>D333*$J299</f>
        <v>0</v>
      </c>
    </row>
    <row r="334" spans="3:17">
      <c r="C334" s="87">
        <f t="shared" si="4"/>
        <v>2030</v>
      </c>
      <c r="D334" s="102">
        <v>0</v>
      </c>
      <c r="E334" s="97">
        <f>D334*$J299</f>
        <v>0</v>
      </c>
    </row>
    <row r="335" spans="3:17">
      <c r="C335" s="174" t="s">
        <v>54</v>
      </c>
      <c r="D335" s="102">
        <f>D306+D307+D308+D309+D311</f>
        <v>834445.8899999999</v>
      </c>
      <c r="E335" s="97">
        <f>D335*$J299</f>
        <v>838.61811944999988</v>
      </c>
    </row>
    <row r="336" spans="3:17" ht="13.5" thickBot="1">
      <c r="C336" s="174" t="s">
        <v>80</v>
      </c>
      <c r="D336" s="102">
        <f>D312</f>
        <v>-8888.9799999997485</v>
      </c>
      <c r="E336" s="97">
        <f>D336*$J299</f>
        <v>-8.9334248999997481</v>
      </c>
      <c r="J336" s="143"/>
    </row>
    <row r="337" spans="2:11" ht="13.5" thickBot="1">
      <c r="C337" s="88" t="s">
        <v>56</v>
      </c>
      <c r="D337" s="105">
        <f>SUM(D329:D336)</f>
        <v>1033664.6560000002</v>
      </c>
      <c r="E337" s="105">
        <f>SUM(E329:E336)</f>
        <v>1038.8329792800002</v>
      </c>
      <c r="F337" s="143"/>
    </row>
    <row r="338" spans="2:11" ht="13.5" thickBot="1">
      <c r="C338" s="87" t="s">
        <v>57</v>
      </c>
      <c r="D338" s="175">
        <f>+D303+D304</f>
        <v>86923.41399999999</v>
      </c>
      <c r="E338" s="97">
        <f>D338*$J299</f>
        <v>87.358031069999996</v>
      </c>
    </row>
    <row r="339" spans="2:11" ht="13.5" thickBot="1">
      <c r="C339" s="88" t="s">
        <v>58</v>
      </c>
      <c r="D339" s="105">
        <f>+D337+D338</f>
        <v>1120588.0700000003</v>
      </c>
      <c r="E339" s="105">
        <f>+E337+E338</f>
        <v>1126.1910103500002</v>
      </c>
    </row>
    <row r="340" spans="2:11">
      <c r="C340" s="189"/>
      <c r="D340" s="113"/>
      <c r="E340" s="113"/>
    </row>
    <row r="349" spans="2:11">
      <c r="B349" s="48" t="s">
        <v>88</v>
      </c>
      <c r="I349" s="48" t="s">
        <v>39</v>
      </c>
      <c r="J349" s="67">
        <f>Model!AR$193</f>
        <v>1.111E-3</v>
      </c>
      <c r="K349" s="67"/>
    </row>
    <row r="350" spans="2:11">
      <c r="C350" s="110"/>
      <c r="D350" s="350" t="s">
        <v>89</v>
      </c>
      <c r="E350" s="351"/>
      <c r="F350" s="78" t="s">
        <v>6</v>
      </c>
      <c r="G350" s="107" t="s">
        <v>7</v>
      </c>
      <c r="I350" s="48" t="s">
        <v>90</v>
      </c>
      <c r="J350" s="67">
        <f>Model!AR$192</f>
        <v>1.0740000000000001E-3</v>
      </c>
      <c r="K350" s="67"/>
    </row>
    <row r="351" spans="2:11">
      <c r="C351" s="111"/>
      <c r="D351" s="128" t="s">
        <v>4</v>
      </c>
      <c r="E351" s="129" t="s">
        <v>5</v>
      </c>
      <c r="F351" s="79"/>
      <c r="G351" s="108"/>
    </row>
    <row r="352" spans="2:11">
      <c r="C352" s="111"/>
      <c r="D352" s="128"/>
      <c r="E352" s="129"/>
      <c r="F352" s="79"/>
      <c r="G352" s="108"/>
    </row>
    <row r="353" spans="3:13">
      <c r="C353" s="149" t="s">
        <v>42</v>
      </c>
      <c r="D353" s="101">
        <f>43589.037+9553.118</f>
        <v>53142.154999999999</v>
      </c>
      <c r="E353" s="73">
        <f>D353*$J349</f>
        <v>59.040934204999999</v>
      </c>
      <c r="F353" s="79"/>
      <c r="G353" s="108"/>
      <c r="I353" s="158"/>
      <c r="J353" s="163"/>
      <c r="K353" s="162"/>
      <c r="L353" s="160"/>
      <c r="M353" s="160"/>
    </row>
    <row r="354" spans="3:13">
      <c r="C354" s="149" t="s">
        <v>43</v>
      </c>
      <c r="D354" s="101">
        <f>9905.639+20773.927</f>
        <v>30679.565999999999</v>
      </c>
      <c r="E354" s="73">
        <f>D354*$J349</f>
        <v>34.084997825999999</v>
      </c>
      <c r="F354" s="79"/>
      <c r="G354" s="108"/>
      <c r="I354" s="176" t="s">
        <v>84</v>
      </c>
      <c r="J354" s="177">
        <v>1114</v>
      </c>
      <c r="K354" s="57"/>
      <c r="L354" s="165"/>
      <c r="M354" s="165"/>
    </row>
    <row r="355" spans="3:13">
      <c r="C355" s="149" t="s">
        <v>44</v>
      </c>
      <c r="D355" s="101">
        <f>12765.871+13026.718</f>
        <v>25792.589</v>
      </c>
      <c r="E355" s="73">
        <f>D355*$J349</f>
        <v>28.655566379</v>
      </c>
      <c r="F355" s="79"/>
      <c r="G355" s="108"/>
      <c r="I355" s="184" t="s">
        <v>11</v>
      </c>
      <c r="J355" s="185">
        <v>799</v>
      </c>
      <c r="K355" s="157"/>
      <c r="L355" s="157"/>
      <c r="M355" s="157"/>
    </row>
    <row r="356" spans="3:13">
      <c r="C356" s="149" t="s">
        <v>45</v>
      </c>
      <c r="D356" s="101">
        <f>5348.766+31017.616</f>
        <v>36366.381999999998</v>
      </c>
      <c r="E356" s="73">
        <f>D356*$J349</f>
        <v>40.403050401999998</v>
      </c>
      <c r="F356" s="79"/>
      <c r="G356" s="108"/>
      <c r="I356" s="178" t="s">
        <v>75</v>
      </c>
      <c r="J356" s="179">
        <f>E368</f>
        <v>554.92076400000008</v>
      </c>
      <c r="K356" s="159"/>
      <c r="L356" s="160"/>
      <c r="M356" s="160"/>
    </row>
    <row r="357" spans="3:13">
      <c r="C357" s="149" t="s">
        <v>46</v>
      </c>
      <c r="D357" s="101">
        <f>697.73+151641.68</f>
        <v>152339.41</v>
      </c>
      <c r="E357" s="73">
        <f>D357*$J349</f>
        <v>169.24908451000002</v>
      </c>
      <c r="F357" s="79"/>
      <c r="G357" s="108"/>
      <c r="I357" s="180" t="s">
        <v>76</v>
      </c>
      <c r="J357" s="181">
        <f>J354/J356</f>
        <v>2.0074938122156838</v>
      </c>
      <c r="K357" s="159"/>
      <c r="L357" s="160"/>
      <c r="M357" s="160"/>
    </row>
    <row r="358" spans="3:13">
      <c r="C358" s="149" t="s">
        <v>47</v>
      </c>
      <c r="D358" s="101">
        <f>352.097+113731.305</f>
        <v>114083.40199999999</v>
      </c>
      <c r="E358" s="73">
        <f>D358*$J349</f>
        <v>126.74665962199998</v>
      </c>
      <c r="F358" s="79"/>
      <c r="G358" s="108"/>
      <c r="I358" s="182" t="s">
        <v>13</v>
      </c>
      <c r="J358" s="183">
        <f>J355/J356</f>
        <v>1.4398452028369222</v>
      </c>
      <c r="K358" s="162"/>
      <c r="L358" s="160"/>
      <c r="M358" s="160"/>
    </row>
    <row r="359" spans="3:13" ht="12.75" customHeight="1">
      <c r="C359" s="149" t="s">
        <v>48</v>
      </c>
      <c r="D359" s="101">
        <f>81.637+216089.395</f>
        <v>216171.03199999998</v>
      </c>
      <c r="E359" s="73">
        <f>D359*$J349</f>
        <v>240.16601655199997</v>
      </c>
      <c r="F359" s="79"/>
      <c r="G359" s="108"/>
      <c r="K359" s="162"/>
      <c r="L359" s="157"/>
      <c r="M359" s="157"/>
    </row>
    <row r="360" spans="3:13">
      <c r="C360" s="149" t="s">
        <v>91</v>
      </c>
      <c r="D360" s="101">
        <f>136.488+180812</f>
        <v>180948.48800000001</v>
      </c>
      <c r="E360" s="73">
        <f>D360*$J349</f>
        <v>201.03377016800002</v>
      </c>
      <c r="F360" s="79"/>
      <c r="G360" s="108"/>
      <c r="I360" s="158"/>
      <c r="J360" s="163"/>
      <c r="K360" s="162"/>
      <c r="L360" s="160"/>
      <c r="M360" s="160"/>
    </row>
    <row r="361" spans="3:13">
      <c r="C361" s="149" t="s">
        <v>50</v>
      </c>
      <c r="D361" s="101">
        <f>2038.856+269304</f>
        <v>271342.85600000003</v>
      </c>
      <c r="E361" s="73">
        <f>D361*$J349</f>
        <v>301.46191301600004</v>
      </c>
      <c r="F361" s="79"/>
      <c r="G361" s="108"/>
      <c r="K361" s="162"/>
      <c r="L361" s="160"/>
      <c r="M361" s="160"/>
    </row>
    <row r="362" spans="3:13">
      <c r="C362" s="149" t="s">
        <v>51</v>
      </c>
      <c r="D362" s="173">
        <f>+Model!AR$109-SUM(D353:D361)</f>
        <v>-8378.5439999997616</v>
      </c>
      <c r="E362" s="73">
        <f>D362*$J349</f>
        <v>-9.3085623839997353</v>
      </c>
      <c r="F362" s="79"/>
      <c r="G362" s="108"/>
      <c r="K362" s="162"/>
      <c r="L362" s="160"/>
      <c r="M362" s="160"/>
    </row>
    <row r="363" spans="3:13">
      <c r="C363" s="130" t="s">
        <v>19</v>
      </c>
      <c r="D363" s="116">
        <f>SUM(D353:D362)</f>
        <v>1072487.3360000001</v>
      </c>
      <c r="E363" s="117">
        <f>SUM(E353:E362)</f>
        <v>1191.5334302960005</v>
      </c>
      <c r="F363" s="118">
        <f>+D363/D368</f>
        <v>2.0757042691305747</v>
      </c>
      <c r="G363" s="119">
        <f>+E363/E368</f>
        <v>2.1472136340820009</v>
      </c>
      <c r="I363" s="166"/>
      <c r="J363" s="56"/>
      <c r="K363" s="162"/>
      <c r="L363" s="167"/>
      <c r="M363" s="167"/>
    </row>
    <row r="364" spans="3:13">
      <c r="C364" s="131" t="s">
        <v>20</v>
      </c>
      <c r="D364" s="120">
        <f>Model!AR$111</f>
        <v>210685.26699999999</v>
      </c>
      <c r="E364" s="73">
        <f>D364*$J349</f>
        <v>234.07133163699999</v>
      </c>
      <c r="F364" s="121"/>
      <c r="G364" s="122"/>
      <c r="I364" s="166"/>
      <c r="J364" s="56"/>
      <c r="K364" s="162"/>
      <c r="L364" s="167"/>
      <c r="M364" s="167"/>
    </row>
    <row r="365" spans="3:13">
      <c r="C365" s="130" t="s">
        <v>21</v>
      </c>
      <c r="D365" s="116">
        <f>+D363-D364</f>
        <v>861802.06900000013</v>
      </c>
      <c r="E365" s="117">
        <f>+E363-E364</f>
        <v>957.4620986590005</v>
      </c>
      <c r="F365" s="118">
        <f>+D365/D368</f>
        <v>1.6679415912178772</v>
      </c>
      <c r="G365" s="119">
        <f>+E365/E368</f>
        <v>1.7254032661481025</v>
      </c>
      <c r="I365" s="164"/>
      <c r="J365" s="57"/>
      <c r="K365" s="57"/>
      <c r="L365" s="165"/>
      <c r="M365" s="165"/>
    </row>
    <row r="366" spans="3:13">
      <c r="C366" s="132" t="s">
        <v>22</v>
      </c>
      <c r="D366" s="123">
        <f>Model!AR$118</f>
        <v>1004023.007</v>
      </c>
      <c r="E366" s="73">
        <f>D366*$J349</f>
        <v>1115.469560777</v>
      </c>
      <c r="F366" s="112"/>
      <c r="G366" s="109"/>
      <c r="I366" s="164"/>
      <c r="J366" s="57"/>
      <c r="K366" s="57"/>
      <c r="L366" s="165"/>
      <c r="M366" s="165"/>
    </row>
    <row r="367" spans="3:13">
      <c r="C367" s="130" t="s">
        <v>23</v>
      </c>
      <c r="D367" s="116">
        <f>D363+D366</f>
        <v>2076510.3430000001</v>
      </c>
      <c r="E367" s="117">
        <f>E363+E366</f>
        <v>2307.0029910730004</v>
      </c>
      <c r="F367" s="118">
        <f>D367/D368</f>
        <v>4.0189018920582331</v>
      </c>
      <c r="G367" s="119">
        <f>E367/E368</f>
        <v>4.1573556816356581</v>
      </c>
      <c r="I367" s="166"/>
      <c r="J367" s="30"/>
      <c r="K367" s="162"/>
    </row>
    <row r="368" spans="3:13">
      <c r="C368" s="133" t="s">
        <v>24</v>
      </c>
      <c r="D368" s="124">
        <f>Model!AR$87</f>
        <v>516686</v>
      </c>
      <c r="E368" s="125">
        <f>D368*$J350</f>
        <v>554.92076400000008</v>
      </c>
      <c r="F368" s="126"/>
      <c r="G368" s="127"/>
    </row>
    <row r="370" spans="3:17">
      <c r="C370" s="80" t="s">
        <v>25</v>
      </c>
      <c r="D370" s="172">
        <f>D363-Model!AR$114</f>
        <v>0</v>
      </c>
      <c r="E370" s="81"/>
    </row>
    <row r="371" spans="3:17" ht="13.5" thickBot="1">
      <c r="D371" s="103"/>
      <c r="E371" s="103"/>
      <c r="F371" s="188"/>
      <c r="G371" s="188"/>
    </row>
    <row r="372" spans="3:17">
      <c r="C372" s="53" t="s">
        <v>92</v>
      </c>
      <c r="D372" s="99" t="s">
        <v>4</v>
      </c>
      <c r="E372" s="100" t="s">
        <v>65</v>
      </c>
    </row>
    <row r="373" spans="3:17">
      <c r="C373" s="54"/>
      <c r="D373" s="82"/>
      <c r="E373" s="68"/>
    </row>
    <row r="374" spans="3:17">
      <c r="C374" s="54" t="s">
        <v>27</v>
      </c>
      <c r="D374" s="95">
        <f>D364</f>
        <v>210685.26699999999</v>
      </c>
      <c r="E374" s="96">
        <f>E364</f>
        <v>234.07133163699999</v>
      </c>
    </row>
    <row r="375" spans="3:17" ht="13.5" thickBot="1">
      <c r="C375" s="92" t="s">
        <v>28</v>
      </c>
      <c r="D375" s="98">
        <f>SUM(D374:D374)</f>
        <v>210685.26699999999</v>
      </c>
      <c r="E375" s="98">
        <f>SUM(E374:E374)</f>
        <v>234.07133163699999</v>
      </c>
      <c r="I375" s="156"/>
      <c r="J375" s="352"/>
      <c r="K375" s="352"/>
      <c r="L375" s="352"/>
      <c r="M375" s="352"/>
      <c r="N375" s="352"/>
      <c r="O375" s="352"/>
      <c r="P375" s="352"/>
      <c r="Q375" s="352"/>
    </row>
    <row r="376" spans="3:17">
      <c r="I376" s="158"/>
      <c r="J376" s="159"/>
      <c r="K376" s="159"/>
      <c r="L376" s="160"/>
      <c r="M376" s="160"/>
      <c r="N376" s="159"/>
      <c r="O376" s="159"/>
      <c r="P376" s="160"/>
      <c r="Q376" s="160"/>
    </row>
    <row r="377" spans="3:17" ht="13.5" thickBot="1">
      <c r="I377" s="158"/>
      <c r="J377" s="161"/>
      <c r="K377" s="162"/>
      <c r="L377" s="160"/>
      <c r="M377" s="160"/>
      <c r="N377" s="161"/>
      <c r="O377" s="162"/>
      <c r="P377" s="160"/>
      <c r="Q377" s="160"/>
    </row>
    <row r="378" spans="3:17">
      <c r="C378" s="85" t="s">
        <v>93</v>
      </c>
      <c r="D378" s="99" t="s">
        <v>4</v>
      </c>
      <c r="E378" s="86" t="s">
        <v>65</v>
      </c>
      <c r="I378" s="158"/>
      <c r="J378" s="163"/>
      <c r="K378" s="162"/>
      <c r="L378" s="157"/>
      <c r="M378" s="157"/>
      <c r="N378" s="163"/>
      <c r="O378" s="162"/>
      <c r="P378" s="157"/>
      <c r="Q378" s="157"/>
    </row>
    <row r="379" spans="3:17">
      <c r="C379" s="87"/>
      <c r="D379" s="102"/>
      <c r="E379" s="97"/>
      <c r="I379" s="158"/>
      <c r="J379" s="163"/>
      <c r="K379" s="162"/>
      <c r="L379" s="160"/>
      <c r="M379" s="160"/>
      <c r="N379" s="163"/>
      <c r="O379" s="162"/>
      <c r="P379" s="160"/>
      <c r="Q379" s="160"/>
    </row>
    <row r="380" spans="3:17">
      <c r="C380" s="87">
        <v>2023</v>
      </c>
      <c r="D380" s="102">
        <f>D360</f>
        <v>180948.48800000001</v>
      </c>
      <c r="E380" s="97">
        <f>D380*$J349</f>
        <v>201.03377016800002</v>
      </c>
      <c r="I380" s="168"/>
      <c r="J380" s="169"/>
      <c r="K380" s="162"/>
      <c r="L380" s="160"/>
      <c r="M380" s="160"/>
      <c r="N380" s="163"/>
      <c r="O380" s="162"/>
      <c r="P380" s="160"/>
      <c r="Q380" s="160"/>
    </row>
    <row r="381" spans="3:17">
      <c r="C381" s="87">
        <f>+C380+1</f>
        <v>2024</v>
      </c>
      <c r="D381" s="102">
        <v>0</v>
      </c>
      <c r="E381" s="97">
        <f>D381*$J349</f>
        <v>0</v>
      </c>
      <c r="I381" s="168"/>
      <c r="J381" s="170"/>
      <c r="K381" s="171"/>
      <c r="L381" s="165"/>
      <c r="M381" s="165"/>
      <c r="N381" s="170"/>
      <c r="O381" s="171"/>
      <c r="P381" s="165"/>
      <c r="Q381" s="165"/>
    </row>
    <row r="382" spans="3:17">
      <c r="C382" s="87">
        <f t="shared" ref="C382:C384" si="5">+C381+1</f>
        <v>2025</v>
      </c>
      <c r="D382" s="102">
        <v>0</v>
      </c>
      <c r="E382" s="97">
        <f>D382*$J349</f>
        <v>0</v>
      </c>
      <c r="I382" s="158"/>
      <c r="J382" s="163"/>
      <c r="K382" s="162"/>
      <c r="L382" s="157"/>
      <c r="M382" s="157"/>
      <c r="N382" s="163"/>
      <c r="O382" s="162"/>
      <c r="P382" s="157"/>
      <c r="Q382" s="157"/>
    </row>
    <row r="383" spans="3:17">
      <c r="C383" s="87">
        <f t="shared" si="5"/>
        <v>2026</v>
      </c>
      <c r="D383" s="102">
        <f>D355</f>
        <v>25792.589</v>
      </c>
      <c r="E383" s="97">
        <f>D383*$J349</f>
        <v>28.655566379</v>
      </c>
    </row>
    <row r="384" spans="3:17">
      <c r="C384" s="87">
        <f t="shared" si="5"/>
        <v>2027</v>
      </c>
      <c r="D384" s="102">
        <v>0</v>
      </c>
      <c r="E384" s="97">
        <f>D384*$J349</f>
        <v>0</v>
      </c>
    </row>
    <row r="385" spans="2:11">
      <c r="C385" s="174" t="s">
        <v>94</v>
      </c>
      <c r="D385" s="102">
        <f>D356+D357+D358+D359+D361</f>
        <v>790303.08200000005</v>
      </c>
      <c r="E385" s="97">
        <f>D385*$J349</f>
        <v>878.02672410200012</v>
      </c>
    </row>
    <row r="386" spans="2:11" ht="13.5" thickBot="1">
      <c r="C386" s="174" t="s">
        <v>80</v>
      </c>
      <c r="D386" s="102">
        <f>D362</f>
        <v>-8378.5439999997616</v>
      </c>
      <c r="E386" s="97">
        <f>D386*$J349</f>
        <v>-9.3085623839997353</v>
      </c>
      <c r="J386" s="143"/>
    </row>
    <row r="387" spans="2:11" ht="13.5" thickBot="1">
      <c r="C387" s="88" t="s">
        <v>56</v>
      </c>
      <c r="D387" s="105">
        <f>SUM(D379:D386)</f>
        <v>988665.61500000034</v>
      </c>
      <c r="E387" s="105">
        <f>SUM(E379:E386)</f>
        <v>1098.4074982650004</v>
      </c>
      <c r="F387" s="143"/>
    </row>
    <row r="388" spans="2:11" ht="13.5" thickBot="1">
      <c r="C388" s="87" t="s">
        <v>57</v>
      </c>
      <c r="D388" s="175">
        <f>+D353+D354</f>
        <v>83821.72099999999</v>
      </c>
      <c r="E388" s="97">
        <f>D388*$J349</f>
        <v>93.125932030999991</v>
      </c>
    </row>
    <row r="389" spans="2:11" ht="13.5" thickBot="1">
      <c r="C389" s="88" t="s">
        <v>58</v>
      </c>
      <c r="D389" s="105">
        <f>+D387+D388</f>
        <v>1072487.3360000004</v>
      </c>
      <c r="E389" s="105">
        <f>+E387+E388</f>
        <v>1191.5334302960005</v>
      </c>
    </row>
    <row r="390" spans="2:11">
      <c r="C390" s="189"/>
      <c r="D390" s="113"/>
      <c r="E390" s="113"/>
    </row>
    <row r="398" spans="2:11">
      <c r="B398" s="48" t="s">
        <v>95</v>
      </c>
      <c r="I398" s="48" t="s">
        <v>39</v>
      </c>
      <c r="J398" s="67">
        <f>Model!AQ$193</f>
        <v>1.062E-3</v>
      </c>
      <c r="K398" s="67"/>
    </row>
    <row r="399" spans="2:11">
      <c r="C399" s="110"/>
      <c r="D399" s="350" t="s">
        <v>96</v>
      </c>
      <c r="E399" s="351"/>
      <c r="F399" s="78" t="s">
        <v>6</v>
      </c>
      <c r="G399" s="107" t="s">
        <v>7</v>
      </c>
      <c r="I399" s="48" t="s">
        <v>97</v>
      </c>
      <c r="J399" s="67">
        <f>Model!AQ$192</f>
        <v>1.07E-3</v>
      </c>
      <c r="K399" s="67"/>
    </row>
    <row r="400" spans="2:11">
      <c r="C400" s="111"/>
      <c r="D400" s="128" t="s">
        <v>4</v>
      </c>
      <c r="E400" s="129" t="s">
        <v>5</v>
      </c>
      <c r="F400" s="79"/>
      <c r="G400" s="108"/>
    </row>
    <row r="401" spans="3:13">
      <c r="C401" s="111"/>
      <c r="D401" s="128"/>
      <c r="E401" s="129"/>
      <c r="F401" s="79"/>
      <c r="G401" s="108"/>
    </row>
    <row r="402" spans="3:13">
      <c r="C402" s="149" t="s">
        <v>42</v>
      </c>
      <c r="D402" s="101">
        <f>39088.76+1500.909</f>
        <v>40589.669000000002</v>
      </c>
      <c r="E402" s="73">
        <f>D402*$J398</f>
        <v>43.106228478000006</v>
      </c>
      <c r="F402" s="79"/>
      <c r="G402" s="108"/>
      <c r="I402" s="158"/>
      <c r="J402" s="163"/>
      <c r="K402" s="162"/>
      <c r="L402" s="160"/>
      <c r="M402" s="160"/>
    </row>
    <row r="403" spans="3:13">
      <c r="C403" s="149" t="s">
        <v>43</v>
      </c>
      <c r="D403" s="101">
        <f>11530.619+22891.58</f>
        <v>34422.199000000001</v>
      </c>
      <c r="E403" s="73">
        <f>D403*$J398</f>
        <v>36.556375338000002</v>
      </c>
      <c r="F403" s="79"/>
      <c r="G403" s="108"/>
      <c r="I403" s="176" t="s">
        <v>84</v>
      </c>
      <c r="J403" s="177">
        <v>1084</v>
      </c>
      <c r="K403" s="57"/>
      <c r="L403" s="165"/>
      <c r="M403" s="165"/>
    </row>
    <row r="404" spans="3:13">
      <c r="C404" s="149" t="s">
        <v>44</v>
      </c>
      <c r="D404" s="101">
        <f>12249.298+12910.383</f>
        <v>25159.681</v>
      </c>
      <c r="E404" s="73">
        <f>D404*$J398</f>
        <v>26.719581222000002</v>
      </c>
      <c r="F404" s="79"/>
      <c r="G404" s="108"/>
      <c r="I404" s="184" t="s">
        <v>11</v>
      </c>
      <c r="J404" s="185">
        <v>764</v>
      </c>
      <c r="K404" s="157"/>
      <c r="L404" s="157"/>
      <c r="M404" s="157"/>
    </row>
    <row r="405" spans="3:13">
      <c r="C405" s="149" t="s">
        <v>45</v>
      </c>
      <c r="D405" s="101">
        <f>5694.174+33302.33</f>
        <v>38996.504000000001</v>
      </c>
      <c r="E405" s="73">
        <f>D405*$J398</f>
        <v>41.414287248000001</v>
      </c>
      <c r="F405" s="79"/>
      <c r="G405" s="108"/>
      <c r="I405" s="178" t="s">
        <v>75</v>
      </c>
      <c r="J405" s="179">
        <f>E417</f>
        <v>548.45204000000001</v>
      </c>
      <c r="K405" s="159"/>
      <c r="L405" s="160"/>
      <c r="M405" s="160"/>
    </row>
    <row r="406" spans="3:13">
      <c r="C406" s="149" t="s">
        <v>46</v>
      </c>
      <c r="D406" s="101">
        <f>2105.929+150287.44</f>
        <v>152393.36900000001</v>
      </c>
      <c r="E406" s="73">
        <f>D406*$J398</f>
        <v>161.84175787800001</v>
      </c>
      <c r="F406" s="79"/>
      <c r="G406" s="108"/>
      <c r="I406" s="180" t="s">
        <v>76</v>
      </c>
      <c r="J406" s="181">
        <f>J403/J405</f>
        <v>1.9764718169340749</v>
      </c>
      <c r="K406" s="159"/>
      <c r="L406" s="160"/>
      <c r="M406" s="160"/>
    </row>
    <row r="407" spans="3:13" ht="12.75" customHeight="1">
      <c r="C407" s="149" t="s">
        <v>47</v>
      </c>
      <c r="D407" s="101">
        <f>1395.922+112715.614</f>
        <v>114111.53600000001</v>
      </c>
      <c r="E407" s="73">
        <f>D407*$J398</f>
        <v>121.18645123200001</v>
      </c>
      <c r="F407" s="79"/>
      <c r="G407" s="108"/>
      <c r="I407" s="182" t="s">
        <v>13</v>
      </c>
      <c r="J407" s="183">
        <f>J404/J405</f>
        <v>1.3930115019719864</v>
      </c>
      <c r="K407" s="162"/>
      <c r="L407" s="160"/>
      <c r="M407" s="160"/>
    </row>
    <row r="408" spans="3:13">
      <c r="C408" s="149" t="s">
        <v>48</v>
      </c>
      <c r="D408" s="101">
        <f>1569.64+214159.602</f>
        <v>215729.24200000003</v>
      </c>
      <c r="E408" s="73">
        <f>D408*$J398</f>
        <v>229.10445500400004</v>
      </c>
      <c r="F408" s="79"/>
      <c r="G408" s="108"/>
      <c r="K408" s="162"/>
      <c r="L408" s="157"/>
      <c r="M408" s="157"/>
    </row>
    <row r="409" spans="3:13">
      <c r="C409" s="149" t="s">
        <v>91</v>
      </c>
      <c r="D409" s="101">
        <f>3776.892+178693.8</f>
        <v>182470.69199999998</v>
      </c>
      <c r="E409" s="73">
        <f>D409*$J398</f>
        <v>193.78387490399999</v>
      </c>
      <c r="F409" s="79"/>
      <c r="G409" s="108"/>
      <c r="I409" s="158"/>
      <c r="J409" s="163"/>
      <c r="K409" s="162"/>
      <c r="L409" s="160"/>
      <c r="M409" s="160"/>
    </row>
    <row r="410" spans="3:13">
      <c r="C410" s="149" t="s">
        <v>50</v>
      </c>
      <c r="D410" s="101">
        <f>4942.439+283302</f>
        <v>288244.43900000001</v>
      </c>
      <c r="E410" s="73">
        <f>D410*$J398</f>
        <v>306.11559421800001</v>
      </c>
      <c r="F410" s="79"/>
      <c r="G410" s="108"/>
      <c r="K410" s="162"/>
      <c r="L410" s="160"/>
      <c r="M410" s="160"/>
    </row>
    <row r="411" spans="3:13">
      <c r="C411" s="149" t="s">
        <v>51</v>
      </c>
      <c r="D411" s="173">
        <f>+Model!AQ$109-SUM(D402:D410)</f>
        <v>-809.56199999991804</v>
      </c>
      <c r="E411" s="73">
        <f>D411*$J398</f>
        <v>-0.85975484399991298</v>
      </c>
      <c r="F411" s="79"/>
      <c r="G411" s="108"/>
      <c r="K411" s="162"/>
      <c r="L411" s="160"/>
      <c r="M411" s="160"/>
    </row>
    <row r="412" spans="3:13">
      <c r="C412" s="130" t="s">
        <v>19</v>
      </c>
      <c r="D412" s="116">
        <f>SUM(D402:D411)</f>
        <v>1091307.7690000001</v>
      </c>
      <c r="E412" s="117">
        <f>SUM(E402:E411)</f>
        <v>1158.9688506780001</v>
      </c>
      <c r="F412" s="118">
        <f>+D412/D417</f>
        <v>2.1290819026400194</v>
      </c>
      <c r="G412" s="119">
        <f>+E412/E417</f>
        <v>2.1131635332744865</v>
      </c>
      <c r="I412" s="166"/>
      <c r="J412" s="56"/>
      <c r="K412" s="162"/>
      <c r="L412" s="167"/>
      <c r="M412" s="167"/>
    </row>
    <row r="413" spans="3:13">
      <c r="C413" s="131" t="s">
        <v>20</v>
      </c>
      <c r="D413" s="120">
        <f>Model!AQ$111</f>
        <v>232431.139</v>
      </c>
      <c r="E413" s="73">
        <f>D413*$J398</f>
        <v>246.841869618</v>
      </c>
      <c r="F413" s="121"/>
      <c r="G413" s="122"/>
      <c r="I413" s="166"/>
      <c r="J413" s="56"/>
      <c r="K413" s="162"/>
      <c r="L413" s="167"/>
      <c r="M413" s="167"/>
    </row>
    <row r="414" spans="3:13">
      <c r="C414" s="130" t="s">
        <v>21</v>
      </c>
      <c r="D414" s="116">
        <f>+D412-D413</f>
        <v>858876.63000000012</v>
      </c>
      <c r="E414" s="117">
        <f>+E412-E413</f>
        <v>912.12698106000005</v>
      </c>
      <c r="F414" s="118">
        <f>+D414/D417</f>
        <v>1.6756214346472302</v>
      </c>
      <c r="G414" s="119">
        <f>+E414/E417</f>
        <v>1.6630934239208957</v>
      </c>
      <c r="I414" s="164"/>
      <c r="J414" s="57"/>
      <c r="K414" s="57"/>
      <c r="L414" s="165"/>
      <c r="M414" s="165"/>
    </row>
    <row r="415" spans="3:13">
      <c r="C415" s="132" t="s">
        <v>22</v>
      </c>
      <c r="D415" s="123">
        <f>Model!AQ$118</f>
        <v>1060115.81</v>
      </c>
      <c r="E415" s="73">
        <f>D415*$J398</f>
        <v>1125.84299022</v>
      </c>
      <c r="F415" s="112"/>
      <c r="G415" s="109"/>
      <c r="I415" s="164"/>
      <c r="J415" s="57"/>
      <c r="K415" s="57"/>
      <c r="L415" s="165"/>
      <c r="M415" s="165"/>
    </row>
    <row r="416" spans="3:13">
      <c r="C416" s="130" t="s">
        <v>23</v>
      </c>
      <c r="D416" s="116">
        <f>D412+D415</f>
        <v>2151423.5789999999</v>
      </c>
      <c r="E416" s="117">
        <f>E412+E415</f>
        <v>2284.8118408979999</v>
      </c>
      <c r="F416" s="118">
        <f>D416/D417</f>
        <v>4.1973099954738062</v>
      </c>
      <c r="G416" s="119">
        <f>E416/E417</f>
        <v>4.1659282384983012</v>
      </c>
      <c r="I416" s="166"/>
      <c r="J416" s="30"/>
      <c r="K416" s="162"/>
    </row>
    <row r="417" spans="3:17">
      <c r="C417" s="133" t="s">
        <v>24</v>
      </c>
      <c r="D417" s="124">
        <f>Model!AQ$87</f>
        <v>512572</v>
      </c>
      <c r="E417" s="125">
        <f>D417*$J399</f>
        <v>548.45204000000001</v>
      </c>
      <c r="F417" s="126"/>
      <c r="G417" s="127"/>
    </row>
    <row r="419" spans="3:17">
      <c r="C419" s="80" t="s">
        <v>25</v>
      </c>
      <c r="D419" s="172">
        <f>D412-Model!AQ$114</f>
        <v>0</v>
      </c>
      <c r="E419" s="81"/>
    </row>
    <row r="420" spans="3:17" ht="13.5" thickBot="1">
      <c r="D420" s="103"/>
      <c r="E420" s="103"/>
      <c r="F420" s="188"/>
      <c r="G420" s="188"/>
    </row>
    <row r="421" spans="3:17">
      <c r="C421" s="53" t="s">
        <v>98</v>
      </c>
      <c r="D421" s="99" t="s">
        <v>4</v>
      </c>
      <c r="E421" s="100" t="s">
        <v>65</v>
      </c>
    </row>
    <row r="422" spans="3:17">
      <c r="C422" s="54"/>
      <c r="D422" s="82"/>
      <c r="E422" s="68"/>
    </row>
    <row r="423" spans="3:17">
      <c r="C423" s="54" t="s">
        <v>27</v>
      </c>
      <c r="D423" s="95">
        <f>D413</f>
        <v>232431.139</v>
      </c>
      <c r="E423" s="96">
        <f>E413</f>
        <v>246.841869618</v>
      </c>
    </row>
    <row r="424" spans="3:17" ht="13.5" thickBot="1">
      <c r="C424" s="92" t="s">
        <v>28</v>
      </c>
      <c r="D424" s="98">
        <f>SUM(D423:D423)</f>
        <v>232431.139</v>
      </c>
      <c r="E424" s="98">
        <f>SUM(E423:E423)</f>
        <v>246.841869618</v>
      </c>
      <c r="I424" s="156"/>
      <c r="J424" s="352"/>
      <c r="K424" s="352"/>
      <c r="L424" s="352"/>
      <c r="M424" s="352"/>
      <c r="N424" s="352"/>
      <c r="O424" s="352"/>
      <c r="P424" s="352"/>
      <c r="Q424" s="352"/>
    </row>
    <row r="425" spans="3:17">
      <c r="I425" s="158"/>
      <c r="J425" s="159"/>
      <c r="K425" s="159"/>
      <c r="L425" s="160"/>
      <c r="M425" s="160"/>
      <c r="N425" s="159"/>
      <c r="O425" s="159"/>
      <c r="P425" s="160"/>
      <c r="Q425" s="160"/>
    </row>
    <row r="426" spans="3:17" ht="13.5" thickBot="1">
      <c r="I426" s="158"/>
      <c r="J426" s="161"/>
      <c r="K426" s="162"/>
      <c r="L426" s="160"/>
      <c r="M426" s="160"/>
      <c r="N426" s="161"/>
      <c r="O426" s="162"/>
      <c r="P426" s="160"/>
      <c r="Q426" s="160"/>
    </row>
    <row r="427" spans="3:17">
      <c r="C427" s="85" t="s">
        <v>99</v>
      </c>
      <c r="D427" s="99" t="s">
        <v>4</v>
      </c>
      <c r="E427" s="86" t="s">
        <v>65</v>
      </c>
      <c r="I427" s="158"/>
      <c r="J427" s="163"/>
      <c r="K427" s="162"/>
      <c r="L427" s="157"/>
      <c r="M427" s="157"/>
      <c r="N427" s="163"/>
      <c r="O427" s="162"/>
      <c r="P427" s="157"/>
      <c r="Q427" s="157"/>
    </row>
    <row r="428" spans="3:17">
      <c r="C428" s="87"/>
      <c r="D428" s="102"/>
      <c r="E428" s="97"/>
      <c r="I428" s="158"/>
      <c r="J428" s="163"/>
      <c r="K428" s="162"/>
      <c r="L428" s="160"/>
      <c r="M428" s="160"/>
      <c r="N428" s="163"/>
      <c r="O428" s="162"/>
      <c r="P428" s="160"/>
      <c r="Q428" s="160"/>
    </row>
    <row r="429" spans="3:17">
      <c r="C429" s="87">
        <v>2023</v>
      </c>
      <c r="D429" s="102">
        <f>D409</f>
        <v>182470.69199999998</v>
      </c>
      <c r="E429" s="97">
        <f>D429*$J398</f>
        <v>193.78387490399999</v>
      </c>
      <c r="I429" s="168"/>
      <c r="J429" s="169"/>
      <c r="K429" s="162"/>
      <c r="L429" s="160"/>
      <c r="M429" s="160"/>
      <c r="N429" s="163"/>
      <c r="O429" s="162"/>
      <c r="P429" s="160"/>
      <c r="Q429" s="160"/>
    </row>
    <row r="430" spans="3:17">
      <c r="C430" s="87">
        <f>+C429+1</f>
        <v>2024</v>
      </c>
      <c r="D430" s="102">
        <v>0</v>
      </c>
      <c r="E430" s="97">
        <f>D430*$J398</f>
        <v>0</v>
      </c>
      <c r="I430" s="168"/>
      <c r="J430" s="170"/>
      <c r="K430" s="171"/>
      <c r="L430" s="165"/>
      <c r="M430" s="165"/>
      <c r="N430" s="170"/>
      <c r="O430" s="171"/>
      <c r="P430" s="165"/>
      <c r="Q430" s="165"/>
    </row>
    <row r="431" spans="3:17">
      <c r="C431" s="87">
        <f t="shared" ref="C431:C433" si="6">+C430+1</f>
        <v>2025</v>
      </c>
      <c r="D431" s="102">
        <v>0</v>
      </c>
      <c r="E431" s="97">
        <f>D431*$J398</f>
        <v>0</v>
      </c>
      <c r="I431" s="158"/>
      <c r="J431" s="163"/>
      <c r="K431" s="162"/>
      <c r="L431" s="157"/>
      <c r="M431" s="157"/>
      <c r="N431" s="163"/>
      <c r="O431" s="162"/>
      <c r="P431" s="157"/>
      <c r="Q431" s="157"/>
    </row>
    <row r="432" spans="3:17">
      <c r="C432" s="87">
        <f t="shared" si="6"/>
        <v>2026</v>
      </c>
      <c r="D432" s="102">
        <f>D404</f>
        <v>25159.681</v>
      </c>
      <c r="E432" s="97">
        <f>D432*$J398</f>
        <v>26.719581222000002</v>
      </c>
    </row>
    <row r="433" spans="2:11">
      <c r="C433" s="87">
        <f t="shared" si="6"/>
        <v>2027</v>
      </c>
      <c r="D433" s="102">
        <v>0</v>
      </c>
      <c r="E433" s="97">
        <f>D433*$J398</f>
        <v>0</v>
      </c>
    </row>
    <row r="434" spans="2:11">
      <c r="C434" s="174" t="s">
        <v>94</v>
      </c>
      <c r="D434" s="102">
        <f>D405+D406+D407+D408+D410</f>
        <v>809475.09000000008</v>
      </c>
      <c r="E434" s="97">
        <f>D434*$J398</f>
        <v>859.66254558000014</v>
      </c>
    </row>
    <row r="435" spans="2:11" ht="13.5" thickBot="1">
      <c r="C435" s="174" t="s">
        <v>80</v>
      </c>
      <c r="D435" s="102">
        <f>D411</f>
        <v>-809.56199999991804</v>
      </c>
      <c r="E435" s="97">
        <f>D435*$J398</f>
        <v>-0.85975484399991298</v>
      </c>
      <c r="J435" s="143"/>
    </row>
    <row r="436" spans="2:11" ht="13.5" thickBot="1">
      <c r="C436" s="88" t="s">
        <v>56</v>
      </c>
      <c r="D436" s="105">
        <f>SUM(D428:D435)</f>
        <v>1016295.9010000002</v>
      </c>
      <c r="E436" s="105">
        <f>SUM(E428:E435)</f>
        <v>1079.3062468620001</v>
      </c>
      <c r="F436" s="143"/>
    </row>
    <row r="437" spans="2:11" ht="13.5" thickBot="1">
      <c r="C437" s="87" t="s">
        <v>57</v>
      </c>
      <c r="D437" s="175">
        <f>+D402+D403</f>
        <v>75011.868000000002</v>
      </c>
      <c r="E437" s="97">
        <f>D437*$J398</f>
        <v>79.662603816000001</v>
      </c>
    </row>
    <row r="438" spans="2:11" ht="13.5" thickBot="1">
      <c r="C438" s="88" t="s">
        <v>58</v>
      </c>
      <c r="D438" s="105">
        <f>+D436+D437</f>
        <v>1091307.7690000001</v>
      </c>
      <c r="E438" s="105">
        <f>+E436+E437</f>
        <v>1158.9688506780001</v>
      </c>
    </row>
    <row r="439" spans="2:11">
      <c r="C439" s="189"/>
      <c r="D439" s="113"/>
      <c r="E439" s="113"/>
    </row>
    <row r="447" spans="2:11">
      <c r="B447" s="48" t="s">
        <v>100</v>
      </c>
      <c r="I447" s="48" t="s">
        <v>39</v>
      </c>
      <c r="J447" s="67">
        <f>Model!AP$193</f>
        <v>1.0200000000000001E-3</v>
      </c>
      <c r="K447" s="67"/>
    </row>
    <row r="448" spans="2:11">
      <c r="C448" s="110"/>
      <c r="D448" s="350" t="s">
        <v>101</v>
      </c>
      <c r="E448" s="351"/>
      <c r="F448" s="78" t="s">
        <v>6</v>
      </c>
      <c r="G448" s="107" t="s">
        <v>7</v>
      </c>
      <c r="I448" s="48" t="s">
        <v>102</v>
      </c>
      <c r="J448" s="67">
        <f>Model!AP$192</f>
        <v>1.057E-3</v>
      </c>
      <c r="K448" s="67"/>
    </row>
    <row r="449" spans="3:13">
      <c r="C449" s="111"/>
      <c r="D449" s="128" t="s">
        <v>4</v>
      </c>
      <c r="E449" s="129" t="s">
        <v>5</v>
      </c>
      <c r="F449" s="79"/>
      <c r="G449" s="108"/>
    </row>
    <row r="450" spans="3:13">
      <c r="C450" s="111"/>
      <c r="D450" s="128"/>
      <c r="E450" s="129"/>
      <c r="F450" s="79"/>
      <c r="G450" s="108"/>
    </row>
    <row r="451" spans="3:13">
      <c r="C451" s="149" t="s">
        <v>42</v>
      </c>
      <c r="D451" s="101">
        <f>8177.877+1500.909</f>
        <v>9678.7860000000001</v>
      </c>
      <c r="E451" s="73">
        <f>D451*$J447</f>
        <v>9.8723617200000007</v>
      </c>
      <c r="F451" s="79"/>
      <c r="G451" s="108"/>
      <c r="I451" s="158"/>
      <c r="J451" s="163"/>
      <c r="K451" s="162"/>
      <c r="L451" s="160"/>
      <c r="M451" s="160"/>
    </row>
    <row r="452" spans="3:13">
      <c r="C452" s="149" t="s">
        <v>43</v>
      </c>
      <c r="D452" s="101">
        <f>9343.484+25662.19</f>
        <v>35005.673999999999</v>
      </c>
      <c r="E452" s="73">
        <f>D452*$J447</f>
        <v>35.705787480000005</v>
      </c>
      <c r="F452" s="79"/>
      <c r="G452" s="108"/>
      <c r="I452" s="176" t="s">
        <v>84</v>
      </c>
      <c r="J452" s="197">
        <v>1044</v>
      </c>
      <c r="K452" s="57"/>
      <c r="L452" s="165"/>
      <c r="M452" s="165"/>
    </row>
    <row r="453" spans="3:13">
      <c r="C453" s="149" t="s">
        <v>44</v>
      </c>
      <c r="D453" s="101">
        <f>12240.531+18824.261</f>
        <v>31064.792000000001</v>
      </c>
      <c r="E453" s="73">
        <f>D453*$J447</f>
        <v>31.686087840000003</v>
      </c>
      <c r="F453" s="79"/>
      <c r="G453" s="108"/>
      <c r="I453" s="184" t="s">
        <v>11</v>
      </c>
      <c r="J453" s="198">
        <v>667</v>
      </c>
      <c r="K453" s="157"/>
      <c r="L453" s="157"/>
      <c r="M453" s="157"/>
    </row>
    <row r="454" spans="3:13">
      <c r="C454" s="149" t="s">
        <v>45</v>
      </c>
      <c r="D454" s="101">
        <f>5246.031+32878.347</f>
        <v>38124.378000000004</v>
      </c>
      <c r="E454" s="73">
        <f>D454*$J447</f>
        <v>38.886865560000004</v>
      </c>
      <c r="F454" s="79"/>
      <c r="G454" s="108"/>
      <c r="I454" s="178" t="s">
        <v>75</v>
      </c>
      <c r="J454" s="179">
        <f>E466</f>
        <v>531.75873100000001</v>
      </c>
      <c r="K454" s="159"/>
      <c r="L454" s="160"/>
      <c r="M454" s="160"/>
    </row>
    <row r="455" spans="3:13" ht="12.75" customHeight="1">
      <c r="C455" s="149" t="s">
        <v>46</v>
      </c>
      <c r="D455" s="101">
        <f>682.695+148374.08</f>
        <v>149056.77499999999</v>
      </c>
      <c r="E455" s="73">
        <f>D455*$J447</f>
        <v>152.03791050000001</v>
      </c>
      <c r="F455" s="79"/>
      <c r="G455" s="108"/>
      <c r="I455" s="180" t="s">
        <v>76</v>
      </c>
      <c r="J455" s="181">
        <f>J452/J454</f>
        <v>1.9632963957859302</v>
      </c>
      <c r="K455" s="159"/>
      <c r="L455" s="160"/>
      <c r="M455" s="160"/>
    </row>
    <row r="456" spans="3:13">
      <c r="C456" s="149" t="s">
        <v>47</v>
      </c>
      <c r="D456" s="101">
        <f>344.521+111280.593</f>
        <v>111625.11399999999</v>
      </c>
      <c r="E456" s="73">
        <f>D456*$J447</f>
        <v>113.85761627999999</v>
      </c>
      <c r="F456" s="79"/>
      <c r="G456" s="108"/>
      <c r="I456" s="182" t="s">
        <v>13</v>
      </c>
      <c r="J456" s="183">
        <f>J453/J454</f>
        <v>1.2543282528632331</v>
      </c>
      <c r="K456" s="162"/>
      <c r="L456" s="160"/>
      <c r="M456" s="160"/>
    </row>
    <row r="457" spans="3:13">
      <c r="C457" s="149" t="s">
        <v>48</v>
      </c>
      <c r="D457" s="101">
        <f>95.855+211433.064</f>
        <v>211528.91900000002</v>
      </c>
      <c r="E457" s="73">
        <f>D457*$J447</f>
        <v>215.75949738000003</v>
      </c>
      <c r="F457" s="79"/>
      <c r="G457" s="108"/>
      <c r="K457" s="162"/>
      <c r="L457" s="157"/>
      <c r="M457" s="157"/>
    </row>
    <row r="458" spans="3:13">
      <c r="C458" s="149" t="s">
        <v>91</v>
      </c>
      <c r="D458" s="101">
        <f>2656.322+185208.2</f>
        <v>187864.522</v>
      </c>
      <c r="E458" s="73">
        <f>D458*$J447</f>
        <v>191.62181244000001</v>
      </c>
      <c r="F458" s="79"/>
      <c r="G458" s="108"/>
      <c r="I458" s="158"/>
      <c r="J458" s="163"/>
      <c r="K458" s="162"/>
      <c r="L458" s="160"/>
      <c r="M458" s="160"/>
    </row>
    <row r="459" spans="3:13">
      <c r="C459" s="149" t="s">
        <v>50</v>
      </c>
      <c r="D459" s="101">
        <f>2229.709+294513</f>
        <v>296742.70899999997</v>
      </c>
      <c r="E459" s="73">
        <f>D459*$J447</f>
        <v>302.67756317999999</v>
      </c>
      <c r="F459" s="79"/>
      <c r="G459" s="108"/>
      <c r="K459" s="162"/>
      <c r="L459" s="160"/>
      <c r="M459" s="160"/>
    </row>
    <row r="460" spans="3:13">
      <c r="C460" s="149" t="s">
        <v>51</v>
      </c>
      <c r="D460" s="173">
        <f>+Model!AP$109-SUM(D451:D459)</f>
        <v>2655.6499999999069</v>
      </c>
      <c r="E460" s="73">
        <f>D460*$J447</f>
        <v>2.7087629999999052</v>
      </c>
      <c r="F460" s="79"/>
      <c r="G460" s="108"/>
      <c r="K460" s="162"/>
      <c r="L460" s="160"/>
      <c r="M460" s="160"/>
    </row>
    <row r="461" spans="3:13">
      <c r="C461" s="130" t="s">
        <v>19</v>
      </c>
      <c r="D461" s="116">
        <f>SUM(D451:D460)</f>
        <v>1073347.3189999999</v>
      </c>
      <c r="E461" s="117">
        <f>SUM(E451:E460)</f>
        <v>1094.8142653799998</v>
      </c>
      <c r="F461" s="118">
        <f>+D461/D466</f>
        <v>2.1335392350765181</v>
      </c>
      <c r="G461" s="119">
        <f>+E461/E466</f>
        <v>2.0588552694210485</v>
      </c>
      <c r="I461" s="166"/>
      <c r="J461" s="56"/>
      <c r="K461" s="162"/>
      <c r="L461" s="167"/>
      <c r="M461" s="167"/>
    </row>
    <row r="462" spans="3:13">
      <c r="C462" s="131" t="s">
        <v>20</v>
      </c>
      <c r="D462" s="120">
        <f>Model!AP$111</f>
        <v>301523.10700000002</v>
      </c>
      <c r="E462" s="73">
        <f>D462*$J447</f>
        <v>307.55356914000004</v>
      </c>
      <c r="F462" s="121"/>
      <c r="G462" s="122"/>
      <c r="I462" s="166"/>
      <c r="J462" s="56"/>
      <c r="K462" s="162"/>
      <c r="L462" s="167"/>
      <c r="M462" s="167"/>
    </row>
    <row r="463" spans="3:13">
      <c r="C463" s="130" t="s">
        <v>21</v>
      </c>
      <c r="D463" s="116">
        <f>+D461-D462</f>
        <v>771824.21199999982</v>
      </c>
      <c r="E463" s="117">
        <f>+E461-E462</f>
        <v>787.26069623999979</v>
      </c>
      <c r="F463" s="118">
        <f>+D463/D466</f>
        <v>1.5341886169876537</v>
      </c>
      <c r="G463" s="119">
        <f>+E463/E466</f>
        <v>1.4804847581148597</v>
      </c>
      <c r="I463" s="164"/>
      <c r="J463" s="57"/>
      <c r="K463" s="57"/>
      <c r="L463" s="165"/>
      <c r="M463" s="165"/>
    </row>
    <row r="464" spans="3:13">
      <c r="C464" s="132" t="s">
        <v>22</v>
      </c>
      <c r="D464" s="123">
        <f>Model!AP$118</f>
        <v>1155786.693</v>
      </c>
      <c r="E464" s="73">
        <f>D464*$J447</f>
        <v>1178.9024268600001</v>
      </c>
      <c r="F464" s="112"/>
      <c r="G464" s="109"/>
      <c r="I464" s="164"/>
      <c r="J464" s="57"/>
      <c r="K464" s="57"/>
      <c r="L464" s="165"/>
      <c r="M464" s="165"/>
    </row>
    <row r="465" spans="3:17">
      <c r="C465" s="130" t="s">
        <v>23</v>
      </c>
      <c r="D465" s="116">
        <f>D461+D464</f>
        <v>2229134.0120000001</v>
      </c>
      <c r="E465" s="117">
        <f>E461+E464</f>
        <v>2273.7166922400002</v>
      </c>
      <c r="F465" s="118">
        <f>D465/D466</f>
        <v>4.4309468059942398</v>
      </c>
      <c r="G465" s="119">
        <f>E465/E466</f>
        <v>4.2758427077711678</v>
      </c>
      <c r="I465" s="166"/>
      <c r="J465" s="30"/>
      <c r="K465" s="162"/>
    </row>
    <row r="466" spans="3:17">
      <c r="C466" s="133" t="s">
        <v>24</v>
      </c>
      <c r="D466" s="124">
        <f>Model!AP$87</f>
        <v>503083</v>
      </c>
      <c r="E466" s="125">
        <f>D466*$J448</f>
        <v>531.75873100000001</v>
      </c>
      <c r="F466" s="126"/>
      <c r="G466" s="127"/>
    </row>
    <row r="468" spans="3:17">
      <c r="C468" s="80" t="s">
        <v>25</v>
      </c>
      <c r="D468" s="172">
        <f>D461-Model!AP$114</f>
        <v>0</v>
      </c>
      <c r="E468" s="81"/>
    </row>
    <row r="469" spans="3:17" ht="13.5" thickBot="1">
      <c r="D469" s="103"/>
      <c r="E469" s="103"/>
      <c r="F469" s="188"/>
      <c r="G469" s="188"/>
    </row>
    <row r="470" spans="3:17">
      <c r="C470" s="53" t="s">
        <v>103</v>
      </c>
      <c r="D470" s="99" t="s">
        <v>4</v>
      </c>
      <c r="E470" s="100" t="s">
        <v>65</v>
      </c>
    </row>
    <row r="471" spans="3:17">
      <c r="C471" s="54"/>
      <c r="D471" s="82"/>
      <c r="E471" s="68"/>
    </row>
    <row r="472" spans="3:17">
      <c r="C472" s="54" t="s">
        <v>27</v>
      </c>
      <c r="D472" s="95">
        <f>D462</f>
        <v>301523.10700000002</v>
      </c>
      <c r="E472" s="96">
        <f>E462</f>
        <v>307.55356914000004</v>
      </c>
      <c r="N472" s="352"/>
      <c r="O472" s="352"/>
      <c r="P472" s="352"/>
      <c r="Q472" s="352"/>
    </row>
    <row r="473" spans="3:17" ht="13.5" thickBot="1">
      <c r="C473" s="92" t="s">
        <v>28</v>
      </c>
      <c r="D473" s="98">
        <f>SUM(D472:D472)</f>
        <v>301523.10700000002</v>
      </c>
      <c r="E473" s="98">
        <f>SUM(E472:E472)</f>
        <v>307.55356914000004</v>
      </c>
      <c r="I473" s="156"/>
      <c r="J473" s="352"/>
      <c r="K473" s="352"/>
      <c r="L473" s="352"/>
      <c r="M473" s="352"/>
      <c r="N473" s="159"/>
      <c r="O473" s="159"/>
      <c r="P473" s="160"/>
      <c r="Q473" s="160"/>
    </row>
    <row r="474" spans="3:17">
      <c r="I474" s="158"/>
      <c r="J474" s="159"/>
      <c r="K474" s="159"/>
      <c r="L474" s="160"/>
      <c r="M474" s="160"/>
      <c r="N474" s="161"/>
      <c r="O474" s="162"/>
      <c r="P474" s="160"/>
      <c r="Q474" s="160"/>
    </row>
    <row r="475" spans="3:17" ht="13.5" thickBot="1">
      <c r="I475" s="158"/>
      <c r="J475" s="161"/>
      <c r="K475" s="162"/>
      <c r="L475" s="160"/>
      <c r="M475" s="160"/>
      <c r="N475" s="163"/>
      <c r="O475" s="162"/>
      <c r="P475" s="157"/>
      <c r="Q475" s="157"/>
    </row>
    <row r="476" spans="3:17">
      <c r="C476" s="85" t="s">
        <v>104</v>
      </c>
      <c r="D476" s="99" t="s">
        <v>4</v>
      </c>
      <c r="E476" s="86" t="s">
        <v>65</v>
      </c>
      <c r="I476" s="158"/>
      <c r="J476" s="163"/>
      <c r="K476" s="162"/>
      <c r="L476" s="157"/>
      <c r="M476" s="157"/>
      <c r="N476" s="163"/>
      <c r="O476" s="162"/>
      <c r="P476" s="160"/>
      <c r="Q476" s="160"/>
    </row>
    <row r="477" spans="3:17">
      <c r="C477" s="87"/>
      <c r="D477" s="102"/>
      <c r="E477" s="97"/>
      <c r="I477" s="158"/>
      <c r="J477" s="163"/>
      <c r="K477" s="162"/>
      <c r="L477" s="160"/>
      <c r="M477" s="160"/>
      <c r="N477" s="163"/>
      <c r="O477" s="162"/>
      <c r="P477" s="160"/>
      <c r="Q477" s="160"/>
    </row>
    <row r="478" spans="3:17">
      <c r="C478" s="87">
        <v>2023</v>
      </c>
      <c r="D478" s="102">
        <f>D458</f>
        <v>187864.522</v>
      </c>
      <c r="E478" s="97">
        <f>D478*$J447</f>
        <v>191.62181244000001</v>
      </c>
      <c r="I478" s="168"/>
      <c r="J478" s="169"/>
      <c r="K478" s="162"/>
      <c r="L478" s="160"/>
      <c r="M478" s="160"/>
      <c r="N478" s="170"/>
      <c r="O478" s="171"/>
      <c r="P478" s="165"/>
      <c r="Q478" s="165"/>
    </row>
    <row r="479" spans="3:17">
      <c r="C479" s="87">
        <f>+C478+1</f>
        <v>2024</v>
      </c>
      <c r="D479" s="102">
        <v>0</v>
      </c>
      <c r="E479" s="97">
        <f>D479*$J447</f>
        <v>0</v>
      </c>
      <c r="I479" s="168"/>
      <c r="J479" s="170"/>
      <c r="K479" s="171"/>
      <c r="L479" s="165"/>
      <c r="M479" s="165"/>
      <c r="N479" s="163"/>
      <c r="O479" s="162"/>
      <c r="P479" s="157"/>
      <c r="Q479" s="157"/>
    </row>
    <row r="480" spans="3:17">
      <c r="C480" s="87">
        <f t="shared" ref="C480:C482" si="7">+C479+1</f>
        <v>2025</v>
      </c>
      <c r="D480" s="102">
        <v>0</v>
      </c>
      <c r="E480" s="97">
        <f>D480*$J447</f>
        <v>0</v>
      </c>
      <c r="I480" s="158"/>
      <c r="J480" s="163"/>
      <c r="K480" s="162"/>
      <c r="L480" s="157"/>
      <c r="M480" s="157"/>
    </row>
    <row r="481" spans="2:11">
      <c r="C481" s="87">
        <f t="shared" si="7"/>
        <v>2026</v>
      </c>
      <c r="D481" s="102">
        <f>D453</f>
        <v>31064.792000000001</v>
      </c>
      <c r="E481" s="97">
        <f>D481*$J447</f>
        <v>31.686087840000003</v>
      </c>
    </row>
    <row r="482" spans="2:11">
      <c r="C482" s="87">
        <f t="shared" si="7"/>
        <v>2027</v>
      </c>
      <c r="D482" s="102">
        <v>0</v>
      </c>
      <c r="E482" s="97">
        <f>D482*$J447</f>
        <v>0</v>
      </c>
    </row>
    <row r="483" spans="2:11">
      <c r="C483" s="174" t="s">
        <v>94</v>
      </c>
      <c r="D483" s="102">
        <f>D454+D455+D456+D457+D459</f>
        <v>807077.89500000002</v>
      </c>
      <c r="E483" s="97">
        <f>D483*$J447</f>
        <v>823.21945290000008</v>
      </c>
    </row>
    <row r="484" spans="2:11" ht="13.5" thickBot="1">
      <c r="C484" s="174" t="s">
        <v>80</v>
      </c>
      <c r="D484" s="102">
        <f>D460</f>
        <v>2655.6499999999069</v>
      </c>
      <c r="E484" s="97">
        <f>D484*$J447</f>
        <v>2.7087629999999052</v>
      </c>
      <c r="J484" s="143"/>
    </row>
    <row r="485" spans="2:11" ht="13.5" thickBot="1">
      <c r="C485" s="88" t="s">
        <v>56</v>
      </c>
      <c r="D485" s="105">
        <f>SUM(D477:D484)</f>
        <v>1028662.8589999999</v>
      </c>
      <c r="E485" s="105">
        <f>SUM(E477:E484)</f>
        <v>1049.23611618</v>
      </c>
      <c r="F485" s="143"/>
    </row>
    <row r="486" spans="2:11" ht="13.5" thickBot="1">
      <c r="C486" s="87" t="s">
        <v>57</v>
      </c>
      <c r="D486" s="175">
        <f>+D451+D452</f>
        <v>44684.46</v>
      </c>
      <c r="E486" s="97">
        <f>D486*$J447</f>
        <v>45.578149200000006</v>
      </c>
    </row>
    <row r="487" spans="2:11" ht="13.5" thickBot="1">
      <c r="C487" s="88" t="s">
        <v>58</v>
      </c>
      <c r="D487" s="105">
        <f>+D485+D486</f>
        <v>1073347.3189999999</v>
      </c>
      <c r="E487" s="105">
        <f>+E485+E486</f>
        <v>1094.8142653800001</v>
      </c>
    </row>
    <row r="488" spans="2:11">
      <c r="C488" s="189"/>
      <c r="D488" s="113"/>
      <c r="E488" s="113"/>
    </row>
    <row r="495" spans="2:11">
      <c r="B495" s="48" t="s">
        <v>105</v>
      </c>
      <c r="I495" s="48" t="s">
        <v>39</v>
      </c>
      <c r="J495" s="67">
        <f>Model!AO$193</f>
        <v>1.1356151627336527E-3</v>
      </c>
      <c r="K495" s="67"/>
    </row>
    <row r="496" spans="2:11">
      <c r="C496" s="110"/>
      <c r="D496" s="350" t="s">
        <v>106</v>
      </c>
      <c r="E496" s="351"/>
      <c r="F496" s="78" t="s">
        <v>6</v>
      </c>
      <c r="G496" s="107" t="s">
        <v>7</v>
      </c>
      <c r="I496" s="48" t="s">
        <v>107</v>
      </c>
      <c r="J496" s="67">
        <f>Model!AO$192</f>
        <v>1.1131827995169135E-3</v>
      </c>
      <c r="K496" s="67"/>
    </row>
    <row r="497" spans="3:13">
      <c r="C497" s="111"/>
      <c r="D497" s="128" t="s">
        <v>4</v>
      </c>
      <c r="E497" s="129" t="s">
        <v>5</v>
      </c>
      <c r="F497" s="79"/>
      <c r="G497" s="108"/>
    </row>
    <row r="498" spans="3:13">
      <c r="C498" s="111"/>
      <c r="D498" s="128"/>
      <c r="E498" s="129"/>
      <c r="F498" s="79"/>
      <c r="G498" s="108"/>
    </row>
    <row r="499" spans="3:13">
      <c r="C499" s="149" t="s">
        <v>42</v>
      </c>
      <c r="D499" s="101">
        <f>1500.909+13403.691</f>
        <v>14904.6</v>
      </c>
      <c r="E499" s="73">
        <f>D499*$J495</f>
        <v>16.92588975448</v>
      </c>
      <c r="F499" s="79"/>
      <c r="G499" s="108"/>
      <c r="I499" s="158"/>
      <c r="J499" s="163"/>
      <c r="K499" s="162"/>
      <c r="L499" s="160"/>
      <c r="M499" s="160"/>
    </row>
    <row r="500" spans="3:13">
      <c r="C500" s="149" t="s">
        <v>43</v>
      </c>
      <c r="D500" s="101">
        <f>9926.283+24811.777</f>
        <v>34738.06</v>
      </c>
      <c r="E500" s="73">
        <f>D500*$J495</f>
        <v>39.449067659951389</v>
      </c>
      <c r="F500" s="79"/>
      <c r="G500" s="108"/>
      <c r="I500" s="176" t="s">
        <v>84</v>
      </c>
      <c r="J500" s="192">
        <v>1175</v>
      </c>
      <c r="K500" s="57"/>
      <c r="L500" s="165"/>
      <c r="M500" s="165"/>
    </row>
    <row r="501" spans="3:13" ht="12.75" customHeight="1">
      <c r="C501" s="149" t="s">
        <v>44</v>
      </c>
      <c r="D501" s="101">
        <f>11660.222+18669.905</f>
        <v>30330.127</v>
      </c>
      <c r="E501" s="73">
        <f>D501*$J495</f>
        <v>34.443352108837352</v>
      </c>
      <c r="F501" s="79"/>
      <c r="G501" s="108"/>
      <c r="I501" s="184" t="s">
        <v>11</v>
      </c>
      <c r="J501" s="193">
        <v>724</v>
      </c>
      <c r="K501" s="157"/>
      <c r="L501" s="157"/>
      <c r="M501" s="157"/>
    </row>
    <row r="502" spans="3:13">
      <c r="C502" s="149" t="s">
        <v>45</v>
      </c>
      <c r="D502" s="101">
        <f>5612.839+35117.116</f>
        <v>40729.955000000002</v>
      </c>
      <c r="E502" s="73">
        <f>D502*$J495</f>
        <v>46.253554475459353</v>
      </c>
      <c r="F502" s="79"/>
      <c r="G502" s="108"/>
      <c r="I502" s="178" t="s">
        <v>75</v>
      </c>
      <c r="J502" s="179">
        <f>E514</f>
        <v>523.31613951529721</v>
      </c>
      <c r="K502" s="159"/>
      <c r="L502" s="160"/>
      <c r="M502" s="160"/>
    </row>
    <row r="503" spans="3:13">
      <c r="C503" s="149" t="s">
        <v>46</v>
      </c>
      <c r="D503" s="101">
        <f>2062.069+147157.44</f>
        <v>149219.50899999999</v>
      </c>
      <c r="E503" s="73">
        <f>D503*$J495</f>
        <v>169.45593699607073</v>
      </c>
      <c r="F503" s="79"/>
      <c r="G503" s="108"/>
      <c r="I503" s="180" t="s">
        <v>76</v>
      </c>
      <c r="J503" s="181">
        <f>J500/J502</f>
        <v>2.2452966978780773</v>
      </c>
      <c r="K503" s="159"/>
      <c r="L503" s="160"/>
      <c r="M503" s="160"/>
    </row>
    <row r="504" spans="3:13">
      <c r="C504" s="149" t="s">
        <v>47</v>
      </c>
      <c r="D504" s="101">
        <f>1366.861+110368.102</f>
        <v>111734.963</v>
      </c>
      <c r="E504" s="73">
        <f>D504*$J495</f>
        <v>126.88791819028367</v>
      </c>
      <c r="F504" s="79"/>
      <c r="G504" s="108"/>
      <c r="I504" s="182" t="s">
        <v>13</v>
      </c>
      <c r="J504" s="183">
        <f>J501/J502</f>
        <v>1.3834849440542365</v>
      </c>
      <c r="K504" s="162"/>
      <c r="L504" s="160"/>
      <c r="M504" s="160"/>
    </row>
    <row r="505" spans="3:13">
      <c r="C505" s="149" t="s">
        <v>48</v>
      </c>
      <c r="D505" s="101">
        <f>1536.949+209699.352</f>
        <v>211236.30100000001</v>
      </c>
      <c r="E505" s="73">
        <f>D505*$J495</f>
        <v>239.88314633536984</v>
      </c>
      <c r="F505" s="79"/>
      <c r="G505" s="108"/>
      <c r="K505" s="162"/>
      <c r="L505" s="157"/>
      <c r="M505" s="157"/>
    </row>
    <row r="506" spans="3:13">
      <c r="C506" s="149" t="s">
        <v>91</v>
      </c>
      <c r="D506" s="101">
        <f>1340.446+177575.2</f>
        <v>178915.64600000001</v>
      </c>
      <c r="E506" s="73">
        <f>D506*$J495</f>
        <v>203.1793204478866</v>
      </c>
      <c r="F506" s="79"/>
      <c r="G506" s="108"/>
      <c r="I506" s="158"/>
      <c r="J506" s="163"/>
      <c r="K506" s="162"/>
      <c r="L506" s="160"/>
      <c r="M506" s="160"/>
    </row>
    <row r="507" spans="3:13">
      <c r="C507" s="149" t="s">
        <v>50</v>
      </c>
      <c r="D507" s="101">
        <f>4590.627+263136</f>
        <v>267726.62699999998</v>
      </c>
      <c r="E507" s="73">
        <f>D507*$J495</f>
        <v>304.03441708873692</v>
      </c>
      <c r="F507" s="79"/>
      <c r="G507" s="108"/>
      <c r="K507" s="162"/>
      <c r="L507" s="160"/>
      <c r="M507" s="160"/>
    </row>
    <row r="508" spans="3:13">
      <c r="C508" s="149" t="s">
        <v>51</v>
      </c>
      <c r="D508" s="173">
        <f>+Model!AO$109-SUM(D499:D507)</f>
        <v>-8753.2730000001611</v>
      </c>
      <c r="E508" s="73">
        <f>D508*$J495</f>
        <v>-9.9403495423472705</v>
      </c>
      <c r="F508" s="79"/>
      <c r="G508" s="108"/>
      <c r="K508" s="162"/>
      <c r="L508" s="160"/>
      <c r="M508" s="160"/>
    </row>
    <row r="509" spans="3:13">
      <c r="C509" s="130" t="s">
        <v>19</v>
      </c>
      <c r="D509" s="116">
        <f>SUM(D499:D508)</f>
        <v>1030782.5149999999</v>
      </c>
      <c r="E509" s="117">
        <f>SUM(E499:E508)</f>
        <v>1170.5722535147286</v>
      </c>
      <c r="F509" s="118">
        <f>+D509/D514</f>
        <v>2.1926504441532582</v>
      </c>
      <c r="G509" s="119">
        <f>+E509/E514</f>
        <v>2.2368357578249527</v>
      </c>
      <c r="I509" s="166"/>
      <c r="J509" s="56"/>
      <c r="K509" s="162"/>
      <c r="L509" s="167"/>
      <c r="M509" s="167"/>
    </row>
    <row r="510" spans="3:13">
      <c r="C510" s="131" t="s">
        <v>20</v>
      </c>
      <c r="D510" s="120">
        <f>Model!AO$111</f>
        <v>303683.68300000002</v>
      </c>
      <c r="E510" s="73">
        <f>D510*$J495</f>
        <v>344.86779508960001</v>
      </c>
      <c r="F510" s="121"/>
      <c r="G510" s="122"/>
      <c r="I510" s="166"/>
      <c r="J510" s="56"/>
      <c r="K510" s="162"/>
      <c r="L510" s="167"/>
      <c r="M510" s="167"/>
    </row>
    <row r="511" spans="3:13">
      <c r="C511" s="130" t="s">
        <v>21</v>
      </c>
      <c r="D511" s="116">
        <f>+D509-D510</f>
        <v>727098.83199999994</v>
      </c>
      <c r="E511" s="117">
        <f>+E509-E510</f>
        <v>825.70445842512856</v>
      </c>
      <c r="F511" s="118">
        <f>+D511/D514</f>
        <v>1.546663387987441</v>
      </c>
      <c r="G511" s="119">
        <f>+E511/E514</f>
        <v>1.5778310586596997</v>
      </c>
      <c r="I511" s="164"/>
      <c r="J511" s="57"/>
      <c r="K511" s="57"/>
      <c r="L511" s="165"/>
      <c r="M511" s="165"/>
    </row>
    <row r="512" spans="3:13">
      <c r="C512" s="132" t="s">
        <v>22</v>
      </c>
      <c r="D512" s="123">
        <f>Model!AO$118</f>
        <v>920985.41399999999</v>
      </c>
      <c r="E512" s="73">
        <f>D512*$J495</f>
        <v>1045.8850007949304</v>
      </c>
      <c r="F512" s="112"/>
      <c r="G512" s="109"/>
      <c r="I512" s="164"/>
      <c r="J512" s="57"/>
      <c r="K512" s="57"/>
      <c r="L512" s="165"/>
      <c r="M512" s="165"/>
    </row>
    <row r="513" spans="3:17">
      <c r="C513" s="130" t="s">
        <v>23</v>
      </c>
      <c r="D513" s="116">
        <f>D509+D512</f>
        <v>1951767.929</v>
      </c>
      <c r="E513" s="117">
        <f>E509+E512</f>
        <v>2216.4572543096592</v>
      </c>
      <c r="F513" s="118">
        <f>D513/D514</f>
        <v>4.151743703574498</v>
      </c>
      <c r="G513" s="119">
        <f>E513/E514</f>
        <v>4.2354077907143726</v>
      </c>
      <c r="I513" s="166"/>
      <c r="J513" s="30"/>
      <c r="K513" s="162"/>
    </row>
    <row r="514" spans="3:17">
      <c r="C514" s="133" t="s">
        <v>24</v>
      </c>
      <c r="D514" s="124">
        <f>Model!AO$87</f>
        <v>470108</v>
      </c>
      <c r="E514" s="125">
        <f>D514*$J496</f>
        <v>523.31613951529721</v>
      </c>
      <c r="F514" s="126"/>
      <c r="G514" s="127"/>
    </row>
    <row r="516" spans="3:17">
      <c r="C516" s="80" t="s">
        <v>25</v>
      </c>
      <c r="D516" s="172">
        <f>D509-Model!AO$114</f>
        <v>0</v>
      </c>
      <c r="E516" s="81"/>
    </row>
    <row r="517" spans="3:17" ht="13.5" thickBot="1">
      <c r="D517" s="103"/>
      <c r="E517" s="103"/>
      <c r="F517" s="188"/>
      <c r="G517" s="188"/>
    </row>
    <row r="518" spans="3:17">
      <c r="C518" s="53" t="s">
        <v>108</v>
      </c>
      <c r="D518" s="99" t="s">
        <v>4</v>
      </c>
      <c r="E518" s="100" t="s">
        <v>65</v>
      </c>
    </row>
    <row r="519" spans="3:17">
      <c r="C519" s="54"/>
      <c r="D519" s="82"/>
      <c r="E519" s="68"/>
    </row>
    <row r="520" spans="3:17">
      <c r="C520" s="54" t="s">
        <v>27</v>
      </c>
      <c r="D520" s="95">
        <f>D510</f>
        <v>303683.68300000002</v>
      </c>
      <c r="E520" s="96">
        <f>E510</f>
        <v>344.86779508960001</v>
      </c>
      <c r="N520" s="352"/>
      <c r="O520" s="352"/>
      <c r="P520" s="352"/>
      <c r="Q520" s="352"/>
    </row>
    <row r="521" spans="3:17" ht="13.5" thickBot="1">
      <c r="C521" s="92" t="s">
        <v>28</v>
      </c>
      <c r="D521" s="98">
        <f>SUM(D520:D520)</f>
        <v>303683.68300000002</v>
      </c>
      <c r="E521" s="98">
        <f>SUM(E520:E520)</f>
        <v>344.86779508960001</v>
      </c>
      <c r="I521" s="156"/>
      <c r="J521" s="352"/>
      <c r="K521" s="352"/>
      <c r="L521" s="352"/>
      <c r="M521" s="352"/>
      <c r="N521" s="159"/>
      <c r="O521" s="159"/>
      <c r="P521" s="160"/>
      <c r="Q521" s="160"/>
    </row>
    <row r="522" spans="3:17">
      <c r="I522" s="158"/>
      <c r="J522" s="159"/>
      <c r="K522" s="159"/>
      <c r="L522" s="160"/>
      <c r="M522" s="160"/>
      <c r="N522" s="161"/>
      <c r="O522" s="162"/>
      <c r="P522" s="160"/>
      <c r="Q522" s="160"/>
    </row>
    <row r="523" spans="3:17" ht="13.5" thickBot="1">
      <c r="I523" s="158"/>
      <c r="J523" s="161"/>
      <c r="K523" s="162"/>
      <c r="L523" s="160"/>
      <c r="M523" s="160"/>
      <c r="N523" s="163"/>
      <c r="O523" s="162"/>
      <c r="P523" s="157"/>
      <c r="Q523" s="157"/>
    </row>
    <row r="524" spans="3:17">
      <c r="C524" s="85" t="s">
        <v>109</v>
      </c>
      <c r="D524" s="99" t="s">
        <v>4</v>
      </c>
      <c r="E524" s="86" t="s">
        <v>65</v>
      </c>
      <c r="I524" s="158"/>
      <c r="J524" s="163"/>
      <c r="K524" s="162"/>
      <c r="L524" s="157"/>
      <c r="M524" s="157"/>
      <c r="N524" s="163"/>
      <c r="O524" s="162"/>
      <c r="P524" s="160"/>
      <c r="Q524" s="160"/>
    </row>
    <row r="525" spans="3:17">
      <c r="C525" s="87"/>
      <c r="D525" s="102"/>
      <c r="E525" s="97"/>
      <c r="I525" s="158"/>
      <c r="J525" s="163"/>
      <c r="K525" s="162"/>
      <c r="L525" s="160"/>
      <c r="M525" s="160"/>
      <c r="N525" s="163"/>
      <c r="O525" s="162"/>
      <c r="P525" s="160"/>
      <c r="Q525" s="160"/>
    </row>
    <row r="526" spans="3:17">
      <c r="C526" s="87">
        <v>2023</v>
      </c>
      <c r="D526" s="102">
        <f>D506</f>
        <v>178915.64600000001</v>
      </c>
      <c r="E526" s="97">
        <f>D526*$J495</f>
        <v>203.1793204478866</v>
      </c>
      <c r="I526" s="168"/>
      <c r="J526" s="169"/>
      <c r="K526" s="162"/>
      <c r="L526" s="160"/>
      <c r="M526" s="160"/>
      <c r="N526" s="170"/>
      <c r="O526" s="171"/>
      <c r="P526" s="165"/>
      <c r="Q526" s="165"/>
    </row>
    <row r="527" spans="3:17">
      <c r="C527" s="87">
        <f>+C526+1</f>
        <v>2024</v>
      </c>
      <c r="D527" s="102">
        <v>0</v>
      </c>
      <c r="E527" s="97">
        <f>D527*$J495</f>
        <v>0</v>
      </c>
      <c r="I527" s="168"/>
      <c r="J527" s="170"/>
      <c r="K527" s="171"/>
      <c r="L527" s="165"/>
      <c r="M527" s="165"/>
      <c r="N527" s="163"/>
      <c r="O527" s="162"/>
      <c r="P527" s="157"/>
      <c r="Q527" s="157"/>
    </row>
    <row r="528" spans="3:17">
      <c r="C528" s="87">
        <f t="shared" ref="C528:C530" si="8">+C527+1</f>
        <v>2025</v>
      </c>
      <c r="D528" s="102">
        <v>0</v>
      </c>
      <c r="E528" s="97">
        <f>D528*$J495</f>
        <v>0</v>
      </c>
      <c r="I528" s="158"/>
      <c r="J528" s="163"/>
      <c r="K528" s="162"/>
      <c r="L528" s="157"/>
      <c r="M528" s="157"/>
    </row>
    <row r="529" spans="2:11">
      <c r="C529" s="87">
        <f t="shared" si="8"/>
        <v>2026</v>
      </c>
      <c r="D529" s="102">
        <f>D501</f>
        <v>30330.127</v>
      </c>
      <c r="E529" s="97">
        <f>D529*$J495</f>
        <v>34.443352108837352</v>
      </c>
    </row>
    <row r="530" spans="2:11">
      <c r="C530" s="87">
        <f t="shared" si="8"/>
        <v>2027</v>
      </c>
      <c r="D530" s="102">
        <v>0</v>
      </c>
      <c r="E530" s="97">
        <f>D530*$J495</f>
        <v>0</v>
      </c>
    </row>
    <row r="531" spans="2:11">
      <c r="C531" s="174" t="s">
        <v>94</v>
      </c>
      <c r="D531" s="102">
        <f>D502+D503+D504+D505+D507</f>
        <v>780647.35499999998</v>
      </c>
      <c r="E531" s="97">
        <f>D531*$J495</f>
        <v>886.51497308592047</v>
      </c>
    </row>
    <row r="532" spans="2:11" ht="13.5" thickBot="1">
      <c r="C532" s="174" t="s">
        <v>80</v>
      </c>
      <c r="D532" s="102">
        <f>D508</f>
        <v>-8753.2730000001611</v>
      </c>
      <c r="E532" s="97">
        <f>D532*$J495</f>
        <v>-9.9403495423472705</v>
      </c>
      <c r="J532" s="143"/>
    </row>
    <row r="533" spans="2:11" ht="13.5" thickBot="1">
      <c r="C533" s="88" t="s">
        <v>56</v>
      </c>
      <c r="D533" s="105">
        <f>SUM(D525:D532)</f>
        <v>981139.85499999986</v>
      </c>
      <c r="E533" s="105">
        <f>SUM(E525:E532)</f>
        <v>1114.1972961002971</v>
      </c>
      <c r="F533" s="143"/>
    </row>
    <row r="534" spans="2:11" ht="13.5" thickBot="1">
      <c r="C534" s="87" t="s">
        <v>57</v>
      </c>
      <c r="D534" s="175">
        <f>+D499+D500</f>
        <v>49642.659999999996</v>
      </c>
      <c r="E534" s="97">
        <f>D534*$J495</f>
        <v>56.374957414431385</v>
      </c>
    </row>
    <row r="535" spans="2:11" ht="13.5" thickBot="1">
      <c r="C535" s="88" t="s">
        <v>58</v>
      </c>
      <c r="D535" s="105">
        <f>+D533+D534</f>
        <v>1030782.5149999999</v>
      </c>
      <c r="E535" s="105">
        <f>+E533+E534</f>
        <v>1170.5722535147286</v>
      </c>
    </row>
    <row r="536" spans="2:11">
      <c r="C536" s="189"/>
      <c r="D536" s="113"/>
      <c r="E536" s="113"/>
    </row>
    <row r="543" spans="2:11">
      <c r="B543" s="48" t="s">
        <v>110</v>
      </c>
      <c r="I543" s="48" t="s">
        <v>39</v>
      </c>
      <c r="J543" s="67">
        <f>Model!AN$193</f>
        <v>1.0907504363001745E-3</v>
      </c>
      <c r="K543" s="67"/>
    </row>
    <row r="544" spans="2:11">
      <c r="C544" s="110"/>
      <c r="D544" s="350" t="s">
        <v>111</v>
      </c>
      <c r="E544" s="351"/>
      <c r="F544" s="78" t="s">
        <v>6</v>
      </c>
      <c r="G544" s="107" t="s">
        <v>7</v>
      </c>
      <c r="I544" s="48" t="s">
        <v>112</v>
      </c>
      <c r="J544" s="67">
        <f>Model!AN$192</f>
        <v>1.1484897013412866E-3</v>
      </c>
      <c r="K544" s="67"/>
    </row>
    <row r="545" spans="3:13">
      <c r="C545" s="111"/>
      <c r="D545" s="128" t="s">
        <v>4</v>
      </c>
      <c r="E545" s="129" t="s">
        <v>5</v>
      </c>
      <c r="F545" s="79"/>
      <c r="G545" s="108"/>
    </row>
    <row r="546" spans="3:13">
      <c r="C546" s="111"/>
      <c r="D546" s="128"/>
      <c r="E546" s="129"/>
      <c r="F546" s="79"/>
      <c r="G546" s="108"/>
    </row>
    <row r="547" spans="3:13">
      <c r="C547" s="149" t="s">
        <v>42</v>
      </c>
      <c r="D547" s="101">
        <f>13324.805+26253.647</f>
        <v>39578.452000000005</v>
      </c>
      <c r="E547" s="73">
        <f>D547*$J543</f>
        <v>43.170213787085522</v>
      </c>
      <c r="F547" s="79"/>
      <c r="G547" s="108"/>
      <c r="I547" s="158"/>
      <c r="J547" s="163"/>
      <c r="K547" s="162"/>
      <c r="L547" s="160"/>
      <c r="M547" s="160"/>
    </row>
    <row r="548" spans="3:13" ht="12.75" customHeight="1">
      <c r="C548" s="149" t="s">
        <v>43</v>
      </c>
      <c r="D548" s="101">
        <f>16718.27+7986.145</f>
        <v>24704.415000000001</v>
      </c>
      <c r="E548" s="73">
        <f>D548*$J543</f>
        <v>26.946351439790575</v>
      </c>
      <c r="F548" s="79"/>
      <c r="G548" s="108"/>
      <c r="I548" s="176" t="s">
        <v>84</v>
      </c>
      <c r="J548" s="192">
        <v>1149</v>
      </c>
      <c r="K548" s="57"/>
      <c r="L548" s="165"/>
      <c r="M548" s="165"/>
    </row>
    <row r="549" spans="3:13">
      <c r="C549" s="149" t="s">
        <v>44</v>
      </c>
      <c r="D549" s="101">
        <f>11708.218+24117.134</f>
        <v>35825.351999999999</v>
      </c>
      <c r="E549" s="73">
        <f>D549*$J543</f>
        <v>39.076518324607328</v>
      </c>
      <c r="F549" s="79"/>
      <c r="G549" s="108"/>
      <c r="I549" s="184" t="s">
        <v>11</v>
      </c>
      <c r="J549" s="193">
        <v>788</v>
      </c>
      <c r="K549" s="157"/>
      <c r="L549" s="157"/>
      <c r="M549" s="157"/>
    </row>
    <row r="550" spans="3:13">
      <c r="C550" s="149" t="s">
        <v>45</v>
      </c>
      <c r="D550" s="101">
        <f>5131.533+34552.187</f>
        <v>39683.72</v>
      </c>
      <c r="E550" s="73">
        <f>D550*$J543</f>
        <v>43.285034904013962</v>
      </c>
      <c r="F550" s="79"/>
      <c r="G550" s="108"/>
      <c r="I550" s="178" t="s">
        <v>75</v>
      </c>
      <c r="J550" s="179">
        <f>E562</f>
        <v>560.10809093683338</v>
      </c>
      <c r="K550" s="159"/>
      <c r="L550" s="160"/>
      <c r="M550" s="160"/>
    </row>
    <row r="551" spans="3:13">
      <c r="C551" s="149" t="s">
        <v>46</v>
      </c>
      <c r="D551" s="101">
        <f>666.206+144790.12</f>
        <v>145456.326</v>
      </c>
      <c r="E551" s="73">
        <f>D551*$J543</f>
        <v>158.65655104712042</v>
      </c>
      <c r="F551" s="79"/>
      <c r="G551" s="108"/>
      <c r="I551" s="180" t="s">
        <v>76</v>
      </c>
      <c r="J551" s="181">
        <f>J548/J550</f>
        <v>2.0513897559990424</v>
      </c>
      <c r="K551" s="159"/>
      <c r="L551" s="160"/>
      <c r="M551" s="160"/>
    </row>
    <row r="552" spans="3:13">
      <c r="C552" s="149" t="s">
        <v>47</v>
      </c>
      <c r="D552" s="101">
        <f>336.21+108592.613</f>
        <v>108928.823</v>
      </c>
      <c r="E552" s="73">
        <f>D552*$J543</f>
        <v>118.81416121291448</v>
      </c>
      <c r="F552" s="79"/>
      <c r="G552" s="108"/>
      <c r="I552" s="182" t="s">
        <v>13</v>
      </c>
      <c r="J552" s="183">
        <f>J549/J550</f>
        <v>1.4068713035050002</v>
      </c>
      <c r="K552" s="162"/>
      <c r="L552" s="160"/>
      <c r="M552" s="160"/>
    </row>
    <row r="553" spans="3:13">
      <c r="C553" s="149" t="s">
        <v>48</v>
      </c>
      <c r="D553" s="101">
        <f>77.95+206325.921</f>
        <v>206403.87100000001</v>
      </c>
      <c r="E553" s="73">
        <f>D553*$J543</f>
        <v>225.13511234729495</v>
      </c>
      <c r="F553" s="79"/>
      <c r="G553" s="108"/>
      <c r="K553" s="162"/>
      <c r="L553" s="157"/>
      <c r="M553" s="157"/>
    </row>
    <row r="554" spans="3:13">
      <c r="C554" s="149" t="s">
        <v>91</v>
      </c>
      <c r="D554" s="101">
        <f>166467.164+0</f>
        <v>166467.16399999999</v>
      </c>
      <c r="E554" s="73">
        <f>D554*$J543</f>
        <v>181.57413176265268</v>
      </c>
      <c r="F554" s="79"/>
      <c r="G554" s="108"/>
      <c r="I554" s="158"/>
      <c r="J554" s="163"/>
      <c r="K554" s="162"/>
      <c r="L554" s="160"/>
      <c r="M554" s="160"/>
    </row>
    <row r="555" spans="3:13">
      <c r="C555" s="149" t="s">
        <v>50</v>
      </c>
      <c r="D555" s="101">
        <f>2034.13+268680</f>
        <v>270714.13</v>
      </c>
      <c r="E555" s="73">
        <f>D555*$J543</f>
        <v>295.28155541012217</v>
      </c>
      <c r="F555" s="79"/>
      <c r="G555" s="108"/>
      <c r="K555" s="162"/>
      <c r="L555" s="160"/>
      <c r="M555" s="160"/>
    </row>
    <row r="556" spans="3:13">
      <c r="C556" s="149" t="s">
        <v>51</v>
      </c>
      <c r="D556" s="173">
        <f>+Model!AN$109-SUM(D547:D555)</f>
        <v>-8904.0699999999488</v>
      </c>
      <c r="E556" s="73">
        <f>D556*$J543</f>
        <v>-9.712118237347239</v>
      </c>
      <c r="F556" s="79"/>
      <c r="G556" s="108"/>
      <c r="K556" s="162"/>
      <c r="L556" s="160"/>
      <c r="M556" s="160"/>
    </row>
    <row r="557" spans="3:13">
      <c r="C557" s="130" t="s">
        <v>19</v>
      </c>
      <c r="D557" s="116">
        <f>SUM(D547:D556)</f>
        <v>1028858.1830000001</v>
      </c>
      <c r="E557" s="117">
        <f>SUM(E547:E556)</f>
        <v>1122.2275119982548</v>
      </c>
      <c r="F557" s="118">
        <f>+D557/D562</f>
        <v>2.1096517733564903</v>
      </c>
      <c r="G557" s="119">
        <f>+E557/E562</f>
        <v>2.0035909678098451</v>
      </c>
      <c r="I557" s="166"/>
      <c r="J557" s="56"/>
      <c r="K557" s="162"/>
      <c r="L557" s="167"/>
      <c r="M557" s="167"/>
    </row>
    <row r="558" spans="3:13">
      <c r="C558" s="131" t="s">
        <v>20</v>
      </c>
      <c r="D558" s="120">
        <f>Model!AN$111</f>
        <v>224775.962</v>
      </c>
      <c r="E558" s="73">
        <f>D558*$J543</f>
        <v>245.17447862129146</v>
      </c>
      <c r="F558" s="121"/>
      <c r="G558" s="122"/>
      <c r="I558" s="166"/>
      <c r="J558" s="56"/>
      <c r="K558" s="162"/>
      <c r="L558" s="167"/>
      <c r="M558" s="167"/>
    </row>
    <row r="559" spans="3:13">
      <c r="C559" s="130" t="s">
        <v>21</v>
      </c>
      <c r="D559" s="116">
        <f>+D557-D558</f>
        <v>804082.22100000014</v>
      </c>
      <c r="E559" s="117">
        <f>+E557-E558</f>
        <v>877.05303337696341</v>
      </c>
      <c r="F559" s="118">
        <f>+D559/D562</f>
        <v>1.6487534545439635</v>
      </c>
      <c r="G559" s="119">
        <f>+E559/E562</f>
        <v>1.565863888718354</v>
      </c>
      <c r="I559" s="164"/>
      <c r="J559" s="57"/>
      <c r="K559" s="57"/>
      <c r="L559" s="165"/>
      <c r="M559" s="165"/>
    </row>
    <row r="560" spans="3:13">
      <c r="C560" s="132" t="s">
        <v>22</v>
      </c>
      <c r="D560" s="123">
        <f>Model!AN$118</f>
        <v>962817.76199999999</v>
      </c>
      <c r="E560" s="73">
        <f>D560*$J543</f>
        <v>1050.1938939790575</v>
      </c>
      <c r="F560" s="112"/>
      <c r="G560" s="109"/>
      <c r="I560" s="164"/>
      <c r="J560" s="57"/>
      <c r="K560" s="57"/>
      <c r="L560" s="165"/>
      <c r="M560" s="165"/>
    </row>
    <row r="561" spans="3:17">
      <c r="C561" s="130" t="s">
        <v>23</v>
      </c>
      <c r="D561" s="116">
        <f>D557+D560</f>
        <v>1991675.9450000001</v>
      </c>
      <c r="E561" s="117">
        <f>E557+E560</f>
        <v>2172.4214059773121</v>
      </c>
      <c r="F561" s="118">
        <f>D561/D562</f>
        <v>4.0838890711536608</v>
      </c>
      <c r="G561" s="119">
        <f>E561/E562</f>
        <v>3.8785752984637898</v>
      </c>
      <c r="I561" s="166"/>
      <c r="J561" s="30"/>
      <c r="K561" s="162"/>
    </row>
    <row r="562" spans="3:17">
      <c r="C562" s="133" t="s">
        <v>24</v>
      </c>
      <c r="D562" s="124">
        <f>Model!AN$87</f>
        <v>487691</v>
      </c>
      <c r="E562" s="125">
        <f>D562*$J544</f>
        <v>560.10809093683338</v>
      </c>
      <c r="F562" s="126"/>
      <c r="G562" s="127"/>
    </row>
    <row r="564" spans="3:17">
      <c r="C564" s="80" t="s">
        <v>25</v>
      </c>
      <c r="D564" s="172">
        <f>D557-Model!AN$114</f>
        <v>0</v>
      </c>
      <c r="E564" s="81"/>
    </row>
    <row r="565" spans="3:17" ht="13.5" thickBot="1">
      <c r="D565" s="103"/>
      <c r="E565" s="103"/>
      <c r="F565" s="188"/>
      <c r="G565" s="188"/>
    </row>
    <row r="566" spans="3:17">
      <c r="C566" s="53" t="s">
        <v>113</v>
      </c>
      <c r="D566" s="99" t="s">
        <v>4</v>
      </c>
      <c r="E566" s="100" t="s">
        <v>65</v>
      </c>
    </row>
    <row r="567" spans="3:17">
      <c r="C567" s="54"/>
      <c r="D567" s="82"/>
      <c r="E567" s="68"/>
      <c r="N567" s="352"/>
      <c r="O567" s="352"/>
      <c r="P567" s="352"/>
      <c r="Q567" s="352"/>
    </row>
    <row r="568" spans="3:17">
      <c r="C568" s="54" t="s">
        <v>27</v>
      </c>
      <c r="D568" s="95">
        <f>D558</f>
        <v>224775.962</v>
      </c>
      <c r="E568" s="96">
        <f>E558</f>
        <v>245.17447862129146</v>
      </c>
      <c r="N568" s="159"/>
      <c r="O568" s="159"/>
      <c r="P568" s="160"/>
      <c r="Q568" s="160"/>
    </row>
    <row r="569" spans="3:17" ht="13.5" thickBot="1">
      <c r="C569" s="92" t="s">
        <v>28</v>
      </c>
      <c r="D569" s="98">
        <f>SUM(D568:D568)</f>
        <v>224775.962</v>
      </c>
      <c r="E569" s="98">
        <f>SUM(E568:E568)</f>
        <v>245.17447862129146</v>
      </c>
      <c r="I569" s="156"/>
      <c r="J569" s="352"/>
      <c r="K569" s="352"/>
      <c r="L569" s="352"/>
      <c r="M569" s="352"/>
      <c r="N569" s="161"/>
      <c r="O569" s="162"/>
      <c r="P569" s="160"/>
      <c r="Q569" s="160"/>
    </row>
    <row r="570" spans="3:17">
      <c r="I570" s="158"/>
      <c r="J570" s="159"/>
      <c r="K570" s="159"/>
      <c r="L570" s="160"/>
      <c r="M570" s="160"/>
      <c r="N570" s="163"/>
      <c r="O570" s="162"/>
      <c r="P570" s="157"/>
      <c r="Q570" s="157"/>
    </row>
    <row r="571" spans="3:17" ht="13.5" thickBot="1">
      <c r="I571" s="158"/>
      <c r="J571" s="161"/>
      <c r="K571" s="162"/>
      <c r="L571" s="160"/>
      <c r="M571" s="160"/>
      <c r="N571" s="163"/>
      <c r="O571" s="162"/>
      <c r="P571" s="160"/>
      <c r="Q571" s="160"/>
    </row>
    <row r="572" spans="3:17">
      <c r="C572" s="85" t="s">
        <v>114</v>
      </c>
      <c r="D572" s="99" t="s">
        <v>4</v>
      </c>
      <c r="E572" s="86" t="s">
        <v>65</v>
      </c>
      <c r="I572" s="158"/>
      <c r="J572" s="163"/>
      <c r="K572" s="162"/>
      <c r="L572" s="157"/>
      <c r="M572" s="157"/>
      <c r="N572" s="163"/>
      <c r="O572" s="162"/>
      <c r="P572" s="160"/>
      <c r="Q572" s="160"/>
    </row>
    <row r="573" spans="3:17">
      <c r="C573" s="87"/>
      <c r="D573" s="102"/>
      <c r="E573" s="97"/>
      <c r="I573" s="158"/>
      <c r="J573" s="163"/>
      <c r="K573" s="162"/>
      <c r="L573" s="160"/>
      <c r="M573" s="160"/>
      <c r="N573" s="170"/>
      <c r="O573" s="171"/>
      <c r="P573" s="165"/>
      <c r="Q573" s="165"/>
    </row>
    <row r="574" spans="3:17">
      <c r="C574" s="87">
        <v>2023</v>
      </c>
      <c r="D574" s="102">
        <f>D554</f>
        <v>166467.16399999999</v>
      </c>
      <c r="E574" s="97">
        <f>D574*$J543</f>
        <v>181.57413176265268</v>
      </c>
      <c r="I574" s="168"/>
      <c r="J574" s="169"/>
      <c r="K574" s="162"/>
      <c r="L574" s="160"/>
      <c r="M574" s="160"/>
      <c r="N574" s="163"/>
      <c r="O574" s="162"/>
      <c r="P574" s="157"/>
      <c r="Q574" s="157"/>
    </row>
    <row r="575" spans="3:17">
      <c r="C575" s="87">
        <f>+C574+1</f>
        <v>2024</v>
      </c>
      <c r="D575" s="102">
        <v>0</v>
      </c>
      <c r="E575" s="97">
        <f>D575*$J543</f>
        <v>0</v>
      </c>
      <c r="I575" s="168"/>
      <c r="J575" s="170"/>
      <c r="K575" s="171"/>
      <c r="L575" s="165"/>
      <c r="M575" s="165"/>
    </row>
    <row r="576" spans="3:17">
      <c r="C576" s="87">
        <f t="shared" ref="C576:C578" si="9">+C575+1</f>
        <v>2025</v>
      </c>
      <c r="D576" s="102">
        <v>0</v>
      </c>
      <c r="E576" s="97">
        <f>D576*$J543</f>
        <v>0</v>
      </c>
      <c r="I576" s="158"/>
      <c r="J576" s="163"/>
      <c r="K576" s="162"/>
      <c r="L576" s="157"/>
      <c r="M576" s="157"/>
    </row>
    <row r="577" spans="2:11">
      <c r="C577" s="87">
        <f t="shared" si="9"/>
        <v>2026</v>
      </c>
      <c r="D577" s="102">
        <f>D549</f>
        <v>35825.351999999999</v>
      </c>
      <c r="E577" s="97">
        <f>D577*$J543</f>
        <v>39.076518324607328</v>
      </c>
    </row>
    <row r="578" spans="2:11">
      <c r="C578" s="87">
        <f t="shared" si="9"/>
        <v>2027</v>
      </c>
      <c r="D578" s="102">
        <v>0</v>
      </c>
      <c r="E578" s="97">
        <f>D578*$J543</f>
        <v>0</v>
      </c>
    </row>
    <row r="579" spans="2:11">
      <c r="C579" s="174" t="s">
        <v>94</v>
      </c>
      <c r="D579" s="102">
        <f>D550+D551+D552+D553+D555</f>
        <v>771186.87</v>
      </c>
      <c r="E579" s="97">
        <f>D579*$J543</f>
        <v>841.17241492146593</v>
      </c>
    </row>
    <row r="580" spans="2:11" ht="13.5" thickBot="1">
      <c r="C580" s="174" t="s">
        <v>80</v>
      </c>
      <c r="D580" s="102">
        <f>D556</f>
        <v>-8904.0699999999488</v>
      </c>
      <c r="E580" s="97">
        <f>D580*$J543</f>
        <v>-9.712118237347239</v>
      </c>
      <c r="J580" s="143"/>
    </row>
    <row r="581" spans="2:11" ht="13.5" thickBot="1">
      <c r="C581" s="88" t="s">
        <v>56</v>
      </c>
      <c r="D581" s="105">
        <f>SUM(D573:D580)</f>
        <v>964575.31599999999</v>
      </c>
      <c r="E581" s="105">
        <f>SUM(E573:E580)</f>
        <v>1052.1109467713786</v>
      </c>
      <c r="F581" s="143"/>
    </row>
    <row r="582" spans="2:11" ht="13.5" thickBot="1">
      <c r="C582" s="87" t="s">
        <v>57</v>
      </c>
      <c r="D582" s="175">
        <f>+D547+D548</f>
        <v>64282.867000000006</v>
      </c>
      <c r="E582" s="97">
        <f>D582*$J543</f>
        <v>70.116565226876091</v>
      </c>
    </row>
    <row r="583" spans="2:11" ht="13.5" thickBot="1">
      <c r="C583" s="88" t="s">
        <v>58</v>
      </c>
      <c r="D583" s="105">
        <f>+D581+D582</f>
        <v>1028858.183</v>
      </c>
      <c r="E583" s="105">
        <f>+E581+E582</f>
        <v>1122.2275119982546</v>
      </c>
    </row>
    <row r="584" spans="2:11">
      <c r="C584" s="189"/>
      <c r="D584" s="113"/>
      <c r="E584" s="113"/>
    </row>
    <row r="590" spans="2:11">
      <c r="B590" s="48" t="s">
        <v>115</v>
      </c>
      <c r="I590" s="48" t="s">
        <v>39</v>
      </c>
      <c r="J590" s="67">
        <f>Model!AM$193</f>
        <v>1.2062289663823987E-3</v>
      </c>
      <c r="K590" s="67"/>
    </row>
    <row r="591" spans="2:11">
      <c r="C591" s="110"/>
      <c r="D591" s="350" t="s">
        <v>111</v>
      </c>
      <c r="E591" s="351"/>
      <c r="F591" s="78" t="s">
        <v>6</v>
      </c>
      <c r="G591" s="107" t="s">
        <v>7</v>
      </c>
      <c r="I591" s="48" t="s">
        <v>116</v>
      </c>
      <c r="J591" s="67">
        <f>Model!AM$192</f>
        <v>1.2324886335360963E-3</v>
      </c>
      <c r="K591" s="67"/>
    </row>
    <row r="592" spans="2:11">
      <c r="C592" s="111"/>
      <c r="D592" s="128" t="s">
        <v>4</v>
      </c>
      <c r="E592" s="129" t="s">
        <v>5</v>
      </c>
      <c r="F592" s="79"/>
      <c r="G592" s="108"/>
    </row>
    <row r="593" spans="3:13">
      <c r="C593" s="111"/>
      <c r="D593" s="128"/>
      <c r="E593" s="129"/>
      <c r="F593" s="79"/>
      <c r="G593" s="108"/>
    </row>
    <row r="594" spans="3:13" ht="12.75" customHeight="1">
      <c r="C594" s="149" t="s">
        <v>42</v>
      </c>
      <c r="D594" s="101">
        <f>32237.856+13310.403</f>
        <v>45548.258999999998</v>
      </c>
      <c r="E594" s="73">
        <f>D594*$J590</f>
        <v>54.941629374087789</v>
      </c>
      <c r="F594" s="79"/>
      <c r="G594" s="108"/>
      <c r="I594" s="158"/>
      <c r="J594" s="163"/>
      <c r="K594" s="162"/>
      <c r="L594" s="160"/>
      <c r="M594" s="160"/>
    </row>
    <row r="595" spans="3:13">
      <c r="C595" s="149" t="s">
        <v>43</v>
      </c>
      <c r="D595" s="101">
        <f>8849.432+16081.176</f>
        <v>24930.608</v>
      </c>
      <c r="E595" s="73">
        <f>D595*$J590</f>
        <v>30.07202151912476</v>
      </c>
      <c r="F595" s="79"/>
      <c r="G595" s="108"/>
      <c r="I595" s="176" t="s">
        <v>84</v>
      </c>
      <c r="J595" s="192">
        <v>1429</v>
      </c>
      <c r="K595" s="57"/>
      <c r="L595" s="165"/>
      <c r="M595" s="165"/>
    </row>
    <row r="596" spans="3:13">
      <c r="C596" s="149" t="s">
        <v>44</v>
      </c>
      <c r="D596" s="101">
        <f>11110.757+24045.144</f>
        <v>35155.900999999998</v>
      </c>
      <c r="E596" s="73">
        <f>D596*$J590</f>
        <v>42.406066125471938</v>
      </c>
      <c r="F596" s="79"/>
      <c r="G596" s="108"/>
      <c r="I596" s="184" t="s">
        <v>11</v>
      </c>
      <c r="J596" s="193">
        <v>901</v>
      </c>
      <c r="K596" s="157"/>
      <c r="L596" s="157"/>
      <c r="M596" s="157"/>
    </row>
    <row r="597" spans="3:13">
      <c r="C597" s="149" t="s">
        <v>45</v>
      </c>
      <c r="D597" s="101">
        <f>5542.608+36909.695</f>
        <v>42452.303</v>
      </c>
      <c r="E597" s="73">
        <f>D597*$J590</f>
        <v>51.207197568242407</v>
      </c>
      <c r="F597" s="79"/>
      <c r="G597" s="108"/>
      <c r="I597" s="178" t="s">
        <v>75</v>
      </c>
      <c r="J597" s="179">
        <f>E609</f>
        <v>587.23276682324195</v>
      </c>
      <c r="K597" s="159"/>
      <c r="L597" s="160"/>
      <c r="M597" s="160"/>
    </row>
    <row r="598" spans="3:13">
      <c r="C598" s="149" t="s">
        <v>46</v>
      </c>
      <c r="D598" s="101">
        <f>2022.841+144357.92</f>
        <v>146380.761</v>
      </c>
      <c r="E598" s="73">
        <f>D598*$J590</f>
        <v>176.56871403929895</v>
      </c>
      <c r="F598" s="79"/>
      <c r="G598" s="108"/>
      <c r="I598" s="180" t="s">
        <v>76</v>
      </c>
      <c r="J598" s="181">
        <f>J595/J597</f>
        <v>2.4334473155005867</v>
      </c>
      <c r="K598" s="159"/>
      <c r="L598" s="160"/>
      <c r="M598" s="160"/>
    </row>
    <row r="599" spans="3:13">
      <c r="C599" s="149" t="s">
        <v>47</v>
      </c>
      <c r="D599" s="101">
        <f>1340.869+108268.452</f>
        <v>109609.32100000001</v>
      </c>
      <c r="E599" s="73">
        <f>D599*$J590</f>
        <v>132.21393797570656</v>
      </c>
      <c r="F599" s="79"/>
      <c r="G599" s="108"/>
      <c r="I599" s="182" t="s">
        <v>13</v>
      </c>
      <c r="J599" s="183">
        <f>J596/J597</f>
        <v>1.5343149274079975</v>
      </c>
      <c r="K599" s="162"/>
      <c r="L599" s="160"/>
      <c r="M599" s="160"/>
    </row>
    <row r="600" spans="3:13">
      <c r="C600" s="149" t="s">
        <v>48</v>
      </c>
      <c r="D600" s="101">
        <f>1507.71+205710.036</f>
        <v>207217.74599999998</v>
      </c>
      <c r="E600" s="73">
        <f>D600*$J590</f>
        <v>249.95204757367043</v>
      </c>
      <c r="F600" s="79"/>
      <c r="G600" s="108"/>
      <c r="K600" s="162"/>
      <c r="L600" s="157"/>
      <c r="M600" s="157"/>
    </row>
    <row r="601" spans="3:13">
      <c r="C601" s="149" t="s">
        <v>117</v>
      </c>
      <c r="D601" s="101">
        <f>296203.514+0</f>
        <v>296203.51400000002</v>
      </c>
      <c r="E601" s="73">
        <f>D601*$J590</f>
        <v>357.28925853105443</v>
      </c>
      <c r="F601" s="79"/>
      <c r="G601" s="108"/>
      <c r="I601" s="158"/>
      <c r="J601" s="163"/>
      <c r="K601" s="162"/>
      <c r="L601" s="160"/>
      <c r="M601" s="160"/>
    </row>
    <row r="602" spans="3:13">
      <c r="C602" s="149" t="s">
        <v>50</v>
      </c>
      <c r="D602" s="101">
        <f>4195.687+240498</f>
        <v>244693.68700000001</v>
      </c>
      <c r="E602" s="73">
        <f>D602*$J590</f>
        <v>295.1566131503082</v>
      </c>
      <c r="F602" s="79"/>
      <c r="G602" s="108"/>
      <c r="K602" s="162"/>
      <c r="L602" s="160"/>
      <c r="M602" s="160"/>
    </row>
    <row r="603" spans="3:13">
      <c r="C603" s="149" t="s">
        <v>51</v>
      </c>
      <c r="D603" s="173">
        <f>+Model!AM$109-SUM(D594:D602)</f>
        <v>-6272.2949999996927</v>
      </c>
      <c r="E603" s="73">
        <f>D603*$J590</f>
        <v>-7.5658239146951169</v>
      </c>
      <c r="F603" s="79"/>
      <c r="G603" s="108"/>
      <c r="K603" s="162"/>
      <c r="L603" s="160"/>
      <c r="M603" s="160"/>
    </row>
    <row r="604" spans="3:13">
      <c r="C604" s="130" t="s">
        <v>19</v>
      </c>
      <c r="D604" s="116">
        <f>SUM(D594:D603)</f>
        <v>1145919.8050000002</v>
      </c>
      <c r="E604" s="117">
        <f>SUM(E594:E603)</f>
        <v>1382.2416619422704</v>
      </c>
      <c r="F604" s="118">
        <f>+D604/D609</f>
        <v>2.4050652729184554</v>
      </c>
      <c r="G604" s="119">
        <f>+E604/E609</f>
        <v>2.3538224364076186</v>
      </c>
      <c r="I604" s="166"/>
      <c r="J604" s="56"/>
      <c r="K604" s="162"/>
      <c r="L604" s="167"/>
      <c r="M604" s="167"/>
    </row>
    <row r="605" spans="3:13">
      <c r="C605" s="131" t="s">
        <v>20</v>
      </c>
      <c r="D605" s="120">
        <f>Model!AM$111</f>
        <v>248989.65599999999</v>
      </c>
      <c r="E605" s="73">
        <f>D605*$J590</f>
        <v>300.33853539678904</v>
      </c>
      <c r="F605" s="121"/>
      <c r="G605" s="122"/>
      <c r="I605" s="166"/>
      <c r="J605" s="56"/>
      <c r="K605" s="162"/>
      <c r="L605" s="167"/>
      <c r="M605" s="167"/>
    </row>
    <row r="606" spans="3:13">
      <c r="C606" s="130" t="s">
        <v>21</v>
      </c>
      <c r="D606" s="116">
        <f>+D604-D605</f>
        <v>896930.14900000021</v>
      </c>
      <c r="E606" s="117">
        <f>+E604-E605</f>
        <v>1081.9031265454814</v>
      </c>
      <c r="F606" s="118">
        <f>+D606/D609</f>
        <v>1.8824838738112883</v>
      </c>
      <c r="G606" s="119">
        <f>+E606/E609</f>
        <v>1.8423752686660553</v>
      </c>
      <c r="I606" s="164"/>
      <c r="J606" s="57"/>
      <c r="K606" s="57"/>
      <c r="L606" s="165"/>
      <c r="M606" s="165"/>
    </row>
    <row r="607" spans="3:13">
      <c r="C607" s="132" t="s">
        <v>22</v>
      </c>
      <c r="D607" s="123">
        <f>Model!AM$118</f>
        <v>885818.3</v>
      </c>
      <c r="E607" s="73">
        <f>D607*$J590</f>
        <v>1068.4996924116138</v>
      </c>
      <c r="F607" s="112"/>
      <c r="G607" s="109"/>
      <c r="I607" s="164"/>
      <c r="J607" s="57"/>
      <c r="K607" s="57"/>
      <c r="L607" s="165"/>
      <c r="M607" s="165"/>
    </row>
    <row r="608" spans="3:13">
      <c r="C608" s="130" t="s">
        <v>23</v>
      </c>
      <c r="D608" s="116">
        <f>D604+D607</f>
        <v>2031738.1050000002</v>
      </c>
      <c r="E608" s="117">
        <f>E604+E607</f>
        <v>2450.7413543538842</v>
      </c>
      <c r="F608" s="118">
        <f>D608/D609</f>
        <v>4.2642275128499501</v>
      </c>
      <c r="G608" s="119">
        <f>E608/E609</f>
        <v>4.1733729669270341</v>
      </c>
      <c r="I608" s="166"/>
      <c r="J608" s="30"/>
      <c r="K608" s="162"/>
    </row>
    <row r="609" spans="3:17">
      <c r="C609" s="133" t="s">
        <v>24</v>
      </c>
      <c r="D609" s="124">
        <f>Model!AM$87</f>
        <v>476461</v>
      </c>
      <c r="E609" s="125">
        <f>D609*$J$591</f>
        <v>587.23276682324195</v>
      </c>
      <c r="F609" s="126"/>
      <c r="G609" s="127"/>
    </row>
    <row r="611" spans="3:17">
      <c r="C611" s="80" t="s">
        <v>25</v>
      </c>
      <c r="D611" s="172">
        <f>D604-Model!AM$114</f>
        <v>0</v>
      </c>
      <c r="E611" s="81"/>
    </row>
    <row r="612" spans="3:17" ht="13.5" thickBot="1">
      <c r="D612" s="103"/>
      <c r="E612" s="103"/>
      <c r="F612" s="188"/>
      <c r="G612" s="188"/>
    </row>
    <row r="613" spans="3:17">
      <c r="C613" s="53" t="s">
        <v>118</v>
      </c>
      <c r="D613" s="99" t="s">
        <v>4</v>
      </c>
      <c r="E613" s="100" t="s">
        <v>65</v>
      </c>
      <c r="N613" s="352"/>
      <c r="O613" s="352"/>
      <c r="P613" s="352"/>
      <c r="Q613" s="352"/>
    </row>
    <row r="614" spans="3:17">
      <c r="C614" s="54"/>
      <c r="D614" s="82"/>
      <c r="E614" s="68"/>
      <c r="N614" s="159"/>
      <c r="O614" s="159"/>
      <c r="P614" s="160"/>
      <c r="Q614" s="160"/>
    </row>
    <row r="615" spans="3:17">
      <c r="C615" s="54" t="s">
        <v>27</v>
      </c>
      <c r="D615" s="95">
        <f>D605</f>
        <v>248989.65599999999</v>
      </c>
      <c r="E615" s="96">
        <f>E605</f>
        <v>300.33853539678904</v>
      </c>
      <c r="N615" s="161"/>
      <c r="O615" s="162"/>
      <c r="P615" s="160"/>
      <c r="Q615" s="160"/>
    </row>
    <row r="616" spans="3:17" ht="13.5" thickBot="1">
      <c r="C616" s="92" t="s">
        <v>28</v>
      </c>
      <c r="D616" s="98">
        <f>SUM(D615:D615)</f>
        <v>248989.65599999999</v>
      </c>
      <c r="E616" s="98">
        <f>SUM(E615:E615)</f>
        <v>300.33853539678904</v>
      </c>
      <c r="I616" s="156"/>
      <c r="J616" s="352"/>
      <c r="K616" s="352"/>
      <c r="L616" s="352"/>
      <c r="M616" s="352"/>
      <c r="N616" s="163"/>
      <c r="O616" s="162"/>
      <c r="P616" s="157"/>
      <c r="Q616" s="157"/>
    </row>
    <row r="617" spans="3:17">
      <c r="I617" s="158"/>
      <c r="J617" s="159"/>
      <c r="K617" s="159"/>
      <c r="L617" s="160"/>
      <c r="M617" s="160"/>
      <c r="N617" s="163"/>
      <c r="O617" s="162"/>
      <c r="P617" s="160"/>
      <c r="Q617" s="160"/>
    </row>
    <row r="618" spans="3:17" ht="13.5" thickBot="1">
      <c r="I618" s="158"/>
      <c r="J618" s="161"/>
      <c r="K618" s="162"/>
      <c r="L618" s="160"/>
      <c r="M618" s="160"/>
      <c r="N618" s="163"/>
      <c r="O618" s="162"/>
      <c r="P618" s="160"/>
      <c r="Q618" s="160"/>
    </row>
    <row r="619" spans="3:17">
      <c r="C619" s="85" t="s">
        <v>119</v>
      </c>
      <c r="D619" s="99" t="s">
        <v>4</v>
      </c>
      <c r="E619" s="86" t="s">
        <v>65</v>
      </c>
      <c r="I619" s="158"/>
      <c r="J619" s="163"/>
      <c r="K619" s="162"/>
      <c r="L619" s="157"/>
      <c r="M619" s="157"/>
      <c r="N619" s="170"/>
      <c r="O619" s="171"/>
      <c r="P619" s="165"/>
      <c r="Q619" s="165"/>
    </row>
    <row r="620" spans="3:17">
      <c r="C620" s="87"/>
      <c r="D620" s="102"/>
      <c r="E620" s="97"/>
      <c r="I620" s="158"/>
      <c r="J620" s="163"/>
      <c r="K620" s="162"/>
      <c r="L620" s="160"/>
      <c r="M620" s="160"/>
      <c r="N620" s="163"/>
      <c r="O620" s="162"/>
      <c r="P620" s="157"/>
      <c r="Q620" s="157"/>
    </row>
    <row r="621" spans="3:17">
      <c r="C621" s="87">
        <v>2023</v>
      </c>
      <c r="D621" s="102">
        <f>D601</f>
        <v>296203.51400000002</v>
      </c>
      <c r="E621" s="97">
        <f>D621*$J590</f>
        <v>357.28925853105443</v>
      </c>
      <c r="I621" s="168"/>
      <c r="J621" s="169"/>
      <c r="K621" s="162"/>
      <c r="L621" s="160"/>
      <c r="M621" s="160"/>
    </row>
    <row r="622" spans="3:17">
      <c r="C622" s="87">
        <f>+C621+1</f>
        <v>2024</v>
      </c>
      <c r="D622" s="102">
        <v>0</v>
      </c>
      <c r="E622" s="97">
        <f>D622*$J590</f>
        <v>0</v>
      </c>
      <c r="I622" s="168"/>
      <c r="J622" s="170"/>
      <c r="K622" s="171"/>
      <c r="L622" s="165"/>
      <c r="M622" s="165"/>
    </row>
    <row r="623" spans="3:17">
      <c r="C623" s="87">
        <f t="shared" ref="C623:C625" si="10">+C622+1</f>
        <v>2025</v>
      </c>
      <c r="D623" s="102">
        <v>0</v>
      </c>
      <c r="E623" s="97">
        <f>D623*$J590</f>
        <v>0</v>
      </c>
      <c r="I623" s="158"/>
      <c r="J623" s="163"/>
      <c r="K623" s="162"/>
      <c r="L623" s="157"/>
      <c r="M623" s="157"/>
    </row>
    <row r="624" spans="3:17">
      <c r="C624" s="87">
        <f t="shared" si="10"/>
        <v>2026</v>
      </c>
      <c r="D624" s="102">
        <f>D596</f>
        <v>35155.900999999998</v>
      </c>
      <c r="E624" s="97">
        <f>D624*$J590</f>
        <v>42.406066125471938</v>
      </c>
    </row>
    <row r="625" spans="2:13">
      <c r="C625" s="87">
        <f t="shared" si="10"/>
        <v>2027</v>
      </c>
      <c r="D625" s="102">
        <v>0</v>
      </c>
      <c r="E625" s="97">
        <f>D625*$J590</f>
        <v>0</v>
      </c>
    </row>
    <row r="626" spans="2:13">
      <c r="C626" s="174" t="s">
        <v>94</v>
      </c>
      <c r="D626" s="102">
        <f>D597+D598+D599+D600+D602</f>
        <v>750353.81799999997</v>
      </c>
      <c r="E626" s="97">
        <f>D626*$J590</f>
        <v>905.09851030722655</v>
      </c>
    </row>
    <row r="627" spans="2:13" ht="13.5" thickBot="1">
      <c r="C627" s="174" t="s">
        <v>80</v>
      </c>
      <c r="D627" s="102">
        <f>D603</f>
        <v>-6272.2949999996927</v>
      </c>
      <c r="E627" s="97">
        <f>D627*$J590</f>
        <v>-7.5658239146951169</v>
      </c>
      <c r="J627" s="143"/>
    </row>
    <row r="628" spans="2:13" ht="13.5" thickBot="1">
      <c r="C628" s="88" t="s">
        <v>56</v>
      </c>
      <c r="D628" s="105">
        <f>SUM(D620:D627)</f>
        <v>1075440.9380000003</v>
      </c>
      <c r="E628" s="105">
        <f>SUM(E620:E627)</f>
        <v>1297.2280110490578</v>
      </c>
      <c r="F628" s="143"/>
    </row>
    <row r="629" spans="2:13" ht="13.5" thickBot="1">
      <c r="C629" s="87" t="s">
        <v>57</v>
      </c>
      <c r="D629" s="175">
        <f>+D594+D595</f>
        <v>70478.866999999998</v>
      </c>
      <c r="E629" s="97">
        <f>D629*$J590</f>
        <v>85.013650893212557</v>
      </c>
    </row>
    <row r="630" spans="2:13" ht="13.5" thickBot="1">
      <c r="C630" s="88" t="s">
        <v>58</v>
      </c>
      <c r="D630" s="105">
        <f>+D628+D629</f>
        <v>1145919.8050000004</v>
      </c>
      <c r="E630" s="105">
        <f>+E628+E629</f>
        <v>1382.2416619422704</v>
      </c>
    </row>
    <row r="631" spans="2:13">
      <c r="C631" s="189"/>
      <c r="D631" s="113"/>
      <c r="E631" s="113"/>
    </row>
    <row r="636" spans="2:13">
      <c r="B636" s="48" t="s">
        <v>120</v>
      </c>
      <c r="I636" s="48" t="s">
        <v>39</v>
      </c>
      <c r="J636" s="67">
        <f>Model!AL193</f>
        <v>1.2587483006897939E-3</v>
      </c>
      <c r="K636" s="67"/>
    </row>
    <row r="637" spans="2:13">
      <c r="C637" s="110"/>
      <c r="D637" s="350" t="s">
        <v>121</v>
      </c>
      <c r="E637" s="351"/>
      <c r="F637" s="78" t="s">
        <v>6</v>
      </c>
      <c r="G637" s="107" t="s">
        <v>7</v>
      </c>
      <c r="I637" s="48" t="s">
        <v>122</v>
      </c>
      <c r="J637" s="67">
        <f>Model!AL192</f>
        <v>1.2191358866034485E-3</v>
      </c>
      <c r="K637" s="67"/>
    </row>
    <row r="638" spans="2:13">
      <c r="C638" s="111"/>
      <c r="D638" s="128" t="s">
        <v>4</v>
      </c>
      <c r="E638" s="129" t="s">
        <v>5</v>
      </c>
      <c r="F638" s="79"/>
      <c r="G638" s="108"/>
    </row>
    <row r="639" spans="2:13" ht="12.75" customHeight="1">
      <c r="C639" s="111"/>
      <c r="D639" s="128"/>
      <c r="E639" s="129"/>
      <c r="F639" s="79"/>
      <c r="G639" s="108"/>
    </row>
    <row r="640" spans="2:13">
      <c r="C640" s="149" t="s">
        <v>42</v>
      </c>
      <c r="D640" s="101">
        <f>13241.891+716.63</f>
        <v>13958.520999999999</v>
      </c>
      <c r="E640" s="73">
        <f>D640*$J$636</f>
        <v>17.570264588892801</v>
      </c>
      <c r="F640" s="79"/>
      <c r="G640" s="108"/>
      <c r="I640" s="158"/>
      <c r="J640" s="163"/>
      <c r="K640" s="162"/>
      <c r="L640" s="160"/>
      <c r="M640" s="160"/>
    </row>
    <row r="641" spans="3:13">
      <c r="C641" s="149" t="s">
        <v>43</v>
      </c>
      <c r="D641" s="101">
        <f>14212.612+5520.684</f>
        <v>19733.295999999998</v>
      </c>
      <c r="E641" s="73">
        <f>D641*$J$636</f>
        <v>24.839252807008705</v>
      </c>
      <c r="F641" s="79"/>
      <c r="G641" s="108"/>
      <c r="I641" s="176" t="s">
        <v>84</v>
      </c>
      <c r="J641" s="192">
        <v>1163</v>
      </c>
      <c r="K641" s="57"/>
      <c r="L641" s="165"/>
      <c r="M641" s="165"/>
    </row>
    <row r="642" spans="3:13">
      <c r="C642" s="149" t="s">
        <v>44</v>
      </c>
      <c r="D642" s="101">
        <f>11279.285+29176.388</f>
        <v>40455.672999999995</v>
      </c>
      <c r="E642" s="73">
        <f>D642*$J$636</f>
        <v>50.923509642011972</v>
      </c>
      <c r="F642" s="79"/>
      <c r="G642" s="108"/>
      <c r="I642" s="184" t="s">
        <v>11</v>
      </c>
      <c r="J642" s="193">
        <v>714</v>
      </c>
      <c r="K642" s="157"/>
      <c r="L642" s="157"/>
      <c r="M642" s="157"/>
    </row>
    <row r="643" spans="3:13">
      <c r="C643" s="149" t="s">
        <v>45</v>
      </c>
      <c r="D643" s="101">
        <f>5055.357+36384.014</f>
        <v>41439.370999999999</v>
      </c>
      <c r="E643" s="73">
        <f>D643*$J$636</f>
        <v>52.16173782790392</v>
      </c>
      <c r="F643" s="79"/>
      <c r="G643" s="108"/>
      <c r="I643" s="178" t="s">
        <v>75</v>
      </c>
      <c r="J643" s="179">
        <f>E655</f>
        <v>573.68877415898476</v>
      </c>
      <c r="K643" s="159"/>
      <c r="L643" s="160"/>
      <c r="M643" s="160"/>
    </row>
    <row r="644" spans="3:13">
      <c r="C644" s="149" t="s">
        <v>46</v>
      </c>
      <c r="D644" s="101">
        <f>-654.756+142301.92</f>
        <v>141647.16400000002</v>
      </c>
      <c r="E644" s="73">
        <f>D644*$J$636</f>
        <v>178.29812698252857</v>
      </c>
      <c r="F644" s="79"/>
      <c r="G644" s="108"/>
      <c r="I644" s="180" t="s">
        <v>76</v>
      </c>
      <c r="J644" s="181">
        <f>J641/J643</f>
        <v>2.0272315798839409</v>
      </c>
      <c r="K644" s="159"/>
      <c r="L644" s="160"/>
      <c r="M644" s="160"/>
    </row>
    <row r="645" spans="3:13">
      <c r="C645" s="149" t="s">
        <v>47</v>
      </c>
      <c r="D645" s="101">
        <f>330.443+106726.45</f>
        <v>107056.893</v>
      </c>
      <c r="E645" s="73">
        <f>D645*$J$636</f>
        <v>134.7576821408791</v>
      </c>
      <c r="F645" s="79"/>
      <c r="G645" s="108"/>
      <c r="I645" s="182" t="s">
        <v>13</v>
      </c>
      <c r="J645" s="183">
        <f>J642/J643</f>
        <v>1.244577255405962</v>
      </c>
      <c r="K645" s="162"/>
      <c r="L645" s="160"/>
      <c r="M645" s="160"/>
    </row>
    <row r="646" spans="3:13">
      <c r="C646" s="149" t="s">
        <v>48</v>
      </c>
      <c r="D646" s="101">
        <f>91.932+202780.236</f>
        <v>202872.16800000001</v>
      </c>
      <c r="E646" s="73">
        <f>D646*$J$636</f>
        <v>255.36499672725438</v>
      </c>
      <c r="F646" s="79"/>
      <c r="G646" s="108"/>
      <c r="K646" s="162"/>
      <c r="L646" s="157"/>
      <c r="M646" s="157"/>
    </row>
    <row r="647" spans="3:13">
      <c r="C647" s="149" t="s">
        <v>117</v>
      </c>
      <c r="D647" s="101">
        <f>288460.021+0</f>
        <v>288460.02100000001</v>
      </c>
      <c r="E647" s="73">
        <f>D647*$J$636</f>
        <v>363.09856125069228</v>
      </c>
      <c r="F647" s="79"/>
      <c r="G647" s="108"/>
      <c r="I647" s="158"/>
      <c r="J647" s="163"/>
      <c r="K647" s="162"/>
      <c r="L647" s="160"/>
      <c r="M647" s="160"/>
    </row>
    <row r="648" spans="3:13">
      <c r="C648" s="149" t="s">
        <v>50</v>
      </c>
      <c r="D648" s="101">
        <f>1795.219+237123</f>
        <v>238918.21900000001</v>
      </c>
      <c r="E648" s="73">
        <f>D648*$J$636</f>
        <v>300.73790217008207</v>
      </c>
      <c r="F648" s="79"/>
      <c r="G648" s="108"/>
      <c r="K648" s="162"/>
      <c r="L648" s="160"/>
      <c r="M648" s="160"/>
    </row>
    <row r="649" spans="3:13">
      <c r="C649" s="149" t="s">
        <v>51</v>
      </c>
      <c r="D649" s="173">
        <f>+Model!AL109-SUM(D640:D648)</f>
        <v>-5111.2630000002682</v>
      </c>
      <c r="E649" s="73">
        <f>D649*$J$636</f>
        <v>-6.4337936156289555</v>
      </c>
      <c r="F649" s="79"/>
      <c r="G649" s="108"/>
      <c r="K649" s="162"/>
      <c r="L649" s="160"/>
      <c r="M649" s="160"/>
    </row>
    <row r="650" spans="3:13">
      <c r="C650" s="130" t="s">
        <v>19</v>
      </c>
      <c r="D650" s="116">
        <f>SUM(D640:D649)</f>
        <v>1089430.0629999998</v>
      </c>
      <c r="E650" s="117">
        <f>SUM(E640:E649)</f>
        <v>1371.3182405216248</v>
      </c>
      <c r="F650" s="118">
        <f>+D650/D655</f>
        <v>2.3151285951080602</v>
      </c>
      <c r="G650" s="119">
        <f>+E650/E655</f>
        <v>2.3903522297990709</v>
      </c>
      <c r="I650" s="166"/>
      <c r="J650" s="56"/>
      <c r="K650" s="162"/>
      <c r="L650" s="167"/>
      <c r="M650" s="167"/>
    </row>
    <row r="651" spans="3:13">
      <c r="C651" s="131" t="s">
        <v>20</v>
      </c>
      <c r="D651" s="120">
        <f>Model!AL111</f>
        <v>259267.83600000001</v>
      </c>
      <c r="E651" s="73">
        <f>D651*$J$636</f>
        <v>326.35294798852016</v>
      </c>
      <c r="F651" s="121"/>
      <c r="G651" s="122"/>
      <c r="I651" s="166"/>
      <c r="J651" s="56"/>
      <c r="K651" s="162"/>
      <c r="L651" s="167"/>
      <c r="M651" s="167"/>
    </row>
    <row r="652" spans="3:13">
      <c r="C652" s="130" t="s">
        <v>21</v>
      </c>
      <c r="D652" s="116">
        <f>+D650-D651</f>
        <v>830162.22699999984</v>
      </c>
      <c r="E652" s="117">
        <f>+E650-E651</f>
        <v>1044.9652925331047</v>
      </c>
      <c r="F652" s="118">
        <f>+D652/D655</f>
        <v>1.7641630936948802</v>
      </c>
      <c r="G652" s="119">
        <f>+E652/E655</f>
        <v>1.8214846439430528</v>
      </c>
      <c r="I652" s="164"/>
      <c r="J652" s="57"/>
      <c r="K652" s="57"/>
      <c r="L652" s="165"/>
      <c r="M652" s="165"/>
    </row>
    <row r="653" spans="3:13">
      <c r="C653" s="132" t="s">
        <v>22</v>
      </c>
      <c r="D653" s="123">
        <f>Model!AL118</f>
        <v>934168.196</v>
      </c>
      <c r="E653" s="73">
        <f>D653*$J$636</f>
        <v>1175.8826292734502</v>
      </c>
      <c r="F653" s="112"/>
      <c r="G653" s="109"/>
      <c r="I653" s="164"/>
      <c r="J653" s="57"/>
      <c r="K653" s="57"/>
      <c r="L653" s="165"/>
      <c r="M653" s="165"/>
    </row>
    <row r="654" spans="3:13">
      <c r="C654" s="130" t="s">
        <v>23</v>
      </c>
      <c r="D654" s="116">
        <f>D650+D653</f>
        <v>2023598.2589999998</v>
      </c>
      <c r="E654" s="117">
        <f>E650+E653</f>
        <v>2547.2008697950751</v>
      </c>
      <c r="F654" s="118">
        <f>D654/D655</f>
        <v>4.300312937501328</v>
      </c>
      <c r="G654" s="119">
        <f>E654/E655</f>
        <v>4.44003959033226</v>
      </c>
      <c r="I654" s="166"/>
      <c r="J654" s="30"/>
      <c r="K654" s="162"/>
    </row>
    <row r="655" spans="3:13">
      <c r="C655" s="133" t="s">
        <v>24</v>
      </c>
      <c r="D655" s="124">
        <f>Model!AL87</f>
        <v>470570</v>
      </c>
      <c r="E655" s="125">
        <f>D655*$J$637</f>
        <v>573.68877415898476</v>
      </c>
      <c r="F655" s="126"/>
      <c r="G655" s="127"/>
    </row>
    <row r="657" spans="3:17">
      <c r="C657" s="80" t="s">
        <v>25</v>
      </c>
      <c r="D657" s="172">
        <f>D650-Model!AL114</f>
        <v>0</v>
      </c>
      <c r="E657" s="81"/>
    </row>
    <row r="658" spans="3:17" ht="13.5" thickBot="1">
      <c r="D658" s="103"/>
      <c r="E658" s="103"/>
      <c r="F658" s="188"/>
      <c r="G658" s="188"/>
    </row>
    <row r="659" spans="3:17">
      <c r="C659" s="53" t="s">
        <v>123</v>
      </c>
      <c r="D659" s="99" t="s">
        <v>4</v>
      </c>
      <c r="E659" s="100" t="s">
        <v>65</v>
      </c>
    </row>
    <row r="660" spans="3:17">
      <c r="C660" s="54"/>
      <c r="D660" s="82"/>
      <c r="E660" s="68"/>
      <c r="N660" s="352"/>
      <c r="O660" s="352"/>
      <c r="P660" s="352"/>
      <c r="Q660" s="352"/>
    </row>
    <row r="661" spans="3:17">
      <c r="C661" s="54" t="s">
        <v>27</v>
      </c>
      <c r="D661" s="95">
        <f>D651</f>
        <v>259267.83600000001</v>
      </c>
      <c r="E661" s="96">
        <f>E651</f>
        <v>326.35294798852016</v>
      </c>
      <c r="N661" s="159"/>
      <c r="O661" s="159"/>
      <c r="P661" s="160"/>
      <c r="Q661" s="160"/>
    </row>
    <row r="662" spans="3:17" ht="13.5" thickBot="1">
      <c r="C662" s="92" t="s">
        <v>28</v>
      </c>
      <c r="D662" s="98">
        <f>SUM(D661:D661)</f>
        <v>259267.83600000001</v>
      </c>
      <c r="E662" s="98">
        <f>SUM(E661:E661)</f>
        <v>326.35294798852016</v>
      </c>
      <c r="I662" s="156"/>
      <c r="J662" s="352"/>
      <c r="K662" s="352"/>
      <c r="L662" s="352"/>
      <c r="M662" s="352"/>
      <c r="N662" s="161"/>
      <c r="O662" s="162"/>
      <c r="P662" s="160"/>
      <c r="Q662" s="160"/>
    </row>
    <row r="663" spans="3:17">
      <c r="I663" s="158"/>
      <c r="J663" s="159"/>
      <c r="K663" s="159"/>
      <c r="L663" s="160"/>
      <c r="M663" s="160"/>
      <c r="N663" s="163"/>
      <c r="O663" s="162"/>
      <c r="P663" s="157"/>
      <c r="Q663" s="157"/>
    </row>
    <row r="664" spans="3:17" ht="13.5" thickBot="1">
      <c r="I664" s="158"/>
      <c r="J664" s="161"/>
      <c r="K664" s="162"/>
      <c r="L664" s="160"/>
      <c r="M664" s="160"/>
      <c r="N664" s="163"/>
      <c r="O664" s="162"/>
      <c r="P664" s="160"/>
      <c r="Q664" s="160"/>
    </row>
    <row r="665" spans="3:17">
      <c r="C665" s="85" t="s">
        <v>124</v>
      </c>
      <c r="D665" s="99" t="s">
        <v>4</v>
      </c>
      <c r="E665" s="86" t="s">
        <v>65</v>
      </c>
      <c r="I665" s="158"/>
      <c r="J665" s="163"/>
      <c r="K665" s="162"/>
      <c r="L665" s="157"/>
      <c r="M665" s="157"/>
      <c r="N665" s="163"/>
      <c r="O665" s="162"/>
      <c r="P665" s="160"/>
      <c r="Q665" s="160"/>
    </row>
    <row r="666" spans="3:17">
      <c r="C666" s="87"/>
      <c r="D666" s="102"/>
      <c r="E666" s="97"/>
      <c r="I666" s="158"/>
      <c r="J666" s="163"/>
      <c r="K666" s="162"/>
      <c r="L666" s="160"/>
      <c r="M666" s="160"/>
      <c r="N666" s="170"/>
      <c r="O666" s="171"/>
      <c r="P666" s="165"/>
      <c r="Q666" s="165"/>
    </row>
    <row r="667" spans="3:17">
      <c r="C667" s="87">
        <v>2023</v>
      </c>
      <c r="D667" s="191">
        <f>D647</f>
        <v>288460.02100000001</v>
      </c>
      <c r="E667" s="97">
        <f>D667*$J$636</f>
        <v>363.09856125069228</v>
      </c>
      <c r="I667" s="168"/>
      <c r="J667" s="169"/>
      <c r="K667" s="162"/>
      <c r="L667" s="160"/>
      <c r="M667" s="160"/>
      <c r="N667" s="163"/>
      <c r="O667" s="162"/>
      <c r="P667" s="157"/>
      <c r="Q667" s="157"/>
    </row>
    <row r="668" spans="3:17">
      <c r="C668" s="87">
        <f>+C667+1</f>
        <v>2024</v>
      </c>
      <c r="D668" s="191">
        <v>0</v>
      </c>
      <c r="E668" s="97">
        <f>D668*$J$636</f>
        <v>0</v>
      </c>
      <c r="I668" s="168"/>
      <c r="J668" s="170"/>
      <c r="K668" s="171"/>
      <c r="L668" s="165"/>
      <c r="M668" s="165"/>
    </row>
    <row r="669" spans="3:17">
      <c r="C669" s="87">
        <f t="shared" ref="C669:C671" si="11">+C668+1</f>
        <v>2025</v>
      </c>
      <c r="D669" s="191">
        <v>0</v>
      </c>
      <c r="E669" s="97">
        <f>D669*$J$636</f>
        <v>0</v>
      </c>
      <c r="I669" s="158"/>
      <c r="J669" s="163"/>
      <c r="K669" s="162"/>
      <c r="L669" s="157"/>
      <c r="M669" s="157"/>
    </row>
    <row r="670" spans="3:17">
      <c r="C670" s="87">
        <f t="shared" si="11"/>
        <v>2026</v>
      </c>
      <c r="D670" s="191">
        <f>D642</f>
        <v>40455.672999999995</v>
      </c>
      <c r="E670" s="97">
        <f>D670*$J$636</f>
        <v>50.923509642011972</v>
      </c>
    </row>
    <row r="671" spans="3:17">
      <c r="C671" s="87">
        <f t="shared" si="11"/>
        <v>2027</v>
      </c>
      <c r="D671" s="191">
        <v>0</v>
      </c>
      <c r="E671" s="97">
        <f>D671*$J$636</f>
        <v>0</v>
      </c>
    </row>
    <row r="672" spans="3:17">
      <c r="C672" s="174" t="s">
        <v>94</v>
      </c>
      <c r="D672" s="191">
        <f>D643+D644+D645+D646+D648</f>
        <v>731933.81500000006</v>
      </c>
      <c r="E672" s="97">
        <f>D672*$J$636</f>
        <v>921.32044584864809</v>
      </c>
    </row>
    <row r="673" spans="2:13" ht="13.5" thickBot="1">
      <c r="C673" s="174" t="s">
        <v>80</v>
      </c>
      <c r="D673" s="191">
        <f>D649</f>
        <v>-5111.2630000002682</v>
      </c>
      <c r="E673" s="97">
        <f>D673*$J$636</f>
        <v>-6.4337936156289555</v>
      </c>
      <c r="J673" s="143"/>
    </row>
    <row r="674" spans="2:13" ht="13.5" thickBot="1">
      <c r="C674" s="88" t="s">
        <v>56</v>
      </c>
      <c r="D674" s="105">
        <f>SUM(D666:D673)</f>
        <v>1055738.2459999998</v>
      </c>
      <c r="E674" s="105">
        <f>SUM(E666:E673)</f>
        <v>1328.9087231257236</v>
      </c>
    </row>
    <row r="675" spans="2:13" ht="13.5" thickBot="1">
      <c r="C675" s="87" t="s">
        <v>57</v>
      </c>
      <c r="D675" s="175">
        <f>+D640+D641</f>
        <v>33691.816999999995</v>
      </c>
      <c r="E675" s="97">
        <f>D675*$J$636</f>
        <v>42.409517395901503</v>
      </c>
    </row>
    <row r="676" spans="2:13" ht="13.5" thickBot="1">
      <c r="C676" s="88" t="s">
        <v>58</v>
      </c>
      <c r="D676" s="105">
        <f>+D674+D675</f>
        <v>1089430.0629999998</v>
      </c>
      <c r="E676" s="105">
        <f>+E674+E675</f>
        <v>1371.3182405216251</v>
      </c>
    </row>
    <row r="677" spans="2:13">
      <c r="C677" s="189"/>
      <c r="D677" s="113"/>
      <c r="E677" s="113"/>
    </row>
    <row r="682" spans="2:13" ht="12.75" customHeight="1"/>
    <row r="683" spans="2:13">
      <c r="B683" s="48" t="s">
        <v>125</v>
      </c>
      <c r="I683" s="48" t="s">
        <v>39</v>
      </c>
      <c r="J683" s="67">
        <f>Model!AK193</f>
        <v>1.1795234725171032E-3</v>
      </c>
      <c r="K683" s="67"/>
    </row>
    <row r="684" spans="2:13">
      <c r="C684" s="110"/>
      <c r="D684" s="350" t="s">
        <v>126</v>
      </c>
      <c r="E684" s="351"/>
      <c r="F684" s="78" t="s">
        <v>6</v>
      </c>
      <c r="G684" s="107" t="s">
        <v>7</v>
      </c>
      <c r="I684" s="48" t="s">
        <v>127</v>
      </c>
      <c r="J684" s="67">
        <f>Model!AK192</f>
        <v>1.1091613103509008E-3</v>
      </c>
      <c r="K684" s="67"/>
    </row>
    <row r="685" spans="2:13">
      <c r="C685" s="111"/>
      <c r="D685" s="128" t="s">
        <v>4</v>
      </c>
      <c r="E685" s="129" t="s">
        <v>5</v>
      </c>
      <c r="F685" s="79"/>
      <c r="G685" s="108"/>
    </row>
    <row r="686" spans="2:13">
      <c r="C686" s="111"/>
      <c r="D686" s="128"/>
      <c r="E686" s="129"/>
      <c r="F686" s="79"/>
      <c r="G686" s="108"/>
    </row>
    <row r="687" spans="2:13">
      <c r="C687" s="149" t="s">
        <v>42</v>
      </c>
      <c r="D687" s="101">
        <f>13366.211+688.8</f>
        <v>14055.010999999999</v>
      </c>
      <c r="E687" s="73">
        <f>D687*$J$683</f>
        <v>16.57821538098608</v>
      </c>
      <c r="F687" s="79"/>
      <c r="G687" s="108"/>
      <c r="I687" s="158"/>
      <c r="J687" s="163"/>
      <c r="K687" s="162"/>
      <c r="L687" s="160"/>
      <c r="M687" s="160"/>
    </row>
    <row r="688" spans="2:13">
      <c r="C688" s="149" t="s">
        <v>43</v>
      </c>
      <c r="D688" s="101">
        <f>15892.629+7100.579</f>
        <v>22993.207999999999</v>
      </c>
      <c r="E688" s="73">
        <f>D688*$J$683</f>
        <v>27.121028544468036</v>
      </c>
      <c r="F688" s="79"/>
      <c r="G688" s="108"/>
      <c r="I688" s="176" t="s">
        <v>84</v>
      </c>
      <c r="J688" s="192">
        <v>1180</v>
      </c>
      <c r="K688" s="57"/>
      <c r="L688" s="165"/>
      <c r="M688" s="165"/>
    </row>
    <row r="689" spans="3:13">
      <c r="C689" s="149" t="s">
        <v>44</v>
      </c>
      <c r="D689" s="101">
        <f>10513.47+28795.438</f>
        <v>39308.907999999996</v>
      </c>
      <c r="E689" s="73">
        <f>D689*$J$683</f>
        <v>46.365779665015332</v>
      </c>
      <c r="F689" s="79"/>
      <c r="G689" s="108"/>
      <c r="I689" s="184" t="s">
        <v>11</v>
      </c>
      <c r="J689" s="193">
        <v>731</v>
      </c>
      <c r="K689" s="157"/>
      <c r="L689" s="157"/>
      <c r="M689" s="157"/>
    </row>
    <row r="690" spans="3:13">
      <c r="C690" s="149" t="s">
        <v>45</v>
      </c>
      <c r="D690" s="101">
        <f>5427.888+38302.888</f>
        <v>43730.775999999998</v>
      </c>
      <c r="E690" s="73">
        <f>D690*$J$683</f>
        <v>51.581476763387592</v>
      </c>
      <c r="F690" s="79"/>
      <c r="G690" s="108"/>
      <c r="I690" s="178" t="s">
        <v>75</v>
      </c>
      <c r="J690" s="179">
        <f>E702</f>
        <v>515.2165202710969</v>
      </c>
      <c r="K690" s="159"/>
      <c r="L690" s="160"/>
      <c r="M690" s="160"/>
    </row>
    <row r="691" spans="3:13">
      <c r="C691" s="149" t="s">
        <v>46</v>
      </c>
      <c r="D691" s="101">
        <f>-1967.995+140443.92</f>
        <v>138475.92500000002</v>
      </c>
      <c r="E691" s="73">
        <f>D691*$J$683</f>
        <v>163.33560391601796</v>
      </c>
      <c r="F691" s="79"/>
      <c r="G691" s="108"/>
      <c r="I691" s="180" t="s">
        <v>76</v>
      </c>
      <c r="J691" s="181">
        <f>J688/J690</f>
        <v>2.2902992306595817</v>
      </c>
      <c r="K691" s="159"/>
      <c r="L691" s="160"/>
      <c r="M691" s="160"/>
    </row>
    <row r="692" spans="3:13">
      <c r="C692" s="149" t="s">
        <v>47</v>
      </c>
      <c r="D692" s="101">
        <f>1304.513+105332.951</f>
        <v>106637.46400000001</v>
      </c>
      <c r="E692" s="73">
        <f>D692*$J$683</f>
        <v>125.78139183769758</v>
      </c>
      <c r="F692" s="79"/>
      <c r="G692" s="108"/>
      <c r="I692" s="182" t="s">
        <v>13</v>
      </c>
      <c r="J692" s="183">
        <f>J689/J690</f>
        <v>1.4188209640780969</v>
      </c>
      <c r="K692" s="162"/>
      <c r="L692" s="160"/>
      <c r="M692" s="160"/>
    </row>
    <row r="693" spans="3:13">
      <c r="C693" s="149" t="s">
        <v>48</v>
      </c>
      <c r="D693" s="101">
        <f>1491.144+200132.586</f>
        <v>201623.73</v>
      </c>
      <c r="E693" s="73">
        <f>D693*$J$683</f>
        <v>237.81992215145084</v>
      </c>
      <c r="F693" s="79"/>
      <c r="G693" s="108"/>
      <c r="K693" s="162"/>
      <c r="L693" s="157"/>
      <c r="M693" s="157"/>
    </row>
    <row r="694" spans="3:13">
      <c r="C694" s="149" t="s">
        <v>117</v>
      </c>
      <c r="D694" s="101">
        <f>316293.761+0</f>
        <v>316293.761</v>
      </c>
      <c r="E694" s="73">
        <f>D694*$J$683</f>
        <v>373.07591531021467</v>
      </c>
      <c r="F694" s="79"/>
      <c r="G694" s="108"/>
      <c r="I694" s="158"/>
      <c r="J694" s="163"/>
      <c r="K694" s="162"/>
      <c r="L694" s="160"/>
      <c r="M694" s="160"/>
    </row>
    <row r="695" spans="3:13">
      <c r="C695" s="149" t="s">
        <v>50</v>
      </c>
      <c r="D695" s="101">
        <f>4479.358+256758</f>
        <v>261237.35800000001</v>
      </c>
      <c r="E695" s="73">
        <f>D695*$J$683</f>
        <v>308.13559565935367</v>
      </c>
      <c r="F695" s="79"/>
      <c r="G695" s="108"/>
      <c r="K695" s="162"/>
      <c r="L695" s="160"/>
      <c r="M695" s="160"/>
    </row>
    <row r="696" spans="3:13">
      <c r="C696" s="149" t="s">
        <v>51</v>
      </c>
      <c r="D696" s="173">
        <f>+Model!AK109-SUM(D687:D695)</f>
        <v>-3171.7820000001229</v>
      </c>
      <c r="E696" s="73">
        <f>D696*$J$683</f>
        <v>-3.7411913187073873</v>
      </c>
      <c r="F696" s="79"/>
      <c r="G696" s="108"/>
      <c r="K696" s="162"/>
      <c r="L696" s="160"/>
      <c r="M696" s="160"/>
    </row>
    <row r="697" spans="3:13">
      <c r="C697" s="130" t="s">
        <v>19</v>
      </c>
      <c r="D697" s="116">
        <f>SUM(D687:D696)</f>
        <v>1141184.3589999999</v>
      </c>
      <c r="E697" s="117">
        <f>SUM(E687:E696)</f>
        <v>1346.0537379098841</v>
      </c>
      <c r="F697" s="118">
        <f>+D697/D702</f>
        <v>2.4567487438375921</v>
      </c>
      <c r="G697" s="119">
        <f>+E697/E702</f>
        <v>2.6125981697978489</v>
      </c>
      <c r="I697" s="166"/>
      <c r="J697" s="56"/>
      <c r="K697" s="162"/>
      <c r="L697" s="167"/>
      <c r="M697" s="167"/>
    </row>
    <row r="698" spans="3:13">
      <c r="C698" s="131" t="s">
        <v>20</v>
      </c>
      <c r="D698" s="120">
        <f>Model!AK111</f>
        <v>291681.98700000002</v>
      </c>
      <c r="E698" s="73">
        <f>D698*$J$683</f>
        <v>344.04575017692855</v>
      </c>
      <c r="F698" s="121"/>
      <c r="G698" s="122"/>
      <c r="I698" s="166"/>
      <c r="J698" s="56"/>
      <c r="K698" s="162"/>
      <c r="L698" s="167"/>
      <c r="M698" s="167"/>
    </row>
    <row r="699" spans="3:13">
      <c r="C699" s="130" t="s">
        <v>21</v>
      </c>
      <c r="D699" s="116">
        <f>+D697-D698</f>
        <v>849502.37199999997</v>
      </c>
      <c r="E699" s="117">
        <f>+E697-E698</f>
        <v>1002.0079877329556</v>
      </c>
      <c r="F699" s="118">
        <f>+D699/D702</f>
        <v>1.8288139587952896</v>
      </c>
      <c r="G699" s="119">
        <f>+E699/E702</f>
        <v>1.9448289181521556</v>
      </c>
      <c r="I699" s="164"/>
      <c r="J699" s="57"/>
      <c r="K699" s="57"/>
      <c r="L699" s="165"/>
      <c r="M699" s="165"/>
    </row>
    <row r="700" spans="3:13">
      <c r="C700" s="132" t="s">
        <v>22</v>
      </c>
      <c r="D700" s="123">
        <f>Model!AK118</f>
        <v>883402.652</v>
      </c>
      <c r="E700" s="73">
        <f>D700*$J$683</f>
        <v>1041.9941637178581</v>
      </c>
      <c r="F700" s="112"/>
      <c r="G700" s="109"/>
      <c r="I700" s="164"/>
      <c r="J700" s="57"/>
      <c r="K700" s="57"/>
      <c r="L700" s="165"/>
      <c r="M700" s="165"/>
    </row>
    <row r="701" spans="3:13">
      <c r="C701" s="130" t="s">
        <v>23</v>
      </c>
      <c r="D701" s="116">
        <f>D697+D700</f>
        <v>2024587.0109999999</v>
      </c>
      <c r="E701" s="117">
        <f>E697+E700</f>
        <v>2388.0479016277422</v>
      </c>
      <c r="F701" s="118">
        <f>D701/D702</f>
        <v>4.3585434350175456</v>
      </c>
      <c r="G701" s="119">
        <f>E701/E702</f>
        <v>4.6350375185391917</v>
      </c>
      <c r="I701" s="166"/>
      <c r="J701" s="30"/>
      <c r="K701" s="162"/>
    </row>
    <row r="702" spans="3:13">
      <c r="C702" s="133" t="s">
        <v>24</v>
      </c>
      <c r="D702" s="124">
        <f>Model!AK87</f>
        <v>464510</v>
      </c>
      <c r="E702" s="125">
        <f>D702*$J$684</f>
        <v>515.2165202710969</v>
      </c>
      <c r="F702" s="126"/>
      <c r="G702" s="127"/>
    </row>
    <row r="704" spans="3:13">
      <c r="C704" s="80" t="s">
        <v>25</v>
      </c>
      <c r="D704" s="172">
        <f>D697-Model!AK114</f>
        <v>0</v>
      </c>
      <c r="E704" s="81"/>
    </row>
    <row r="705" spans="3:17" ht="13.5" thickBot="1">
      <c r="D705" s="103"/>
      <c r="E705" s="103"/>
      <c r="F705" s="188"/>
      <c r="G705" s="188"/>
    </row>
    <row r="706" spans="3:17">
      <c r="C706" s="53" t="s">
        <v>128</v>
      </c>
      <c r="D706" s="99" t="s">
        <v>4</v>
      </c>
      <c r="E706" s="100" t="s">
        <v>65</v>
      </c>
      <c r="N706" s="352"/>
      <c r="O706" s="352"/>
      <c r="P706" s="352"/>
      <c r="Q706" s="352"/>
    </row>
    <row r="707" spans="3:17">
      <c r="C707" s="54"/>
      <c r="D707" s="82"/>
      <c r="E707" s="68"/>
      <c r="N707" s="159"/>
      <c r="O707" s="159"/>
      <c r="P707" s="160"/>
      <c r="Q707" s="160"/>
    </row>
    <row r="708" spans="3:17">
      <c r="C708" s="54" t="s">
        <v>27</v>
      </c>
      <c r="D708" s="95">
        <f>D698</f>
        <v>291681.98700000002</v>
      </c>
      <c r="E708" s="96">
        <f>E698</f>
        <v>344.04575017692855</v>
      </c>
      <c r="N708" s="161"/>
      <c r="O708" s="162"/>
      <c r="P708" s="160"/>
      <c r="Q708" s="160"/>
    </row>
    <row r="709" spans="3:17" ht="13.5" thickBot="1">
      <c r="C709" s="92" t="s">
        <v>28</v>
      </c>
      <c r="D709" s="98">
        <f>SUM(D708:D708)</f>
        <v>291681.98700000002</v>
      </c>
      <c r="E709" s="98">
        <f>SUM(E708:E708)</f>
        <v>344.04575017692855</v>
      </c>
      <c r="I709" s="156"/>
      <c r="J709" s="352"/>
      <c r="K709" s="352"/>
      <c r="L709" s="352"/>
      <c r="M709" s="352"/>
      <c r="N709" s="163"/>
      <c r="O709" s="162"/>
      <c r="P709" s="157"/>
      <c r="Q709" s="157"/>
    </row>
    <row r="710" spans="3:17">
      <c r="I710" s="158"/>
      <c r="J710" s="159"/>
      <c r="K710" s="159"/>
      <c r="L710" s="160"/>
      <c r="M710" s="160"/>
      <c r="N710" s="163"/>
      <c r="O710" s="162"/>
      <c r="P710" s="160"/>
      <c r="Q710" s="160"/>
    </row>
    <row r="711" spans="3:17" ht="13.5" thickBot="1">
      <c r="I711" s="158"/>
      <c r="J711" s="161"/>
      <c r="K711" s="162"/>
      <c r="L711" s="160"/>
      <c r="M711" s="160"/>
      <c r="N711" s="163"/>
      <c r="O711" s="162"/>
      <c r="P711" s="160"/>
      <c r="Q711" s="160"/>
    </row>
    <row r="712" spans="3:17">
      <c r="C712" s="85" t="s">
        <v>129</v>
      </c>
      <c r="D712" s="99" t="s">
        <v>4</v>
      </c>
      <c r="E712" s="86" t="s">
        <v>65</v>
      </c>
      <c r="I712" s="158"/>
      <c r="J712" s="163"/>
      <c r="K712" s="162"/>
      <c r="L712" s="157"/>
      <c r="M712" s="157"/>
      <c r="N712" s="170"/>
      <c r="O712" s="171"/>
      <c r="P712" s="165"/>
      <c r="Q712" s="165"/>
    </row>
    <row r="713" spans="3:17">
      <c r="C713" s="87"/>
      <c r="D713" s="102"/>
      <c r="E713" s="97"/>
      <c r="I713" s="158"/>
      <c r="J713" s="163"/>
      <c r="K713" s="162"/>
      <c r="L713" s="160"/>
      <c r="M713" s="160"/>
      <c r="N713" s="163"/>
      <c r="O713" s="162"/>
      <c r="P713" s="157"/>
      <c r="Q713" s="157"/>
    </row>
    <row r="714" spans="3:17">
      <c r="C714" s="87">
        <v>2021</v>
      </c>
      <c r="D714" s="191"/>
      <c r="E714" s="97">
        <f>D714*J683</f>
        <v>0</v>
      </c>
      <c r="I714" s="168"/>
      <c r="J714" s="169"/>
      <c r="K714" s="162"/>
      <c r="L714" s="160"/>
      <c r="M714" s="160"/>
    </row>
    <row r="715" spans="3:17">
      <c r="C715" s="87">
        <f>+C714+1</f>
        <v>2022</v>
      </c>
      <c r="D715" s="191"/>
      <c r="E715" s="97">
        <f>D715*J684</f>
        <v>0</v>
      </c>
      <c r="I715" s="168"/>
      <c r="J715" s="170"/>
      <c r="K715" s="171"/>
      <c r="L715" s="165"/>
      <c r="M715" s="165"/>
    </row>
    <row r="716" spans="3:17">
      <c r="C716" s="87">
        <f t="shared" ref="C716:C718" si="12">+C715+1</f>
        <v>2023</v>
      </c>
      <c r="D716" s="191"/>
      <c r="E716" s="97">
        <f>D716*J685</f>
        <v>0</v>
      </c>
      <c r="I716" s="158"/>
      <c r="J716" s="163"/>
      <c r="K716" s="162"/>
      <c r="L716" s="157"/>
      <c r="M716" s="157"/>
    </row>
    <row r="717" spans="3:17">
      <c r="C717" s="87">
        <f t="shared" si="12"/>
        <v>2024</v>
      </c>
      <c r="D717" s="191"/>
      <c r="E717" s="97">
        <f>D717*J686</f>
        <v>0</v>
      </c>
    </row>
    <row r="718" spans="3:17">
      <c r="C718" s="87">
        <f t="shared" si="12"/>
        <v>2025</v>
      </c>
      <c r="D718" s="191"/>
      <c r="E718" s="97">
        <f>D718*J687</f>
        <v>0</v>
      </c>
    </row>
    <row r="719" spans="3:17" ht="13.5" thickBot="1">
      <c r="C719" s="174" t="s">
        <v>130</v>
      </c>
      <c r="D719" s="191"/>
      <c r="E719" s="97">
        <f>D719*J688</f>
        <v>0</v>
      </c>
      <c r="J719" s="143"/>
    </row>
    <row r="720" spans="3:17" ht="13.5" thickBot="1">
      <c r="C720" s="88" t="s">
        <v>56</v>
      </c>
      <c r="D720" s="105">
        <f>SUM(D713:D719)</f>
        <v>0</v>
      </c>
      <c r="E720" s="105">
        <f>SUM(E713:E719)</f>
        <v>0</v>
      </c>
    </row>
    <row r="721" spans="2:13" ht="13.5" thickBot="1">
      <c r="C721" s="87" t="s">
        <v>57</v>
      </c>
      <c r="D721" s="175">
        <f>+D687+D688</f>
        <v>37048.218999999997</v>
      </c>
      <c r="E721" s="97">
        <f>D721*$J$683</f>
        <v>43.69924392545412</v>
      </c>
    </row>
    <row r="722" spans="2:13" ht="13.5" thickBot="1">
      <c r="C722" s="88" t="s">
        <v>58</v>
      </c>
      <c r="D722" s="105">
        <f>+D720+D721</f>
        <v>37048.218999999997</v>
      </c>
      <c r="E722" s="105">
        <f>+E720+E721</f>
        <v>43.69924392545412</v>
      </c>
    </row>
    <row r="723" spans="2:13">
      <c r="C723" s="189"/>
      <c r="D723" s="113"/>
      <c r="E723" s="113"/>
    </row>
    <row r="724" spans="2:13" ht="12.75" customHeight="1"/>
    <row r="729" spans="2:13">
      <c r="B729" s="48" t="s">
        <v>131</v>
      </c>
      <c r="I729" s="48" t="s">
        <v>39</v>
      </c>
      <c r="J729" s="67">
        <f>Model!AJ193</f>
        <v>1.0387991481846984E-3</v>
      </c>
      <c r="K729" s="67"/>
    </row>
    <row r="730" spans="2:13">
      <c r="C730" s="110"/>
      <c r="D730" s="350" t="s">
        <v>132</v>
      </c>
      <c r="E730" s="351"/>
      <c r="F730" s="78" t="s">
        <v>6</v>
      </c>
      <c r="G730" s="107" t="s">
        <v>7</v>
      </c>
      <c r="I730" s="48" t="s">
        <v>133</v>
      </c>
      <c r="J730" s="67">
        <f>AVERAGE(Model!AG193:AJ193)</f>
        <v>1.1427548753008972E-3</v>
      </c>
      <c r="K730" s="67"/>
    </row>
    <row r="731" spans="2:13">
      <c r="C731" s="111"/>
      <c r="D731" s="128" t="s">
        <v>4</v>
      </c>
      <c r="E731" s="129" t="s">
        <v>5</v>
      </c>
      <c r="F731" s="79"/>
      <c r="G731" s="108"/>
    </row>
    <row r="732" spans="2:13">
      <c r="C732" s="111"/>
      <c r="D732" s="128"/>
      <c r="E732" s="129"/>
      <c r="F732" s="79"/>
      <c r="G732" s="108"/>
    </row>
    <row r="733" spans="2:13">
      <c r="C733" s="149" t="s">
        <v>42</v>
      </c>
      <c r="D733" s="101">
        <f>5005.265+13441.001</f>
        <v>18446.266</v>
      </c>
      <c r="E733" s="73">
        <f>D733*$J$729</f>
        <v>19.161965407988365</v>
      </c>
      <c r="F733" s="79"/>
      <c r="G733" s="108"/>
      <c r="I733" s="158"/>
      <c r="J733" s="163"/>
      <c r="K733" s="162"/>
      <c r="L733" s="160"/>
      <c r="M733" s="160"/>
    </row>
    <row r="734" spans="2:13">
      <c r="C734" s="149" t="s">
        <v>43</v>
      </c>
      <c r="D734" s="101">
        <f>6759.54+16068.182</f>
        <v>22827.722000000002</v>
      </c>
      <c r="E734" s="73">
        <f t="shared" ref="E734:E742" si="13">D734*$J$729</f>
        <v>23.713418168597101</v>
      </c>
      <c r="F734" s="79"/>
      <c r="G734" s="108"/>
      <c r="I734" s="176" t="s">
        <v>84</v>
      </c>
      <c r="J734" s="192">
        <v>1010</v>
      </c>
      <c r="K734" s="57"/>
      <c r="L734" s="165"/>
      <c r="M734" s="165"/>
    </row>
    <row r="735" spans="2:13">
      <c r="C735" s="149" t="s">
        <v>44</v>
      </c>
      <c r="D735" s="101">
        <f>10653.621+33203.722</f>
        <v>43857.343000000001</v>
      </c>
      <c r="E735" s="73">
        <f t="shared" si="13"/>
        <v>45.558970550044144</v>
      </c>
      <c r="F735" s="79"/>
      <c r="G735" s="108"/>
      <c r="I735" s="184" t="s">
        <v>11</v>
      </c>
      <c r="J735" s="193">
        <v>663</v>
      </c>
      <c r="K735" s="157"/>
      <c r="L735" s="157"/>
      <c r="M735" s="157"/>
    </row>
    <row r="736" spans="2:13">
      <c r="C736" s="149" t="s">
        <v>45</v>
      </c>
      <c r="D736" s="101">
        <f>4879.737+37372.615</f>
        <v>42252.351999999999</v>
      </c>
      <c r="E736" s="73">
        <f t="shared" si="13"/>
        <v>43.89170726640004</v>
      </c>
      <c r="F736" s="79"/>
      <c r="G736" s="108"/>
      <c r="I736" s="178" t="s">
        <v>75</v>
      </c>
      <c r="J736" s="179">
        <f>E748</f>
        <v>520.94195122904353</v>
      </c>
      <c r="K736" s="159"/>
      <c r="L736" s="160"/>
      <c r="M736" s="160"/>
    </row>
    <row r="737" spans="3:17">
      <c r="C737" s="149" t="s">
        <v>46</v>
      </c>
      <c r="D737" s="101">
        <f>630.512+137032.92</f>
        <v>137663.432</v>
      </c>
      <c r="E737" s="73">
        <f t="shared" si="13"/>
        <v>143.00465589778216</v>
      </c>
      <c r="F737" s="79"/>
      <c r="G737" s="108"/>
      <c r="I737" s="180" t="s">
        <v>76</v>
      </c>
      <c r="J737" s="181">
        <f>J734/J736</f>
        <v>1.9387956712204417</v>
      </c>
      <c r="K737" s="159"/>
      <c r="L737" s="160"/>
      <c r="M737" s="160"/>
    </row>
    <row r="738" spans="3:17">
      <c r="C738" s="149" t="s">
        <v>47</v>
      </c>
      <c r="D738" s="101">
        <f>318.208+102774.7</f>
        <v>103092.908</v>
      </c>
      <c r="E738" s="73">
        <f t="shared" si="13"/>
        <v>107.09282501428348</v>
      </c>
      <c r="F738" s="79"/>
      <c r="G738" s="108"/>
      <c r="I738" s="182" t="s">
        <v>13</v>
      </c>
      <c r="J738" s="183">
        <f>J735/J736</f>
        <v>1.2726945841773789</v>
      </c>
      <c r="K738" s="162"/>
      <c r="L738" s="160"/>
      <c r="M738" s="160"/>
    </row>
    <row r="739" spans="3:17">
      <c r="C739" s="149" t="s">
        <v>48</v>
      </c>
      <c r="D739" s="101">
        <f>73.773+195271.911</f>
        <v>195345.68399999998</v>
      </c>
      <c r="E739" s="73">
        <f t="shared" si="13"/>
        <v>202.92493014075725</v>
      </c>
      <c r="F739" s="79"/>
      <c r="G739" s="108"/>
      <c r="K739" s="162"/>
      <c r="L739" s="157"/>
      <c r="M739" s="157"/>
    </row>
    <row r="740" spans="3:17">
      <c r="C740" s="149" t="s">
        <v>117</v>
      </c>
      <c r="D740" s="101">
        <f>350487.6</f>
        <v>350487.6</v>
      </c>
      <c r="E740" s="73">
        <f t="shared" si="13"/>
        <v>364.08622032929929</v>
      </c>
      <c r="F740" s="79"/>
      <c r="G740" s="108"/>
      <c r="I740" s="158"/>
      <c r="J740" s="163"/>
      <c r="K740" s="162"/>
      <c r="L740" s="160"/>
      <c r="M740" s="160"/>
    </row>
    <row r="741" spans="3:17">
      <c r="C741" s="149" t="s">
        <v>50</v>
      </c>
      <c r="D741" s="101">
        <f>2132.802+288072</f>
        <v>290204.80200000003</v>
      </c>
      <c r="E741" s="73">
        <f t="shared" si="13"/>
        <v>301.46450111670907</v>
      </c>
      <c r="F741" s="79"/>
      <c r="G741" s="108"/>
      <c r="K741" s="162"/>
      <c r="L741" s="160"/>
      <c r="M741" s="160"/>
    </row>
    <row r="742" spans="3:17">
      <c r="C742" s="149" t="s">
        <v>51</v>
      </c>
      <c r="D742" s="173">
        <f>+Model!AJ109-SUM(D733:D741)</f>
        <v>-8110.1939999999013</v>
      </c>
      <c r="E742" s="73">
        <f t="shared" si="13"/>
        <v>-8.4248626188125488</v>
      </c>
      <c r="F742" s="79"/>
      <c r="G742" s="108"/>
      <c r="K742" s="162"/>
      <c r="L742" s="160"/>
      <c r="M742" s="160"/>
    </row>
    <row r="743" spans="3:17">
      <c r="C743" s="130" t="s">
        <v>19</v>
      </c>
      <c r="D743" s="116">
        <f>SUM(D733:D742)</f>
        <v>1196067.915</v>
      </c>
      <c r="E743" s="117">
        <f>SUM(E733:E742)</f>
        <v>1242.4743312730484</v>
      </c>
      <c r="F743" s="118">
        <f>+D743/D748</f>
        <v>2.6237327169227731</v>
      </c>
      <c r="G743" s="119">
        <f>+E743/E748</f>
        <v>2.3850533218561378</v>
      </c>
      <c r="I743" s="166"/>
      <c r="J743" s="56"/>
      <c r="K743" s="162"/>
      <c r="L743" s="167"/>
      <c r="M743" s="167"/>
    </row>
    <row r="744" spans="3:17">
      <c r="C744" s="131" t="s">
        <v>20</v>
      </c>
      <c r="D744" s="120">
        <f>Model!AJ111</f>
        <v>243637.24900000001</v>
      </c>
      <c r="E744" s="73">
        <f>D744*$J$729</f>
        <v>253.09016672726327</v>
      </c>
      <c r="F744" s="121"/>
      <c r="G744" s="122"/>
      <c r="I744" s="166"/>
      <c r="J744" s="56"/>
      <c r="K744" s="162"/>
      <c r="L744" s="167"/>
      <c r="M744" s="167"/>
    </row>
    <row r="745" spans="3:17">
      <c r="C745" s="130" t="s">
        <v>21</v>
      </c>
      <c r="D745" s="116">
        <f>+D743-D744</f>
        <v>952430.66599999997</v>
      </c>
      <c r="E745" s="117">
        <f>+E743-E744</f>
        <v>989.3841645457851</v>
      </c>
      <c r="F745" s="118">
        <f>+D745/D748</f>
        <v>2.0892822787448035</v>
      </c>
      <c r="G745" s="119">
        <f>+E745/E748</f>
        <v>1.8992215201934863</v>
      </c>
      <c r="I745" s="164"/>
      <c r="J745" s="57"/>
      <c r="K745" s="57"/>
      <c r="L745" s="165"/>
      <c r="M745" s="165"/>
    </row>
    <row r="746" spans="3:17">
      <c r="C746" s="132" t="s">
        <v>22</v>
      </c>
      <c r="D746" s="123">
        <f>Model!AJ118</f>
        <v>1002273.4889999999</v>
      </c>
      <c r="E746" s="73">
        <f>D746*$J$729</f>
        <v>1041.1608466213056</v>
      </c>
      <c r="F746" s="112"/>
      <c r="G746" s="109"/>
      <c r="I746" s="164"/>
      <c r="J746" s="57"/>
      <c r="K746" s="57"/>
      <c r="L746" s="165"/>
      <c r="M746" s="165"/>
    </row>
    <row r="747" spans="3:17">
      <c r="C747" s="130" t="s">
        <v>23</v>
      </c>
      <c r="D747" s="116">
        <f>D743+D746</f>
        <v>2198341.4040000001</v>
      </c>
      <c r="E747" s="117">
        <f>E743+E746</f>
        <v>2283.635177894354</v>
      </c>
      <c r="F747" s="118">
        <f>D747/D748</f>
        <v>4.8223518015201874</v>
      </c>
      <c r="G747" s="119">
        <f>E747/E748</f>
        <v>4.3836653441072242</v>
      </c>
      <c r="I747" s="166"/>
      <c r="J747" s="30"/>
      <c r="K747" s="162"/>
    </row>
    <row r="748" spans="3:17">
      <c r="C748" s="133" t="s">
        <v>24</v>
      </c>
      <c r="D748" s="124">
        <f>Model!AJ87</f>
        <v>455865</v>
      </c>
      <c r="E748" s="125">
        <f>D748*$J$730</f>
        <v>520.94195122904353</v>
      </c>
      <c r="F748" s="126"/>
      <c r="G748" s="127"/>
    </row>
    <row r="750" spans="3:17">
      <c r="C750" s="80" t="s">
        <v>25</v>
      </c>
      <c r="D750" s="172">
        <f>D743-Model!AJ114</f>
        <v>0</v>
      </c>
      <c r="E750" s="81"/>
    </row>
    <row r="751" spans="3:17" ht="13.5" thickBot="1">
      <c r="D751" s="103"/>
      <c r="E751" s="103"/>
      <c r="F751" s="188"/>
      <c r="G751" s="188"/>
    </row>
    <row r="752" spans="3:17">
      <c r="C752" s="53" t="s">
        <v>134</v>
      </c>
      <c r="D752" s="99" t="s">
        <v>4</v>
      </c>
      <c r="E752" s="100" t="s">
        <v>65</v>
      </c>
      <c r="N752" s="352"/>
      <c r="O752" s="352"/>
      <c r="P752" s="352"/>
      <c r="Q752" s="352"/>
    </row>
    <row r="753" spans="3:17">
      <c r="C753" s="54"/>
      <c r="D753" s="82"/>
      <c r="E753" s="68"/>
      <c r="N753" s="159"/>
      <c r="O753" s="159"/>
      <c r="P753" s="160"/>
      <c r="Q753" s="160"/>
    </row>
    <row r="754" spans="3:17">
      <c r="C754" s="54" t="s">
        <v>27</v>
      </c>
      <c r="D754" s="95">
        <f>D744</f>
        <v>243637.24900000001</v>
      </c>
      <c r="E754" s="96">
        <f>E744</f>
        <v>253.09016672726327</v>
      </c>
      <c r="N754" s="161"/>
      <c r="O754" s="162"/>
      <c r="P754" s="160"/>
      <c r="Q754" s="160"/>
    </row>
    <row r="755" spans="3:17" ht="13.5" thickBot="1">
      <c r="C755" s="92" t="s">
        <v>28</v>
      </c>
      <c r="D755" s="98">
        <f>SUM(D754:D754)</f>
        <v>243637.24900000001</v>
      </c>
      <c r="E755" s="98">
        <f>SUM(E754:E754)</f>
        <v>253.09016672726327</v>
      </c>
      <c r="I755" s="156"/>
      <c r="J755" s="352"/>
      <c r="K755" s="352"/>
      <c r="L755" s="352"/>
      <c r="M755" s="352"/>
      <c r="N755" s="163"/>
      <c r="O755" s="162"/>
      <c r="P755" s="157"/>
      <c r="Q755" s="157"/>
    </row>
    <row r="756" spans="3:17">
      <c r="I756" s="158"/>
      <c r="J756" s="159"/>
      <c r="K756" s="159"/>
      <c r="L756" s="160"/>
      <c r="M756" s="160"/>
      <c r="N756" s="163"/>
      <c r="O756" s="162"/>
      <c r="P756" s="160"/>
      <c r="Q756" s="160"/>
    </row>
    <row r="757" spans="3:17" ht="13.5" thickBot="1">
      <c r="I757" s="158"/>
      <c r="J757" s="161"/>
      <c r="K757" s="162"/>
      <c r="L757" s="160"/>
      <c r="M757" s="160"/>
      <c r="N757" s="163"/>
      <c r="O757" s="162"/>
      <c r="P757" s="160"/>
      <c r="Q757" s="160"/>
    </row>
    <row r="758" spans="3:17">
      <c r="C758" s="85" t="s">
        <v>135</v>
      </c>
      <c r="D758" s="99" t="s">
        <v>4</v>
      </c>
      <c r="E758" s="86" t="s">
        <v>65</v>
      </c>
      <c r="I758" s="158"/>
      <c r="J758" s="163"/>
      <c r="K758" s="162"/>
      <c r="L758" s="157"/>
      <c r="M758" s="157"/>
      <c r="N758" s="170"/>
      <c r="O758" s="171"/>
      <c r="P758" s="165"/>
      <c r="Q758" s="165"/>
    </row>
    <row r="759" spans="3:17">
      <c r="C759" s="87"/>
      <c r="D759" s="102"/>
      <c r="E759" s="97"/>
      <c r="I759" s="158"/>
      <c r="J759" s="163"/>
      <c r="K759" s="162"/>
      <c r="L759" s="160"/>
      <c r="M759" s="160"/>
      <c r="N759" s="163"/>
      <c r="O759" s="162"/>
      <c r="P759" s="157"/>
      <c r="Q759" s="157"/>
    </row>
    <row r="760" spans="3:17">
      <c r="C760" s="87">
        <v>2021</v>
      </c>
      <c r="D760" s="191"/>
      <c r="E760" s="97">
        <f>D760*$J$729</f>
        <v>0</v>
      </c>
      <c r="I760" s="168"/>
      <c r="J760" s="169"/>
      <c r="K760" s="162"/>
      <c r="L760" s="160"/>
      <c r="M760" s="160"/>
    </row>
    <row r="761" spans="3:17">
      <c r="C761" s="87">
        <f>+C760+1</f>
        <v>2022</v>
      </c>
      <c r="D761" s="191"/>
      <c r="E761" s="97">
        <f t="shared" ref="E761:E765" si="14">D761*$J$729</f>
        <v>0</v>
      </c>
      <c r="I761" s="168"/>
      <c r="J761" s="170"/>
      <c r="K761" s="171"/>
      <c r="L761" s="165"/>
      <c r="M761" s="165"/>
    </row>
    <row r="762" spans="3:17">
      <c r="C762" s="87">
        <f t="shared" ref="C762:C764" si="15">+C761+1</f>
        <v>2023</v>
      </c>
      <c r="D762" s="191"/>
      <c r="E762" s="97">
        <f t="shared" si="14"/>
        <v>0</v>
      </c>
      <c r="I762" s="158"/>
      <c r="J762" s="163"/>
      <c r="K762" s="162"/>
      <c r="L762" s="157"/>
      <c r="M762" s="157"/>
    </row>
    <row r="763" spans="3:17">
      <c r="C763" s="87">
        <f t="shared" si="15"/>
        <v>2024</v>
      </c>
      <c r="D763" s="191"/>
      <c r="E763" s="97">
        <f t="shared" si="14"/>
        <v>0</v>
      </c>
    </row>
    <row r="764" spans="3:17">
      <c r="C764" s="87">
        <f t="shared" si="15"/>
        <v>2025</v>
      </c>
      <c r="D764" s="191"/>
      <c r="E764" s="97">
        <f t="shared" si="14"/>
        <v>0</v>
      </c>
    </row>
    <row r="765" spans="3:17" ht="13.5" thickBot="1">
      <c r="C765" s="174" t="s">
        <v>130</v>
      </c>
      <c r="D765" s="191"/>
      <c r="E765" s="97">
        <f t="shared" si="14"/>
        <v>0</v>
      </c>
      <c r="J765" s="143"/>
    </row>
    <row r="766" spans="3:17" ht="13.5" thickBot="1">
      <c r="C766" s="88" t="s">
        <v>56</v>
      </c>
      <c r="D766" s="105">
        <f>SUM(D759:D765)</f>
        <v>0</v>
      </c>
      <c r="E766" s="105">
        <f>SUM(E759:E765)</f>
        <v>0</v>
      </c>
    </row>
    <row r="767" spans="3:17" ht="12.75" customHeight="1" thickBot="1">
      <c r="C767" s="87" t="s">
        <v>57</v>
      </c>
      <c r="D767" s="175">
        <f>+D733+D734</f>
        <v>41273.987999999998</v>
      </c>
      <c r="E767" s="97">
        <f>D767*$J$775</f>
        <v>45.044186401833457</v>
      </c>
    </row>
    <row r="768" spans="3:17" ht="13.5" thickBot="1">
      <c r="C768" s="88" t="s">
        <v>58</v>
      </c>
      <c r="D768" s="105">
        <f>+D766+D767</f>
        <v>41273.987999999998</v>
      </c>
      <c r="E768" s="105">
        <f>+E766+E767</f>
        <v>45.044186401833457</v>
      </c>
    </row>
    <row r="769" spans="2:13">
      <c r="C769" s="189"/>
      <c r="D769" s="113"/>
      <c r="E769" s="113"/>
    </row>
    <row r="770" spans="2:13">
      <c r="C770" s="189"/>
      <c r="D770" s="113"/>
      <c r="E770" s="113"/>
    </row>
    <row r="771" spans="2:13">
      <c r="C771" s="189"/>
      <c r="D771" s="113"/>
      <c r="E771" s="113"/>
    </row>
    <row r="775" spans="2:13">
      <c r="B775" s="48" t="s">
        <v>136</v>
      </c>
      <c r="I775" s="48" t="s">
        <v>39</v>
      </c>
      <c r="J775" s="67">
        <f>Model!AI193</f>
        <v>1.0913456291607553E-3</v>
      </c>
      <c r="K775" s="67"/>
    </row>
    <row r="776" spans="2:13">
      <c r="C776" s="110"/>
      <c r="D776" s="350" t="s">
        <v>137</v>
      </c>
      <c r="E776" s="351"/>
      <c r="F776" s="78" t="s">
        <v>6</v>
      </c>
      <c r="G776" s="107" t="s">
        <v>7</v>
      </c>
      <c r="I776" s="48" t="s">
        <v>133</v>
      </c>
      <c r="J776" s="67">
        <f>AVERAGE(Model!AF192:AI192)</f>
        <v>1.2270776847332753E-3</v>
      </c>
      <c r="K776" s="67"/>
    </row>
    <row r="777" spans="2:13">
      <c r="C777" s="111"/>
      <c r="D777" s="128" t="s">
        <v>4</v>
      </c>
      <c r="E777" s="129" t="s">
        <v>5</v>
      </c>
      <c r="F777" s="79"/>
      <c r="G777" s="108"/>
    </row>
    <row r="778" spans="2:13">
      <c r="C778" s="111"/>
      <c r="D778" s="128"/>
      <c r="E778" s="129"/>
      <c r="F778" s="79"/>
      <c r="G778" s="108"/>
    </row>
    <row r="779" spans="2:13">
      <c r="C779" s="149" t="s">
        <v>42</v>
      </c>
      <c r="D779" s="101">
        <f>4000+5445.501</f>
        <v>9445.5010000000002</v>
      </c>
      <c r="E779" s="73">
        <f>D779*$J$775</f>
        <v>10.308306231583543</v>
      </c>
      <c r="F779" s="79"/>
      <c r="G779" s="108"/>
      <c r="I779" s="158"/>
      <c r="J779" s="163"/>
      <c r="K779" s="162"/>
      <c r="L779" s="160"/>
      <c r="M779" s="160"/>
    </row>
    <row r="780" spans="2:13">
      <c r="C780" s="149" t="s">
        <v>43</v>
      </c>
      <c r="D780" s="101">
        <f>8011.986+16910.868</f>
        <v>24922.853999999999</v>
      </c>
      <c r="E780" s="73">
        <f t="shared" ref="E780:E788" si="16">D780*$J$775</f>
        <v>27.199447779111644</v>
      </c>
      <c r="F780" s="79"/>
      <c r="G780" s="108"/>
      <c r="I780" s="176" t="s">
        <v>138</v>
      </c>
      <c r="J780" s="192">
        <v>913547</v>
      </c>
      <c r="K780" s="57"/>
      <c r="L780" s="165"/>
      <c r="M780" s="165"/>
    </row>
    <row r="781" spans="2:13">
      <c r="C781" s="149" t="s">
        <v>44</v>
      </c>
      <c r="D781" s="101">
        <f>9622.268+32068.379</f>
        <v>41690.646999999997</v>
      </c>
      <c r="E781" s="73">
        <f t="shared" si="16"/>
        <v>45.498905380333952</v>
      </c>
      <c r="F781" s="79"/>
      <c r="G781" s="108"/>
      <c r="I781" s="184" t="s">
        <v>139</v>
      </c>
      <c r="J781" s="193">
        <v>572673</v>
      </c>
      <c r="K781" s="157"/>
      <c r="L781" s="157"/>
      <c r="M781" s="157"/>
    </row>
    <row r="782" spans="2:13">
      <c r="C782" s="149" t="s">
        <v>45</v>
      </c>
      <c r="D782" s="101">
        <f>5148.477+38350.644</f>
        <v>43499.120999999999</v>
      </c>
      <c r="E782" s="73">
        <f t="shared" si="16"/>
        <v>47.472575575684822</v>
      </c>
      <c r="F782" s="79"/>
      <c r="G782" s="108"/>
      <c r="I782" s="178" t="s">
        <v>75</v>
      </c>
      <c r="J782" s="179">
        <f>D794</f>
        <v>441267</v>
      </c>
      <c r="K782" s="159"/>
      <c r="L782" s="160"/>
      <c r="M782" s="160"/>
    </row>
    <row r="783" spans="2:13">
      <c r="C783" s="149" t="s">
        <v>46</v>
      </c>
      <c r="D783" s="101">
        <f>1854.54+132347.32</f>
        <v>134201.86000000002</v>
      </c>
      <c r="E783" s="73">
        <f t="shared" si="16"/>
        <v>146.4606133362436</v>
      </c>
      <c r="F783" s="79"/>
      <c r="G783" s="108"/>
      <c r="I783" s="180" t="s">
        <v>76</v>
      </c>
      <c r="J783" s="181">
        <f>J780/J782</f>
        <v>2.0702817115261283</v>
      </c>
      <c r="K783" s="159"/>
      <c r="L783" s="160"/>
      <c r="M783" s="160"/>
    </row>
    <row r="784" spans="2:13">
      <c r="C784" s="149" t="s">
        <v>47</v>
      </c>
      <c r="D784" s="101">
        <f>1229.308+99260.5</f>
        <v>100489.808</v>
      </c>
      <c r="E784" s="73">
        <f t="shared" si="16"/>
        <v>109.6691127360035</v>
      </c>
      <c r="F784" s="79"/>
      <c r="G784" s="108"/>
      <c r="I784" s="182" t="s">
        <v>13</v>
      </c>
      <c r="J784" s="183">
        <f>J781/J782</f>
        <v>1.2977924929804403</v>
      </c>
      <c r="K784" s="162"/>
      <c r="L784" s="160"/>
      <c r="M784" s="160"/>
    </row>
    <row r="785" spans="3:17">
      <c r="C785" s="149" t="s">
        <v>48</v>
      </c>
      <c r="D785" s="101">
        <f>1382.268+188594.931</f>
        <v>189977.19900000002</v>
      </c>
      <c r="E785" s="73">
        <f t="shared" si="16"/>
        <v>207.33078576885302</v>
      </c>
      <c r="F785" s="79"/>
      <c r="G785" s="108"/>
      <c r="K785" s="162"/>
      <c r="L785" s="157"/>
      <c r="M785" s="157"/>
    </row>
    <row r="786" spans="3:17">
      <c r="C786" s="149" t="s">
        <v>117</v>
      </c>
      <c r="D786" s="101">
        <f>4182.9+340209.2</f>
        <v>344392.10000000003</v>
      </c>
      <c r="E786" s="73">
        <f t="shared" si="16"/>
        <v>375.85081305249378</v>
      </c>
      <c r="F786" s="79"/>
      <c r="G786" s="108"/>
      <c r="I786" s="158"/>
      <c r="J786" s="163"/>
      <c r="K786" s="162"/>
      <c r="L786" s="160"/>
      <c r="M786" s="160"/>
    </row>
    <row r="787" spans="3:17">
      <c r="C787" s="149" t="s">
        <v>50</v>
      </c>
      <c r="D787" s="101">
        <f>4878.274+279624</f>
        <v>284502.27399999998</v>
      </c>
      <c r="E787" s="73">
        <f t="shared" si="16"/>
        <v>310.49031321619555</v>
      </c>
      <c r="F787" s="79"/>
      <c r="G787" s="108"/>
      <c r="K787" s="162"/>
      <c r="L787" s="160"/>
      <c r="M787" s="160"/>
    </row>
    <row r="788" spans="3:17">
      <c r="C788" s="149" t="s">
        <v>51</v>
      </c>
      <c r="D788" s="173">
        <f>+Model!AI109-SUM(D779:D787)</f>
        <v>-8146.2040000001434</v>
      </c>
      <c r="E788" s="73">
        <f t="shared" si="16"/>
        <v>-8.8903241296520168</v>
      </c>
      <c r="F788" s="79"/>
      <c r="G788" s="108"/>
      <c r="K788" s="162"/>
      <c r="L788" s="160"/>
      <c r="M788" s="160"/>
    </row>
    <row r="789" spans="3:17">
      <c r="C789" s="130" t="s">
        <v>19</v>
      </c>
      <c r="D789" s="116">
        <f>SUM(D779:D788)</f>
        <v>1164975.1599999999</v>
      </c>
      <c r="E789" s="117">
        <f>SUM(E779:E788)</f>
        <v>1271.3905489468514</v>
      </c>
      <c r="F789" s="118">
        <f>+D789/D794</f>
        <v>2.6400686205857222</v>
      </c>
      <c r="G789" s="119">
        <f>+E789/E794</f>
        <v>2.3480398882707845</v>
      </c>
      <c r="I789" s="166"/>
      <c r="J789" s="56"/>
      <c r="K789" s="162"/>
      <c r="L789" s="167"/>
      <c r="M789" s="167"/>
    </row>
    <row r="790" spans="3:17">
      <c r="C790" s="131" t="s">
        <v>20</v>
      </c>
      <c r="D790" s="120">
        <f>Model!AI111</f>
        <v>261641.342</v>
      </c>
      <c r="E790" s="73">
        <f>D790*$J$775</f>
        <v>285.54113499945436</v>
      </c>
      <c r="F790" s="121"/>
      <c r="G790" s="122"/>
      <c r="I790" s="166"/>
      <c r="J790" s="56"/>
      <c r="K790" s="162"/>
      <c r="L790" s="167"/>
      <c r="M790" s="167"/>
    </row>
    <row r="791" spans="3:17">
      <c r="C791" s="130" t="s">
        <v>21</v>
      </c>
      <c r="D791" s="116">
        <f>+D789-D790</f>
        <v>903333.81799999997</v>
      </c>
      <c r="E791" s="117">
        <f>+E789-E790</f>
        <v>985.84941394739701</v>
      </c>
      <c r="F791" s="118">
        <f>+D791/D794</f>
        <v>2.0471365817067668</v>
      </c>
      <c r="G791" s="119">
        <f>+E791/E794</f>
        <v>1.820694474797163</v>
      </c>
      <c r="I791" s="164"/>
      <c r="J791" s="57"/>
      <c r="K791" s="57"/>
      <c r="L791" s="165"/>
      <c r="M791" s="165"/>
    </row>
    <row r="792" spans="3:17">
      <c r="C792" s="132" t="s">
        <v>22</v>
      </c>
      <c r="D792" s="123">
        <f>Model!AI118</f>
        <v>1060837.997</v>
      </c>
      <c r="E792" s="73">
        <f>D792*$J$775</f>
        <v>1157.7409112736004</v>
      </c>
      <c r="F792" s="112"/>
      <c r="G792" s="109"/>
      <c r="I792" s="164"/>
      <c r="J792" s="57"/>
      <c r="K792" s="57"/>
      <c r="L792" s="165"/>
      <c r="M792" s="165"/>
    </row>
    <row r="793" spans="3:17">
      <c r="C793" s="130" t="s">
        <v>23</v>
      </c>
      <c r="D793" s="116">
        <f>D789+D792</f>
        <v>2225813.1569999997</v>
      </c>
      <c r="E793" s="117">
        <f>E789+E792</f>
        <v>2429.131460220452</v>
      </c>
      <c r="F793" s="118">
        <f>D793/D794</f>
        <v>5.0441414313782804</v>
      </c>
      <c r="G793" s="119">
        <f>E793/E794</f>
        <v>4.4861884235144744</v>
      </c>
      <c r="I793" s="166"/>
      <c r="J793" s="30"/>
      <c r="K793" s="162"/>
    </row>
    <row r="794" spans="3:17">
      <c r="C794" s="133" t="s">
        <v>24</v>
      </c>
      <c r="D794" s="124">
        <f>Model!AI87</f>
        <v>441267</v>
      </c>
      <c r="E794" s="125">
        <f>D794*$J$776</f>
        <v>541.46888870919815</v>
      </c>
      <c r="F794" s="126"/>
      <c r="G794" s="127"/>
    </row>
    <row r="796" spans="3:17">
      <c r="C796" s="80" t="s">
        <v>25</v>
      </c>
      <c r="D796" s="172">
        <f>D789-Model!AI114</f>
        <v>0</v>
      </c>
      <c r="E796" s="81"/>
    </row>
    <row r="797" spans="3:17" ht="13.5" thickBot="1">
      <c r="D797" s="103"/>
      <c r="E797" s="103"/>
      <c r="F797" s="188"/>
      <c r="G797" s="188"/>
      <c r="N797" s="352"/>
      <c r="O797" s="352"/>
      <c r="P797" s="352"/>
      <c r="Q797" s="352"/>
    </row>
    <row r="798" spans="3:17">
      <c r="C798" s="53" t="s">
        <v>140</v>
      </c>
      <c r="D798" s="99" t="s">
        <v>4</v>
      </c>
      <c r="E798" s="100" t="s">
        <v>65</v>
      </c>
      <c r="N798" s="159"/>
      <c r="O798" s="159"/>
      <c r="P798" s="160"/>
      <c r="Q798" s="160"/>
    </row>
    <row r="799" spans="3:17">
      <c r="C799" s="54"/>
      <c r="D799" s="82"/>
      <c r="E799" s="68"/>
      <c r="N799" s="161"/>
      <c r="O799" s="162"/>
      <c r="P799" s="160"/>
      <c r="Q799" s="160"/>
    </row>
    <row r="800" spans="3:17">
      <c r="C800" s="54" t="s">
        <v>27</v>
      </c>
      <c r="D800" s="95">
        <f>D790</f>
        <v>261641.342</v>
      </c>
      <c r="E800" s="96">
        <f>E790</f>
        <v>285.54113499945436</v>
      </c>
      <c r="N800" s="163"/>
      <c r="O800" s="162"/>
      <c r="P800" s="157"/>
      <c r="Q800" s="157"/>
    </row>
    <row r="801" spans="3:17" ht="13.5" thickBot="1">
      <c r="C801" s="92" t="s">
        <v>28</v>
      </c>
      <c r="D801" s="98">
        <f>SUM(D800:D800)</f>
        <v>261641.342</v>
      </c>
      <c r="E801" s="98">
        <f>SUM(E800:E800)</f>
        <v>285.54113499945436</v>
      </c>
      <c r="I801" s="156"/>
      <c r="J801" s="352"/>
      <c r="K801" s="352"/>
      <c r="L801" s="352"/>
      <c r="M801" s="352"/>
      <c r="N801" s="163"/>
      <c r="O801" s="162"/>
      <c r="P801" s="160"/>
      <c r="Q801" s="160"/>
    </row>
    <row r="802" spans="3:17">
      <c r="I802" s="158"/>
      <c r="J802" s="159"/>
      <c r="K802" s="159"/>
      <c r="L802" s="160"/>
      <c r="M802" s="160"/>
      <c r="N802" s="163"/>
      <c r="O802" s="162"/>
      <c r="P802" s="160"/>
      <c r="Q802" s="160"/>
    </row>
    <row r="803" spans="3:17" ht="13.5" thickBot="1">
      <c r="I803" s="158"/>
      <c r="J803" s="161"/>
      <c r="K803" s="162"/>
      <c r="L803" s="160"/>
      <c r="M803" s="160"/>
      <c r="N803" s="170"/>
      <c r="O803" s="171"/>
      <c r="P803" s="165"/>
      <c r="Q803" s="165"/>
    </row>
    <row r="804" spans="3:17">
      <c r="C804" s="85" t="s">
        <v>141</v>
      </c>
      <c r="D804" s="99" t="s">
        <v>4</v>
      </c>
      <c r="E804" s="86" t="s">
        <v>65</v>
      </c>
      <c r="I804" s="158"/>
      <c r="J804" s="163"/>
      <c r="K804" s="162"/>
      <c r="L804" s="157"/>
      <c r="M804" s="157"/>
      <c r="N804" s="163"/>
      <c r="O804" s="162"/>
      <c r="P804" s="157"/>
      <c r="Q804" s="157"/>
    </row>
    <row r="805" spans="3:17">
      <c r="C805" s="87"/>
      <c r="D805" s="102"/>
      <c r="E805" s="97"/>
      <c r="I805" s="158"/>
      <c r="J805" s="163"/>
      <c r="K805" s="162"/>
      <c r="L805" s="160"/>
      <c r="M805" s="160"/>
    </row>
    <row r="806" spans="3:17">
      <c r="C806" s="87">
        <v>2021</v>
      </c>
      <c r="D806" s="191"/>
      <c r="E806" s="97">
        <f t="shared" ref="E806:E811" si="17">D806*$J$820</f>
        <v>0</v>
      </c>
      <c r="I806" s="168"/>
      <c r="J806" s="169"/>
      <c r="K806" s="162"/>
      <c r="L806" s="160"/>
      <c r="M806" s="160"/>
    </row>
    <row r="807" spans="3:17">
      <c r="C807" s="87">
        <f>+C806+1</f>
        <v>2022</v>
      </c>
      <c r="D807" s="191"/>
      <c r="E807" s="97">
        <f t="shared" si="17"/>
        <v>0</v>
      </c>
      <c r="I807" s="168"/>
      <c r="J807" s="170"/>
      <c r="K807" s="171"/>
      <c r="L807" s="165"/>
      <c r="M807" s="165"/>
    </row>
    <row r="808" spans="3:17">
      <c r="C808" s="87">
        <f t="shared" ref="C808:C810" si="18">+C807+1</f>
        <v>2023</v>
      </c>
      <c r="D808" s="191"/>
      <c r="E808" s="97">
        <f t="shared" si="17"/>
        <v>0</v>
      </c>
      <c r="I808" s="158"/>
      <c r="J808" s="163"/>
      <c r="K808" s="162"/>
      <c r="L808" s="157"/>
      <c r="M808" s="157"/>
    </row>
    <row r="809" spans="3:17">
      <c r="C809" s="87">
        <f t="shared" si="18"/>
        <v>2024</v>
      </c>
      <c r="D809" s="191"/>
      <c r="E809" s="97">
        <f t="shared" si="17"/>
        <v>0</v>
      </c>
    </row>
    <row r="810" spans="3:17" ht="12.75" customHeight="1">
      <c r="C810" s="87">
        <f t="shared" si="18"/>
        <v>2025</v>
      </c>
      <c r="D810" s="191"/>
      <c r="E810" s="97">
        <f t="shared" si="17"/>
        <v>0</v>
      </c>
    </row>
    <row r="811" spans="3:17" ht="13.5" thickBot="1">
      <c r="C811" s="174" t="s">
        <v>130</v>
      </c>
      <c r="D811" s="191"/>
      <c r="E811" s="97">
        <f t="shared" si="17"/>
        <v>0</v>
      </c>
      <c r="J811" s="143"/>
    </row>
    <row r="812" spans="3:17" ht="13.5" thickBot="1">
      <c r="C812" s="88" t="s">
        <v>56</v>
      </c>
      <c r="D812" s="105">
        <f>SUM(D805:D811)</f>
        <v>0</v>
      </c>
      <c r="E812" s="105">
        <f>SUM(E805:E811)</f>
        <v>0</v>
      </c>
    </row>
    <row r="813" spans="3:17" ht="13.5" thickBot="1">
      <c r="C813" s="87" t="s">
        <v>57</v>
      </c>
      <c r="D813" s="175">
        <f>+D779+D780</f>
        <v>34368.354999999996</v>
      </c>
      <c r="E813" s="97">
        <f>D813*$J$775</f>
        <v>37.507754010695187</v>
      </c>
    </row>
    <row r="814" spans="3:17" ht="13.5" thickBot="1">
      <c r="C814" s="88" t="s">
        <v>58</v>
      </c>
      <c r="D814" s="105">
        <f>+D812+D813</f>
        <v>34368.354999999996</v>
      </c>
      <c r="E814" s="105">
        <f>+E812+E813</f>
        <v>37.507754010695187</v>
      </c>
    </row>
    <row r="815" spans="3:17">
      <c r="C815" s="189"/>
      <c r="D815" s="113"/>
      <c r="E815" s="113"/>
    </row>
    <row r="816" spans="3:17">
      <c r="C816" s="189"/>
      <c r="D816" s="113"/>
      <c r="E816" s="113"/>
    </row>
    <row r="817" spans="2:13">
      <c r="C817" s="189"/>
      <c r="D817" s="113"/>
      <c r="E817" s="113"/>
    </row>
    <row r="820" spans="2:13">
      <c r="B820" s="48" t="s">
        <v>142</v>
      </c>
      <c r="I820" s="48" t="s">
        <v>39</v>
      </c>
      <c r="J820" s="67">
        <f>Model!AH193</f>
        <v>1.2671589156667727E-3</v>
      </c>
      <c r="K820" s="67"/>
    </row>
    <row r="821" spans="2:13">
      <c r="C821" s="110"/>
      <c r="D821" s="350" t="s">
        <v>143</v>
      </c>
      <c r="E821" s="351"/>
      <c r="F821" s="78" t="s">
        <v>6</v>
      </c>
      <c r="G821" s="107" t="s">
        <v>7</v>
      </c>
      <c r="I821" s="48" t="s">
        <v>144</v>
      </c>
      <c r="J821" s="67">
        <f>AVERAGE(Model!AE192:AH192)</f>
        <v>1.2778937682764743E-3</v>
      </c>
      <c r="K821" s="67"/>
    </row>
    <row r="822" spans="2:13">
      <c r="C822" s="111"/>
      <c r="D822" s="128" t="s">
        <v>4</v>
      </c>
      <c r="E822" s="129" t="s">
        <v>5</v>
      </c>
      <c r="F822" s="79"/>
      <c r="G822" s="108"/>
    </row>
    <row r="823" spans="2:13">
      <c r="C823" s="111"/>
      <c r="D823" s="128"/>
      <c r="E823" s="129"/>
      <c r="F823" s="79"/>
      <c r="G823" s="108"/>
    </row>
    <row r="824" spans="2:13">
      <c r="C824" s="149" t="s">
        <v>42</v>
      </c>
      <c r="D824" s="101">
        <f>4000+7.778</f>
        <v>4007.7779999999998</v>
      </c>
      <c r="E824" s="73">
        <f t="shared" ref="E824:E833" si="19">D824*$J$820</f>
        <v>5.0784916247131466</v>
      </c>
      <c r="F824" s="79"/>
      <c r="G824" s="108"/>
      <c r="I824" s="158"/>
      <c r="J824" s="163"/>
      <c r="K824" s="162"/>
      <c r="L824" s="160"/>
      <c r="M824" s="160"/>
    </row>
    <row r="825" spans="2:13">
      <c r="C825" s="149" t="s">
        <v>43</v>
      </c>
      <c r="D825" s="101">
        <f>7768.792+15783.955</f>
        <v>23552.746999999999</v>
      </c>
      <c r="E825" s="73">
        <f t="shared" si="19"/>
        <v>29.845073349493831</v>
      </c>
      <c r="F825" s="79"/>
      <c r="G825" s="108"/>
      <c r="I825" s="176" t="s">
        <v>138</v>
      </c>
      <c r="J825" s="192">
        <v>844650</v>
      </c>
      <c r="K825" s="57"/>
      <c r="L825" s="165"/>
      <c r="M825" s="165"/>
    </row>
    <row r="826" spans="2:13">
      <c r="C826" s="149" t="s">
        <v>44</v>
      </c>
      <c r="D826" s="101">
        <f>9675.339+35334.864</f>
        <v>45010.203000000001</v>
      </c>
      <c r="E826" s="73">
        <f t="shared" si="19"/>
        <v>57.035080027421323</v>
      </c>
      <c r="F826" s="79"/>
      <c r="G826" s="108"/>
      <c r="I826" s="184" t="s">
        <v>139</v>
      </c>
      <c r="J826" s="193">
        <v>329385</v>
      </c>
      <c r="K826" s="157"/>
      <c r="L826" s="157"/>
      <c r="M826" s="157"/>
    </row>
    <row r="827" spans="2:13">
      <c r="C827" s="149" t="s">
        <v>45</v>
      </c>
      <c r="D827" s="101">
        <f>4530.005 +36775.335</f>
        <v>41305.339999999997</v>
      </c>
      <c r="E827" s="73">
        <f t="shared" si="19"/>
        <v>52.340429845647364</v>
      </c>
      <c r="F827" s="79"/>
      <c r="G827" s="108"/>
      <c r="I827" s="178" t="s">
        <v>75</v>
      </c>
      <c r="J827" s="179">
        <f>D839</f>
        <v>416665</v>
      </c>
      <c r="K827" s="159"/>
      <c r="L827" s="160"/>
      <c r="M827" s="160"/>
    </row>
    <row r="828" spans="2:13">
      <c r="C828" s="149" t="s">
        <v>46</v>
      </c>
      <c r="D828" s="101">
        <f>583.94+126910.96</f>
        <v>127494.90000000001</v>
      </c>
      <c r="E828" s="73">
        <f t="shared" si="19"/>
        <v>161.55629923704362</v>
      </c>
      <c r="F828" s="79"/>
      <c r="G828" s="108"/>
      <c r="I828" s="180" t="s">
        <v>76</v>
      </c>
      <c r="J828" s="181">
        <f>J825/J827</f>
        <v>2.0271681086724347</v>
      </c>
      <c r="K828" s="159"/>
      <c r="L828" s="160"/>
      <c r="M828" s="160"/>
    </row>
    <row r="829" spans="2:13">
      <c r="C829" s="149" t="s">
        <v>47</v>
      </c>
      <c r="D829" s="101">
        <f>294.703+95183.23</f>
        <v>95477.93299999999</v>
      </c>
      <c r="E829" s="73">
        <f t="shared" si="19"/>
        <v>120.98571405038476</v>
      </c>
      <c r="F829" s="79"/>
      <c r="G829" s="108"/>
      <c r="I829" s="182" t="s">
        <v>13</v>
      </c>
      <c r="J829" s="183">
        <f>J826/J827</f>
        <v>0.79052716210864848</v>
      </c>
      <c r="K829" s="162"/>
      <c r="L829" s="160"/>
      <c r="M829" s="160"/>
    </row>
    <row r="830" spans="2:13">
      <c r="C830" s="149" t="s">
        <v>48</v>
      </c>
      <c r="D830" s="101">
        <f>83.348+180848.118</f>
        <v>180931.46599999999</v>
      </c>
      <c r="E830" s="73">
        <f t="shared" si="19"/>
        <v>229.26892026655952</v>
      </c>
      <c r="F830" s="79"/>
      <c r="G830" s="108"/>
      <c r="K830" s="162"/>
      <c r="L830" s="157"/>
      <c r="M830" s="157"/>
    </row>
    <row r="831" spans="2:13">
      <c r="C831" s="149" t="s">
        <v>117</v>
      </c>
      <c r="D831" s="101">
        <f>0+287612.7</f>
        <v>287612.7</v>
      </c>
      <c r="E831" s="73">
        <f t="shared" si="19"/>
        <v>364.45099706399282</v>
      </c>
      <c r="F831" s="79"/>
      <c r="G831" s="108"/>
      <c r="I831" s="158"/>
      <c r="J831" s="163"/>
      <c r="K831" s="162"/>
      <c r="L831" s="160"/>
      <c r="M831" s="160"/>
    </row>
    <row r="832" spans="2:13">
      <c r="C832" s="149" t="s">
        <v>50</v>
      </c>
      <c r="D832" s="101">
        <f>1750.408+236394</f>
        <v>238144.408</v>
      </c>
      <c r="E832" s="73">
        <f t="shared" si="19"/>
        <v>301.76680981338552</v>
      </c>
      <c r="F832" s="79"/>
      <c r="G832" s="108"/>
      <c r="K832" s="162"/>
      <c r="L832" s="160"/>
      <c r="M832" s="160"/>
    </row>
    <row r="833" spans="3:17">
      <c r="C833" s="149" t="s">
        <v>51</v>
      </c>
      <c r="D833" s="173">
        <f>+Model!AH109-SUM(D824:D832)</f>
        <v>-7244.3870000002207</v>
      </c>
      <c r="E833" s="73">
        <f t="shared" si="19"/>
        <v>-9.1797895755907444</v>
      </c>
      <c r="F833" s="79"/>
      <c r="G833" s="108"/>
      <c r="K833" s="162"/>
      <c r="L833" s="160"/>
      <c r="M833" s="160"/>
    </row>
    <row r="834" spans="3:17">
      <c r="C834" s="130" t="s">
        <v>19</v>
      </c>
      <c r="D834" s="116">
        <f>SUM(D824:D833)</f>
        <v>1036293.0879999999</v>
      </c>
      <c r="E834" s="117">
        <f>SUM(E824:E833)</f>
        <v>1313.1480257030512</v>
      </c>
      <c r="F834" s="118">
        <f>+D834/D839</f>
        <v>2.4871133596534385</v>
      </c>
      <c r="G834" s="119">
        <f>+E834/E839</f>
        <v>2.4871133596534385</v>
      </c>
      <c r="I834" s="166"/>
      <c r="J834" s="56"/>
      <c r="K834" s="162"/>
      <c r="L834" s="167"/>
      <c r="M834" s="167"/>
    </row>
    <row r="835" spans="3:17">
      <c r="C835" s="131" t="s">
        <v>20</v>
      </c>
      <c r="D835" s="120">
        <f>Model!AH111</f>
        <v>389737.83600000001</v>
      </c>
      <c r="E835" s="73">
        <f>D835*$J$820</f>
        <v>493.8597736600745</v>
      </c>
      <c r="F835" s="121"/>
      <c r="G835" s="122"/>
      <c r="I835" s="166"/>
      <c r="J835" s="56"/>
      <c r="K835" s="162"/>
      <c r="L835" s="167"/>
      <c r="M835" s="167"/>
    </row>
    <row r="836" spans="3:17">
      <c r="C836" s="130" t="s">
        <v>21</v>
      </c>
      <c r="D836" s="116">
        <f>+D834-D835</f>
        <v>646555.25199999986</v>
      </c>
      <c r="E836" s="117">
        <f>+E834-E835</f>
        <v>819.28825204297664</v>
      </c>
      <c r="F836" s="118">
        <f>+D836/D839</f>
        <v>1.5517388117552466</v>
      </c>
      <c r="G836" s="119">
        <f>+E836/E839</f>
        <v>1.5517388117552466</v>
      </c>
      <c r="I836" s="164"/>
      <c r="J836" s="57"/>
      <c r="K836" s="57"/>
      <c r="L836" s="165"/>
      <c r="M836" s="165"/>
    </row>
    <row r="837" spans="3:17">
      <c r="C837" s="132" t="s">
        <v>22</v>
      </c>
      <c r="D837" s="123">
        <f>Model!AH118</f>
        <v>890478.83499999996</v>
      </c>
      <c r="E837" s="73">
        <f>D837*$J$820</f>
        <v>1128.378194982811</v>
      </c>
      <c r="F837" s="112"/>
      <c r="G837" s="109"/>
      <c r="I837" s="164"/>
      <c r="J837" s="57"/>
      <c r="K837" s="57"/>
      <c r="L837" s="165"/>
      <c r="M837" s="165"/>
    </row>
    <row r="838" spans="3:17">
      <c r="C838" s="130" t="s">
        <v>23</v>
      </c>
      <c r="D838" s="116">
        <f>D834+D837</f>
        <v>1926771.923</v>
      </c>
      <c r="E838" s="117">
        <f>E834+E837</f>
        <v>2441.5262206858624</v>
      </c>
      <c r="F838" s="118">
        <f>D838/D839</f>
        <v>4.6242711122844486</v>
      </c>
      <c r="G838" s="119">
        <f>E838/E839</f>
        <v>4.6242711122844495</v>
      </c>
      <c r="I838" s="166"/>
      <c r="J838" s="30"/>
      <c r="K838" s="162"/>
    </row>
    <row r="839" spans="3:17">
      <c r="C839" s="133" t="s">
        <v>24</v>
      </c>
      <c r="D839" s="124">
        <f>Model!AH87</f>
        <v>416665</v>
      </c>
      <c r="E839" s="125">
        <f>D839*$J$820</f>
        <v>527.98076959629577</v>
      </c>
      <c r="F839" s="126"/>
      <c r="G839" s="127"/>
    </row>
    <row r="840" spans="3:17">
      <c r="N840" s="352"/>
      <c r="O840" s="352"/>
      <c r="P840" s="352"/>
      <c r="Q840" s="352"/>
    </row>
    <row r="841" spans="3:17">
      <c r="C841" s="80" t="s">
        <v>25</v>
      </c>
      <c r="D841" s="172">
        <f>D834-Model!AH114</f>
        <v>0</v>
      </c>
      <c r="E841" s="81"/>
      <c r="N841" s="159"/>
      <c r="O841" s="159"/>
      <c r="P841" s="160"/>
      <c r="Q841" s="160"/>
    </row>
    <row r="842" spans="3:17" ht="13.5" thickBot="1">
      <c r="D842" s="103"/>
      <c r="E842" s="103"/>
      <c r="F842" s="188"/>
      <c r="G842" s="188"/>
      <c r="N842" s="161"/>
      <c r="O842" s="162"/>
      <c r="P842" s="160"/>
      <c r="Q842" s="160"/>
    </row>
    <row r="843" spans="3:17">
      <c r="C843" s="53" t="s">
        <v>145</v>
      </c>
      <c r="D843" s="99" t="s">
        <v>4</v>
      </c>
      <c r="E843" s="100" t="s">
        <v>65</v>
      </c>
      <c r="N843" s="163"/>
      <c r="O843" s="162"/>
      <c r="P843" s="157"/>
      <c r="Q843" s="157"/>
    </row>
    <row r="844" spans="3:17">
      <c r="C844" s="54"/>
      <c r="D844" s="82"/>
      <c r="E844" s="68"/>
      <c r="N844" s="163"/>
      <c r="O844" s="162"/>
      <c r="P844" s="160"/>
      <c r="Q844" s="160"/>
    </row>
    <row r="845" spans="3:17">
      <c r="C845" s="54" t="s">
        <v>27</v>
      </c>
      <c r="D845" s="95">
        <f>D835</f>
        <v>389737.83600000001</v>
      </c>
      <c r="E845" s="96">
        <f>E835</f>
        <v>493.8597736600745</v>
      </c>
      <c r="N845" s="163"/>
      <c r="O845" s="162"/>
      <c r="P845" s="160"/>
      <c r="Q845" s="160"/>
    </row>
    <row r="846" spans="3:17" ht="13.5" thickBot="1">
      <c r="C846" s="92" t="s">
        <v>28</v>
      </c>
      <c r="D846" s="98">
        <f>SUM(D845:D845)</f>
        <v>389737.83600000001</v>
      </c>
      <c r="E846" s="98">
        <f>SUM(E845:E845)</f>
        <v>493.8597736600745</v>
      </c>
      <c r="I846" s="156"/>
      <c r="J846" s="352"/>
      <c r="K846" s="352"/>
      <c r="L846" s="352"/>
      <c r="M846" s="352"/>
      <c r="N846" s="170"/>
      <c r="O846" s="171"/>
      <c r="P846" s="165"/>
      <c r="Q846" s="165"/>
    </row>
    <row r="847" spans="3:17">
      <c r="I847" s="158"/>
      <c r="J847" s="159"/>
      <c r="K847" s="159"/>
      <c r="L847" s="160"/>
      <c r="M847" s="160"/>
      <c r="N847" s="163"/>
      <c r="O847" s="162"/>
      <c r="P847" s="157"/>
      <c r="Q847" s="157"/>
    </row>
    <row r="848" spans="3:17" ht="13.5" thickBot="1">
      <c r="I848" s="158"/>
      <c r="J848" s="161"/>
      <c r="K848" s="162"/>
      <c r="L848" s="160"/>
      <c r="M848" s="160"/>
    </row>
    <row r="849" spans="2:13">
      <c r="C849" s="85" t="s">
        <v>146</v>
      </c>
      <c r="D849" s="99" t="s">
        <v>4</v>
      </c>
      <c r="E849" s="86" t="s">
        <v>65</v>
      </c>
      <c r="I849" s="158"/>
      <c r="J849" s="163"/>
      <c r="K849" s="162"/>
      <c r="L849" s="157"/>
      <c r="M849" s="157"/>
    </row>
    <row r="850" spans="2:13">
      <c r="C850" s="87"/>
      <c r="D850" s="102"/>
      <c r="E850" s="97"/>
      <c r="I850" s="158"/>
      <c r="J850" s="163"/>
      <c r="K850" s="162"/>
      <c r="L850" s="160"/>
      <c r="M850" s="160"/>
    </row>
    <row r="851" spans="2:13">
      <c r="C851" s="87">
        <v>2021</v>
      </c>
      <c r="D851" s="191"/>
      <c r="E851" s="97">
        <f t="shared" ref="E851:E856" si="20">D851*$J$820</f>
        <v>0</v>
      </c>
      <c r="I851" s="168"/>
      <c r="J851" s="169"/>
      <c r="K851" s="162"/>
      <c r="L851" s="160"/>
      <c r="M851" s="160"/>
    </row>
    <row r="852" spans="2:13">
      <c r="C852" s="87">
        <f>+C851+1</f>
        <v>2022</v>
      </c>
      <c r="D852" s="191"/>
      <c r="E852" s="97">
        <f t="shared" si="20"/>
        <v>0</v>
      </c>
      <c r="I852" s="168"/>
      <c r="J852" s="170"/>
      <c r="K852" s="171"/>
      <c r="L852" s="165"/>
      <c r="M852" s="165"/>
    </row>
    <row r="853" spans="2:13" ht="12.75" customHeight="1">
      <c r="C853" s="87">
        <f t="shared" ref="C853:C855" si="21">+C852+1</f>
        <v>2023</v>
      </c>
      <c r="D853" s="191"/>
      <c r="E853" s="97">
        <f t="shared" si="20"/>
        <v>0</v>
      </c>
      <c r="I853" s="158"/>
      <c r="J853" s="163"/>
      <c r="K853" s="162"/>
      <c r="L853" s="157"/>
      <c r="M853" s="157"/>
    </row>
    <row r="854" spans="2:13">
      <c r="C854" s="87">
        <f t="shared" si="21"/>
        <v>2024</v>
      </c>
      <c r="D854" s="191"/>
      <c r="E854" s="97">
        <f t="shared" si="20"/>
        <v>0</v>
      </c>
    </row>
    <row r="855" spans="2:13">
      <c r="C855" s="87">
        <f t="shared" si="21"/>
        <v>2025</v>
      </c>
      <c r="D855" s="191"/>
      <c r="E855" s="97">
        <f t="shared" si="20"/>
        <v>0</v>
      </c>
    </row>
    <row r="856" spans="2:13" ht="13.5" thickBot="1">
      <c r="C856" s="174" t="s">
        <v>130</v>
      </c>
      <c r="D856" s="191"/>
      <c r="E856" s="97">
        <f t="shared" si="20"/>
        <v>0</v>
      </c>
      <c r="J856" s="143"/>
    </row>
    <row r="857" spans="2:13" ht="13.5" thickBot="1">
      <c r="C857" s="88" t="s">
        <v>56</v>
      </c>
      <c r="D857" s="105">
        <f>SUM(D850:D856)</f>
        <v>0</v>
      </c>
      <c r="E857" s="105">
        <f>SUM(E850:E856)</f>
        <v>0</v>
      </c>
    </row>
    <row r="858" spans="2:13" ht="13.5" thickBot="1">
      <c r="C858" s="87" t="s">
        <v>57</v>
      </c>
      <c r="D858" s="175">
        <f>+D824+D825</f>
        <v>27560.524999999998</v>
      </c>
      <c r="E858" s="97">
        <f>D858*$J$820</f>
        <v>34.923564974206975</v>
      </c>
    </row>
    <row r="859" spans="2:13" ht="13.5" thickBot="1">
      <c r="C859" s="88" t="s">
        <v>58</v>
      </c>
      <c r="D859" s="105">
        <f>+D857+D858</f>
        <v>27560.524999999998</v>
      </c>
      <c r="E859" s="105">
        <f>+E857+E858</f>
        <v>34.923564974206975</v>
      </c>
    </row>
    <row r="860" spans="2:13">
      <c r="C860" s="189"/>
      <c r="D860" s="113"/>
      <c r="E860" s="113"/>
    </row>
    <row r="863" spans="2:13">
      <c r="B863" s="48" t="s">
        <v>147</v>
      </c>
      <c r="I863" s="48" t="s">
        <v>39</v>
      </c>
      <c r="J863" s="67">
        <f>Model!AG193</f>
        <v>1.1737158081913627E-3</v>
      </c>
      <c r="K863" s="67"/>
    </row>
    <row r="864" spans="2:13">
      <c r="C864" s="110"/>
      <c r="D864" s="350" t="s">
        <v>148</v>
      </c>
      <c r="E864" s="351"/>
      <c r="F864" s="78" t="s">
        <v>6</v>
      </c>
      <c r="G864" s="107" t="s">
        <v>7</v>
      </c>
      <c r="I864" s="48" t="s">
        <v>149</v>
      </c>
      <c r="J864" s="67">
        <f>AVERAGE(Model!AF192:AG192)</f>
        <v>1.2543105522951348E-3</v>
      </c>
      <c r="K864" s="67"/>
    </row>
    <row r="865" spans="3:13">
      <c r="C865" s="111"/>
      <c r="D865" s="128" t="s">
        <v>4</v>
      </c>
      <c r="E865" s="129" t="s">
        <v>5</v>
      </c>
      <c r="F865" s="79"/>
      <c r="G865" s="108"/>
    </row>
    <row r="866" spans="3:13">
      <c r="C866" s="111"/>
      <c r="D866" s="128"/>
      <c r="E866" s="129"/>
      <c r="F866" s="79"/>
      <c r="G866" s="108"/>
    </row>
    <row r="867" spans="3:13">
      <c r="C867" s="149" t="s">
        <v>42</v>
      </c>
      <c r="D867" s="101">
        <f>4000+26.617</f>
        <v>4026.6170000000002</v>
      </c>
      <c r="E867" s="73">
        <f>D867*$J$863</f>
        <v>4.7261040264320799</v>
      </c>
      <c r="F867" s="79"/>
      <c r="G867" s="108"/>
      <c r="I867" s="158"/>
      <c r="J867" s="163"/>
      <c r="K867" s="162"/>
      <c r="L867" s="160"/>
      <c r="M867" s="160"/>
    </row>
    <row r="868" spans="3:13">
      <c r="C868" s="149" t="s">
        <v>43</v>
      </c>
      <c r="D868" s="101">
        <f>8191.535+16387.03</f>
        <v>24578.564999999999</v>
      </c>
      <c r="E868" s="73">
        <f t="shared" ref="E868:E876" si="22">D868*$J$863</f>
        <v>28.848250283158936</v>
      </c>
      <c r="F868" s="79"/>
      <c r="G868" s="108"/>
      <c r="I868" s="176" t="s">
        <v>138</v>
      </c>
      <c r="J868" s="192">
        <v>793110</v>
      </c>
      <c r="K868" s="57"/>
      <c r="L868" s="165"/>
      <c r="M868" s="165"/>
    </row>
    <row r="869" spans="3:13">
      <c r="C869" s="149" t="s">
        <v>44</v>
      </c>
      <c r="D869" s="101">
        <f>8769.787+34515.188</f>
        <v>43284.975000000006</v>
      </c>
      <c r="E869" s="73">
        <f t="shared" si="22"/>
        <v>50.804259414667932</v>
      </c>
      <c r="F869" s="79"/>
      <c r="G869" s="108"/>
      <c r="I869" s="184" t="s">
        <v>139</v>
      </c>
      <c r="J869" s="193">
        <v>294289</v>
      </c>
      <c r="K869" s="157"/>
      <c r="L869" s="157"/>
      <c r="M869" s="157"/>
    </row>
    <row r="870" spans="3:13">
      <c r="C870" s="149" t="s">
        <v>45</v>
      </c>
      <c r="D870" s="101">
        <f>4853.856+38035.317</f>
        <v>42889.173000000003</v>
      </c>
      <c r="E870" s="73">
        <f t="shared" si="22"/>
        <v>50.339700350354171</v>
      </c>
      <c r="F870" s="79"/>
      <c r="G870" s="108"/>
      <c r="I870" s="178" t="s">
        <v>75</v>
      </c>
      <c r="J870" s="179">
        <f>D882</f>
        <v>397213</v>
      </c>
      <c r="K870" s="159"/>
      <c r="L870" s="160"/>
      <c r="M870" s="160"/>
    </row>
    <row r="871" spans="3:13">
      <c r="C871" s="149" t="s">
        <v>46</v>
      </c>
      <c r="D871" s="101">
        <f>1737.109+123966.96</f>
        <v>125704.069</v>
      </c>
      <c r="E871" s="73">
        <f t="shared" si="22"/>
        <v>147.54085293927781</v>
      </c>
      <c r="F871" s="79"/>
      <c r="G871" s="108"/>
      <c r="I871" s="180" t="s">
        <v>76</v>
      </c>
      <c r="J871" s="181">
        <f>+J868/J870</f>
        <v>1.996686916087842</v>
      </c>
      <c r="K871" s="159"/>
      <c r="L871" s="160"/>
      <c r="M871" s="160"/>
    </row>
    <row r="872" spans="3:13">
      <c r="C872" s="149" t="s">
        <v>47</v>
      </c>
      <c r="D872" s="101">
        <f>1151.467+92975.229</f>
        <v>94126.696000000011</v>
      </c>
      <c r="E872" s="73">
        <f t="shared" si="22"/>
        <v>110.47799106802272</v>
      </c>
      <c r="F872" s="79"/>
      <c r="G872" s="108"/>
      <c r="I872" s="182" t="s">
        <v>13</v>
      </c>
      <c r="J872" s="183">
        <f>+J869/J870</f>
        <v>0.74088461354487389</v>
      </c>
      <c r="K872" s="162"/>
      <c r="L872" s="160"/>
      <c r="M872" s="160"/>
    </row>
    <row r="873" spans="3:13">
      <c r="C873" s="149" t="s">
        <v>48</v>
      </c>
      <c r="D873" s="101">
        <f>1316.202+176652.918</f>
        <v>177969.12</v>
      </c>
      <c r="E873" s="73">
        <f t="shared" si="22"/>
        <v>208.88516951390559</v>
      </c>
      <c r="F873" s="79"/>
      <c r="G873" s="108"/>
      <c r="K873" s="162"/>
      <c r="L873" s="157"/>
      <c r="M873" s="157"/>
    </row>
    <row r="874" spans="3:13">
      <c r="C874" s="149" t="s">
        <v>117</v>
      </c>
      <c r="D874" s="101">
        <f>3853.898+308311.85</f>
        <v>312165.74799999996</v>
      </c>
      <c r="E874" s="73">
        <f t="shared" si="22"/>
        <v>366.39387320348123</v>
      </c>
      <c r="F874" s="79"/>
      <c r="G874" s="108"/>
      <c r="I874" s="158"/>
      <c r="J874" s="163"/>
      <c r="K874" s="162"/>
      <c r="L874" s="160"/>
      <c r="M874" s="160"/>
    </row>
    <row r="875" spans="3:13">
      <c r="C875" s="149" t="s">
        <v>50</v>
      </c>
      <c r="D875" s="101">
        <f>4420.896+253407</f>
        <v>257827.89600000001</v>
      </c>
      <c r="E875" s="73">
        <f t="shared" si="22"/>
        <v>302.61667732791864</v>
      </c>
      <c r="F875" s="79"/>
      <c r="G875" s="108"/>
      <c r="K875" s="162"/>
      <c r="L875" s="160"/>
      <c r="M875" s="160"/>
    </row>
    <row r="876" spans="3:13">
      <c r="C876" s="149" t="s">
        <v>51</v>
      </c>
      <c r="D876" s="173">
        <f>+Model!AG109-SUM(D867:D875)</f>
        <v>-7922.3959999999497</v>
      </c>
      <c r="E876" s="73">
        <f t="shared" si="22"/>
        <v>-9.2986414239519597</v>
      </c>
      <c r="F876" s="79"/>
      <c r="G876" s="108"/>
      <c r="K876" s="162"/>
      <c r="L876" s="160"/>
      <c r="M876" s="160"/>
    </row>
    <row r="877" spans="3:13">
      <c r="C877" s="130" t="s">
        <v>19</v>
      </c>
      <c r="D877" s="116">
        <f>SUM(D867:D876)</f>
        <v>1074650.463</v>
      </c>
      <c r="E877" s="117">
        <f>SUM(E867:E876)</f>
        <v>1261.3342367032672</v>
      </c>
      <c r="F877" s="118">
        <f>+D877/D882</f>
        <v>2.7054765654699118</v>
      </c>
      <c r="G877" s="119">
        <f>+E877/E882</f>
        <v>2.7054765654699118</v>
      </c>
      <c r="I877" s="166"/>
      <c r="J877" s="56"/>
      <c r="K877" s="162"/>
      <c r="L877" s="167"/>
      <c r="M877" s="167"/>
    </row>
    <row r="878" spans="3:13">
      <c r="C878" s="131" t="s">
        <v>20</v>
      </c>
      <c r="D878" s="120">
        <f>Model!AG111</f>
        <v>304312.02</v>
      </c>
      <c r="E878" s="73">
        <f>D878*$J$863</f>
        <v>357.17582849664615</v>
      </c>
      <c r="F878" s="121"/>
      <c r="G878" s="122"/>
      <c r="I878" s="166"/>
      <c r="J878" s="56"/>
      <c r="K878" s="162"/>
      <c r="L878" s="167"/>
      <c r="M878" s="167"/>
    </row>
    <row r="879" spans="3:13">
      <c r="C879" s="130" t="s">
        <v>21</v>
      </c>
      <c r="D879" s="116">
        <f>+D877-D878</f>
        <v>770338.44299999997</v>
      </c>
      <c r="E879" s="117">
        <f>+E877-E878</f>
        <v>904.15840820662106</v>
      </c>
      <c r="F879" s="118">
        <f>+D879/D882</f>
        <v>1.9393585884651308</v>
      </c>
      <c r="G879" s="119">
        <f>+E879/E882</f>
        <v>1.939358588465131</v>
      </c>
      <c r="I879" s="164"/>
      <c r="J879" s="57"/>
      <c r="K879" s="57"/>
      <c r="L879" s="165"/>
      <c r="M879" s="165"/>
    </row>
    <row r="880" spans="3:13">
      <c r="C880" s="132" t="s">
        <v>22</v>
      </c>
      <c r="D880" s="123">
        <f>Model!AG118</f>
        <v>828319.68500000006</v>
      </c>
      <c r="E880" s="73">
        <f>D880*$J$863</f>
        <v>972.21190852058999</v>
      </c>
      <c r="F880" s="112"/>
      <c r="G880" s="109"/>
      <c r="I880" s="164"/>
      <c r="J880" s="57"/>
      <c r="K880" s="57"/>
      <c r="L880" s="165"/>
      <c r="M880" s="165"/>
    </row>
    <row r="881" spans="3:17">
      <c r="C881" s="130" t="s">
        <v>23</v>
      </c>
      <c r="D881" s="116">
        <f>D877+D880</f>
        <v>1902970.148</v>
      </c>
      <c r="E881" s="117">
        <f>E877+E880</f>
        <v>2233.5461452238569</v>
      </c>
      <c r="F881" s="118">
        <f>D881/D882</f>
        <v>4.7908053059693412</v>
      </c>
      <c r="G881" s="119">
        <f>E881/E882</f>
        <v>4.7908053059693412</v>
      </c>
      <c r="I881" s="166"/>
      <c r="J881" s="30"/>
      <c r="K881" s="162"/>
    </row>
    <row r="882" spans="3:17">
      <c r="C882" s="133" t="s">
        <v>24</v>
      </c>
      <c r="D882" s="124">
        <f>Model!AG87</f>
        <v>397213</v>
      </c>
      <c r="E882" s="125">
        <f>D882*$J$863</f>
        <v>466.21517731911575</v>
      </c>
      <c r="F882" s="126"/>
      <c r="G882" s="127"/>
      <c r="N882" s="352"/>
      <c r="O882" s="352"/>
      <c r="P882" s="352"/>
      <c r="Q882" s="352"/>
    </row>
    <row r="883" spans="3:17">
      <c r="N883" s="159"/>
      <c r="O883" s="159"/>
      <c r="P883" s="160"/>
      <c r="Q883" s="160"/>
    </row>
    <row r="884" spans="3:17">
      <c r="C884" s="80" t="s">
        <v>25</v>
      </c>
      <c r="D884" s="172">
        <f>D877-Model!AG114</f>
        <v>0</v>
      </c>
      <c r="E884" s="81"/>
      <c r="N884" s="161"/>
      <c r="O884" s="162"/>
      <c r="P884" s="160"/>
      <c r="Q884" s="160"/>
    </row>
    <row r="885" spans="3:17" ht="13.5" thickBot="1">
      <c r="D885" s="103"/>
      <c r="E885" s="103"/>
      <c r="F885" s="188"/>
      <c r="G885" s="188"/>
      <c r="N885" s="163"/>
      <c r="O885" s="162"/>
      <c r="P885" s="157"/>
      <c r="Q885" s="157"/>
    </row>
    <row r="886" spans="3:17">
      <c r="C886" s="53" t="s">
        <v>150</v>
      </c>
      <c r="D886" s="99" t="s">
        <v>4</v>
      </c>
      <c r="E886" s="100" t="s">
        <v>65</v>
      </c>
      <c r="N886" s="163"/>
      <c r="O886" s="162"/>
      <c r="P886" s="160"/>
      <c r="Q886" s="160"/>
    </row>
    <row r="887" spans="3:17">
      <c r="C887" s="54"/>
      <c r="D887" s="82"/>
      <c r="E887" s="68"/>
      <c r="N887" s="163"/>
      <c r="O887" s="162"/>
      <c r="P887" s="160"/>
      <c r="Q887" s="160"/>
    </row>
    <row r="888" spans="3:17">
      <c r="C888" s="54" t="s">
        <v>27</v>
      </c>
      <c r="D888" s="95">
        <f>D878</f>
        <v>304312.02</v>
      </c>
      <c r="E888" s="96">
        <f>E878</f>
        <v>357.17582849664615</v>
      </c>
      <c r="N888" s="170"/>
      <c r="O888" s="171"/>
      <c r="P888" s="165"/>
      <c r="Q888" s="165"/>
    </row>
    <row r="889" spans="3:17" ht="13.5" thickBot="1">
      <c r="C889" s="92" t="s">
        <v>28</v>
      </c>
      <c r="D889" s="98">
        <f>SUM(D888:D888)</f>
        <v>304312.02</v>
      </c>
      <c r="E889" s="98">
        <f>SUM(E888:E888)</f>
        <v>357.17582849664615</v>
      </c>
      <c r="I889" s="156"/>
      <c r="J889" s="352"/>
      <c r="K889" s="352"/>
      <c r="L889" s="352"/>
      <c r="M889" s="352"/>
      <c r="N889" s="163"/>
      <c r="O889" s="162"/>
      <c r="P889" s="157"/>
      <c r="Q889" s="157"/>
    </row>
    <row r="890" spans="3:17">
      <c r="I890" s="158"/>
      <c r="J890" s="159"/>
      <c r="K890" s="159"/>
      <c r="L890" s="160"/>
      <c r="M890" s="160"/>
    </row>
    <row r="891" spans="3:17" ht="13.5" thickBot="1">
      <c r="I891" s="158"/>
      <c r="J891" s="161"/>
      <c r="K891" s="162"/>
      <c r="L891" s="160"/>
      <c r="M891" s="160"/>
    </row>
    <row r="892" spans="3:17">
      <c r="C892" s="85" t="s">
        <v>151</v>
      </c>
      <c r="D892" s="99" t="s">
        <v>4</v>
      </c>
      <c r="E892" s="86" t="s">
        <v>65</v>
      </c>
      <c r="I892" s="158"/>
      <c r="J892" s="163"/>
      <c r="K892" s="162"/>
      <c r="L892" s="157"/>
      <c r="M892" s="157"/>
    </row>
    <row r="893" spans="3:17">
      <c r="C893" s="87"/>
      <c r="D893" s="102"/>
      <c r="E893" s="97"/>
      <c r="I893" s="158"/>
      <c r="J893" s="163"/>
      <c r="K893" s="162"/>
      <c r="L893" s="160"/>
      <c r="M893" s="160"/>
    </row>
    <row r="894" spans="3:17">
      <c r="C894" s="87">
        <v>2021</v>
      </c>
      <c r="D894" s="191"/>
      <c r="E894" s="97">
        <f t="shared" ref="E894:E899" si="23">D894*$J$863</f>
        <v>0</v>
      </c>
      <c r="I894" s="168"/>
      <c r="J894" s="169"/>
      <c r="K894" s="162"/>
      <c r="L894" s="160"/>
      <c r="M894" s="160"/>
    </row>
    <row r="895" spans="3:17">
      <c r="C895" s="87">
        <f>+C894+1</f>
        <v>2022</v>
      </c>
      <c r="D895" s="191"/>
      <c r="E895" s="97">
        <f t="shared" si="23"/>
        <v>0</v>
      </c>
      <c r="I895" s="168"/>
      <c r="J895" s="170"/>
      <c r="K895" s="171"/>
      <c r="L895" s="165"/>
      <c r="M895" s="165"/>
    </row>
    <row r="896" spans="3:17" ht="12.75" customHeight="1">
      <c r="C896" s="87">
        <f t="shared" ref="C896:C898" si="24">+C895+1</f>
        <v>2023</v>
      </c>
      <c r="D896" s="191"/>
      <c r="E896" s="97">
        <f t="shared" si="23"/>
        <v>0</v>
      </c>
      <c r="I896" s="158"/>
      <c r="J896" s="163"/>
      <c r="K896" s="162"/>
      <c r="L896" s="157"/>
      <c r="M896" s="157"/>
    </row>
    <row r="897" spans="2:13">
      <c r="C897" s="87">
        <f t="shared" si="24"/>
        <v>2024</v>
      </c>
      <c r="D897" s="191"/>
      <c r="E897" s="97">
        <f t="shared" si="23"/>
        <v>0</v>
      </c>
    </row>
    <row r="898" spans="2:13">
      <c r="C898" s="87">
        <f t="shared" si="24"/>
        <v>2025</v>
      </c>
      <c r="D898" s="191"/>
      <c r="E898" s="97">
        <f t="shared" si="23"/>
        <v>0</v>
      </c>
    </row>
    <row r="899" spans="2:13" ht="13.5" thickBot="1">
      <c r="C899" s="174" t="s">
        <v>130</v>
      </c>
      <c r="D899" s="191"/>
      <c r="E899" s="97">
        <f t="shared" si="23"/>
        <v>0</v>
      </c>
      <c r="J899" s="143"/>
    </row>
    <row r="900" spans="2:13" ht="13.5" thickBot="1">
      <c r="C900" s="88" t="s">
        <v>56</v>
      </c>
      <c r="D900" s="105">
        <f>SUM(D893:D899)</f>
        <v>0</v>
      </c>
      <c r="E900" s="105">
        <f>SUM(E893:E899)</f>
        <v>0</v>
      </c>
    </row>
    <row r="901" spans="2:13" ht="13.5" thickBot="1">
      <c r="C901" s="87" t="s">
        <v>57</v>
      </c>
      <c r="D901" s="175">
        <f>+D867+D868</f>
        <v>28605.182000000001</v>
      </c>
      <c r="E901" s="97">
        <f>D901*$J$863</f>
        <v>33.574354309591023</v>
      </c>
    </row>
    <row r="902" spans="2:13" ht="13.5" thickBot="1">
      <c r="C902" s="88" t="s">
        <v>58</v>
      </c>
      <c r="D902" s="105">
        <f>+D900+D901</f>
        <v>28605.182000000001</v>
      </c>
      <c r="E902" s="105">
        <f>+E900+E901</f>
        <v>33.574354309591023</v>
      </c>
    </row>
    <row r="903" spans="2:13">
      <c r="C903" s="189"/>
      <c r="D903" s="113"/>
      <c r="E903" s="113"/>
    </row>
    <row r="905" spans="2:13">
      <c r="B905" s="48" t="s">
        <v>152</v>
      </c>
      <c r="I905" s="48" t="s">
        <v>39</v>
      </c>
      <c r="J905" s="67">
        <f>Model!AF193</f>
        <v>1.234618200494588E-3</v>
      </c>
      <c r="K905" s="67"/>
    </row>
    <row r="906" spans="2:13">
      <c r="C906" s="110"/>
      <c r="D906" s="350" t="s">
        <v>153</v>
      </c>
      <c r="E906" s="351"/>
      <c r="F906" s="78" t="s">
        <v>6</v>
      </c>
      <c r="G906" s="107" t="s">
        <v>7</v>
      </c>
      <c r="I906" s="48" t="s">
        <v>154</v>
      </c>
      <c r="J906" s="67">
        <f>AVERAGE(Model!AC192:AF192)</f>
        <v>1.3214931730497379E-3</v>
      </c>
      <c r="K906" s="67"/>
    </row>
    <row r="907" spans="2:13">
      <c r="C907" s="111"/>
      <c r="D907" s="128" t="s">
        <v>4</v>
      </c>
      <c r="E907" s="129" t="s">
        <v>5</v>
      </c>
      <c r="F907" s="79"/>
      <c r="G907" s="108"/>
    </row>
    <row r="908" spans="2:13">
      <c r="C908" s="111"/>
      <c r="D908" s="128"/>
      <c r="E908" s="129"/>
      <c r="F908" s="79"/>
      <c r="G908" s="108"/>
    </row>
    <row r="909" spans="2:13">
      <c r="C909" s="149" t="s">
        <v>42</v>
      </c>
      <c r="D909" s="101">
        <f>4000+403.759</f>
        <v>4403.759</v>
      </c>
      <c r="E909" s="73">
        <f>D909*$J$905</f>
        <v>5.4369610119918459</v>
      </c>
      <c r="F909" s="79"/>
      <c r="G909" s="108"/>
      <c r="I909" s="158"/>
      <c r="J909" s="163"/>
      <c r="K909" s="162"/>
      <c r="L909" s="160"/>
      <c r="M909" s="160"/>
    </row>
    <row r="910" spans="2:13">
      <c r="C910" s="149" t="s">
        <v>43</v>
      </c>
      <c r="D910" s="101">
        <f>14671.68+7259.18</f>
        <v>21930.86</v>
      </c>
      <c r="E910" s="73">
        <f>D910*$J$905</f>
        <v>27.076238908498741</v>
      </c>
      <c r="F910" s="79"/>
      <c r="G910" s="108"/>
      <c r="I910" s="176" t="s">
        <v>138</v>
      </c>
      <c r="J910" s="192"/>
      <c r="K910" s="57"/>
      <c r="L910" s="165"/>
      <c r="M910" s="165"/>
    </row>
    <row r="911" spans="2:13">
      <c r="C911" s="149" t="s">
        <v>44</v>
      </c>
      <c r="D911" s="101">
        <f>37721.273+8963.771</f>
        <v>46685.044000000002</v>
      </c>
      <c r="E911" s="73">
        <f>D911*$J$905</f>
        <v>57.638205013290666</v>
      </c>
      <c r="F911" s="79"/>
      <c r="G911" s="108"/>
      <c r="I911" s="184" t="s">
        <v>139</v>
      </c>
      <c r="J911" s="193"/>
      <c r="K911" s="157"/>
      <c r="L911" s="157"/>
      <c r="M911" s="157"/>
    </row>
    <row r="912" spans="2:13">
      <c r="C912" s="149" t="s">
        <v>45</v>
      </c>
      <c r="D912" s="101">
        <f>36926.636 +4306.097</f>
        <v>41232.733</v>
      </c>
      <c r="E912" s="73">
        <f>D912*$J$905</f>
        <v>50.906682617933818</v>
      </c>
      <c r="F912" s="79"/>
      <c r="G912" s="108"/>
      <c r="I912" s="178" t="s">
        <v>75</v>
      </c>
      <c r="J912" s="179">
        <f>D924</f>
        <v>382361</v>
      </c>
      <c r="K912" s="159"/>
      <c r="L912" s="160"/>
      <c r="M912" s="160"/>
    </row>
    <row r="913" spans="3:17">
      <c r="C913" s="149" t="s">
        <v>46</v>
      </c>
      <c r="D913" s="101">
        <f>120353.48+553.767</f>
        <v>120907.247</v>
      </c>
      <c r="E913" s="73">
        <f t="shared" ref="E913:E917" si="25">D913*$J$905</f>
        <v>149.27428771789468</v>
      </c>
      <c r="F913" s="79"/>
      <c r="G913" s="108"/>
      <c r="I913" s="180" t="s">
        <v>76</v>
      </c>
      <c r="J913" s="194"/>
      <c r="K913" s="159"/>
      <c r="L913" s="160"/>
      <c r="M913" s="160"/>
    </row>
    <row r="914" spans="3:17">
      <c r="C914" s="149" t="s">
        <v>47</v>
      </c>
      <c r="D914" s="101">
        <f>90265.119+279.476</f>
        <v>90544.595000000001</v>
      </c>
      <c r="E914" s="73">
        <f t="shared" si="25"/>
        <v>111.78800494341127</v>
      </c>
      <c r="F914" s="79"/>
      <c r="G914" s="108"/>
      <c r="I914" s="182" t="s">
        <v>13</v>
      </c>
      <c r="J914" s="195"/>
      <c r="K914" s="162"/>
      <c r="L914" s="160"/>
      <c r="M914" s="160"/>
    </row>
    <row r="915" spans="3:17">
      <c r="C915" s="149" t="s">
        <v>48</v>
      </c>
      <c r="D915" s="101">
        <f>171503.709+65.868</f>
        <v>171569.57699999999</v>
      </c>
      <c r="E915" s="73">
        <f t="shared" si="25"/>
        <v>211.82292241535765</v>
      </c>
      <c r="F915" s="79"/>
      <c r="G915" s="108"/>
      <c r="K915" s="162"/>
      <c r="L915" s="157"/>
      <c r="M915" s="157"/>
    </row>
    <row r="916" spans="3:17">
      <c r="C916" s="149" t="s">
        <v>117</v>
      </c>
      <c r="D916" s="101">
        <v>296343.5</v>
      </c>
      <c r="E916" s="73">
        <f t="shared" si="25"/>
        <v>365.87107869826792</v>
      </c>
      <c r="F916" s="79"/>
      <c r="G916" s="108"/>
      <c r="I916" s="158"/>
      <c r="J916" s="163"/>
      <c r="K916" s="162"/>
      <c r="L916" s="160"/>
      <c r="M916" s="160"/>
    </row>
    <row r="917" spans="3:17">
      <c r="C917" s="149" t="s">
        <v>50</v>
      </c>
      <c r="D917" s="101">
        <f>243570 +1844.028</f>
        <v>245414.02799999999</v>
      </c>
      <c r="E917" s="73">
        <f t="shared" si="25"/>
        <v>302.99262562548842</v>
      </c>
      <c r="F917" s="79"/>
      <c r="G917" s="108"/>
      <c r="K917" s="162"/>
      <c r="L917" s="160"/>
      <c r="M917" s="160"/>
    </row>
    <row r="918" spans="3:17">
      <c r="C918" s="149" t="s">
        <v>51</v>
      </c>
      <c r="D918" s="173">
        <f>+Model!AF109-SUM(D909:D917)</f>
        <v>-7207.6579999998212</v>
      </c>
      <c r="E918" s="73">
        <f>D918*$J$905</f>
        <v>-8.8987057497402002</v>
      </c>
      <c r="F918" s="79"/>
      <c r="G918" s="108"/>
      <c r="K918" s="162"/>
      <c r="L918" s="160"/>
      <c r="M918" s="160"/>
    </row>
    <row r="919" spans="3:17">
      <c r="C919" s="130" t="s">
        <v>19</v>
      </c>
      <c r="D919" s="116">
        <f>SUM(D909:D918)</f>
        <v>1031823.6850000001</v>
      </c>
      <c r="E919" s="117">
        <f>SUM(E909:E918)</f>
        <v>1273.9083012023948</v>
      </c>
      <c r="F919" s="118">
        <f>+D919/D924</f>
        <v>2.6985589142198081</v>
      </c>
      <c r="G919" s="119">
        <f>+E919/E924</f>
        <v>2.5211556280036054</v>
      </c>
      <c r="I919" s="166"/>
      <c r="J919" s="56"/>
      <c r="K919" s="162"/>
      <c r="L919" s="167"/>
      <c r="M919" s="167"/>
    </row>
    <row r="920" spans="3:17">
      <c r="C920" s="131" t="s">
        <v>20</v>
      </c>
      <c r="D920" s="120">
        <f>Model!AF111</f>
        <v>278041.04499999998</v>
      </c>
      <c r="E920" s="73">
        <f>D920*$J$905</f>
        <v>343.27453464153473</v>
      </c>
      <c r="F920" s="121"/>
      <c r="G920" s="122"/>
      <c r="I920" s="166"/>
      <c r="J920" s="56"/>
      <c r="K920" s="162"/>
      <c r="L920" s="167"/>
      <c r="M920" s="167"/>
    </row>
    <row r="921" spans="3:17">
      <c r="C921" s="130" t="s">
        <v>21</v>
      </c>
      <c r="D921" s="116">
        <f>+D919-D920</f>
        <v>753782.64000000013</v>
      </c>
      <c r="E921" s="117">
        <f>+E919-E920</f>
        <v>930.63376656086007</v>
      </c>
      <c r="F921" s="118">
        <f>+D921/D924</f>
        <v>1.9713899691652657</v>
      </c>
      <c r="G921" s="119">
        <f>+E921/E924</f>
        <v>1.84179077564731</v>
      </c>
      <c r="I921" s="164"/>
      <c r="J921" s="57"/>
      <c r="K921" s="57"/>
      <c r="L921" s="165"/>
      <c r="M921" s="165"/>
    </row>
    <row r="922" spans="3:17">
      <c r="C922" s="132" t="s">
        <v>22</v>
      </c>
      <c r="D922" s="123">
        <f>Model!AF118</f>
        <v>1067900.27</v>
      </c>
      <c r="E922" s="73">
        <f>D922*$J$905</f>
        <v>1318.4491096550846</v>
      </c>
      <c r="F922" s="112"/>
      <c r="G922" s="109"/>
      <c r="I922" s="164"/>
      <c r="J922" s="57"/>
      <c r="K922" s="57"/>
      <c r="L922" s="165"/>
      <c r="M922" s="165"/>
    </row>
    <row r="923" spans="3:17">
      <c r="C923" s="130" t="s">
        <v>23</v>
      </c>
      <c r="D923" s="116">
        <f>D919+D922</f>
        <v>2099723.9550000001</v>
      </c>
      <c r="E923" s="117">
        <f>E919+E922</f>
        <v>2592.3574108574794</v>
      </c>
      <c r="F923" s="118">
        <f>D923/D924</f>
        <v>5.491469985171082</v>
      </c>
      <c r="G923" s="119">
        <f>E923/E924</f>
        <v>5.1304607011441474</v>
      </c>
      <c r="I923" s="166"/>
      <c r="J923" s="30"/>
      <c r="K923" s="162"/>
    </row>
    <row r="924" spans="3:17">
      <c r="C924" s="133" t="s">
        <v>24</v>
      </c>
      <c r="D924" s="124">
        <f>Model!AF87</f>
        <v>382361</v>
      </c>
      <c r="E924" s="125">
        <f>D924*$J$906</f>
        <v>505.28745114047086</v>
      </c>
      <c r="F924" s="126"/>
      <c r="G924" s="127"/>
    </row>
    <row r="925" spans="3:17">
      <c r="N925" s="352"/>
      <c r="O925" s="352"/>
      <c r="P925" s="352"/>
      <c r="Q925" s="352"/>
    </row>
    <row r="926" spans="3:17">
      <c r="C926" s="80" t="s">
        <v>25</v>
      </c>
      <c r="D926" s="172">
        <f>D919-Model!AF114</f>
        <v>0</v>
      </c>
      <c r="E926" s="81"/>
      <c r="N926" s="159"/>
      <c r="O926" s="159"/>
      <c r="P926" s="160"/>
      <c r="Q926" s="160"/>
    </row>
    <row r="927" spans="3:17" ht="13.5" thickBot="1">
      <c r="D927" s="103"/>
      <c r="E927" s="103"/>
      <c r="F927" s="188"/>
      <c r="G927" s="188"/>
      <c r="N927" s="161"/>
      <c r="O927" s="162"/>
      <c r="P927" s="160"/>
      <c r="Q927" s="160"/>
    </row>
    <row r="928" spans="3:17">
      <c r="C928" s="53" t="s">
        <v>155</v>
      </c>
      <c r="D928" s="99" t="s">
        <v>4</v>
      </c>
      <c r="E928" s="100" t="s">
        <v>65</v>
      </c>
      <c r="N928" s="163"/>
      <c r="O928" s="162"/>
      <c r="P928" s="157"/>
      <c r="Q928" s="157"/>
    </row>
    <row r="929" spans="3:17">
      <c r="C929" s="54"/>
      <c r="D929" s="82"/>
      <c r="E929" s="68"/>
      <c r="N929" s="163"/>
      <c r="O929" s="162"/>
      <c r="P929" s="160"/>
      <c r="Q929" s="160"/>
    </row>
    <row r="930" spans="3:17">
      <c r="C930" s="54" t="s">
        <v>27</v>
      </c>
      <c r="D930" s="95">
        <f>D920</f>
        <v>278041.04499999998</v>
      </c>
      <c r="E930" s="96">
        <f>E920</f>
        <v>343.27453464153473</v>
      </c>
      <c r="N930" s="163"/>
      <c r="O930" s="162"/>
      <c r="P930" s="160"/>
      <c r="Q930" s="160"/>
    </row>
    <row r="931" spans="3:17" ht="13.5" thickBot="1">
      <c r="C931" s="92" t="s">
        <v>28</v>
      </c>
      <c r="D931" s="98">
        <f>SUM(D930:D930)</f>
        <v>278041.04499999998</v>
      </c>
      <c r="E931" s="98">
        <f>SUM(E930:E930)</f>
        <v>343.27453464153473</v>
      </c>
      <c r="I931" s="156"/>
      <c r="J931" s="352"/>
      <c r="K931" s="352"/>
      <c r="L931" s="352"/>
      <c r="M931" s="352"/>
      <c r="N931" s="170"/>
      <c r="O931" s="171"/>
      <c r="P931" s="165"/>
      <c r="Q931" s="165"/>
    </row>
    <row r="932" spans="3:17">
      <c r="I932" s="158"/>
      <c r="J932" s="159"/>
      <c r="K932" s="159"/>
      <c r="L932" s="160"/>
      <c r="M932" s="160"/>
      <c r="N932" s="163"/>
      <c r="O932" s="162"/>
      <c r="P932" s="157"/>
      <c r="Q932" s="157"/>
    </row>
    <row r="933" spans="3:17" ht="13.5" thickBot="1">
      <c r="I933" s="158"/>
      <c r="J933" s="161"/>
      <c r="K933" s="162"/>
      <c r="L933" s="160"/>
      <c r="M933" s="160"/>
    </row>
    <row r="934" spans="3:17">
      <c r="C934" s="85" t="s">
        <v>156</v>
      </c>
      <c r="D934" s="99" t="s">
        <v>4</v>
      </c>
      <c r="E934" s="86" t="s">
        <v>65</v>
      </c>
      <c r="I934" s="158"/>
      <c r="J934" s="163"/>
      <c r="K934" s="162"/>
      <c r="L934" s="157"/>
      <c r="M934" s="157"/>
    </row>
    <row r="935" spans="3:17">
      <c r="C935" s="87"/>
      <c r="D935" s="102"/>
      <c r="E935" s="97"/>
      <c r="I935" s="158"/>
      <c r="J935" s="163"/>
      <c r="K935" s="162"/>
      <c r="L935" s="160"/>
      <c r="M935" s="160"/>
    </row>
    <row r="936" spans="3:17">
      <c r="C936" s="87">
        <v>2021</v>
      </c>
      <c r="D936" s="191"/>
      <c r="E936" s="97">
        <f t="shared" ref="E936:E941" si="26">D936*$J$905</f>
        <v>0</v>
      </c>
      <c r="I936" s="168"/>
      <c r="J936" s="169"/>
      <c r="K936" s="162"/>
      <c r="L936" s="160"/>
      <c r="M936" s="160"/>
    </row>
    <row r="937" spans="3:17">
      <c r="C937" s="87">
        <f>+C936+1</f>
        <v>2022</v>
      </c>
      <c r="D937" s="191"/>
      <c r="E937" s="97">
        <f t="shared" si="26"/>
        <v>0</v>
      </c>
      <c r="I937" s="168"/>
      <c r="J937" s="170"/>
      <c r="K937" s="171"/>
      <c r="L937" s="165"/>
      <c r="M937" s="165"/>
    </row>
    <row r="938" spans="3:17">
      <c r="C938" s="87">
        <f t="shared" ref="C938:C940" si="27">+C937+1</f>
        <v>2023</v>
      </c>
      <c r="D938" s="191"/>
      <c r="E938" s="97">
        <f t="shared" si="26"/>
        <v>0</v>
      </c>
      <c r="I938" s="158"/>
      <c r="J938" s="163"/>
      <c r="K938" s="162"/>
      <c r="L938" s="157"/>
      <c r="M938" s="157"/>
    </row>
    <row r="939" spans="3:17" ht="12.75" customHeight="1">
      <c r="C939" s="87">
        <f t="shared" si="27"/>
        <v>2024</v>
      </c>
      <c r="D939" s="191"/>
      <c r="E939" s="97">
        <f t="shared" si="26"/>
        <v>0</v>
      </c>
    </row>
    <row r="940" spans="3:17">
      <c r="C940" s="87">
        <f t="shared" si="27"/>
        <v>2025</v>
      </c>
      <c r="D940" s="191"/>
      <c r="E940" s="97">
        <f t="shared" si="26"/>
        <v>0</v>
      </c>
    </row>
    <row r="941" spans="3:17" ht="13.5" thickBot="1">
      <c r="C941" s="174" t="s">
        <v>130</v>
      </c>
      <c r="D941" s="191"/>
      <c r="E941" s="97">
        <f t="shared" si="26"/>
        <v>0</v>
      </c>
      <c r="J941" s="143"/>
    </row>
    <row r="942" spans="3:17" ht="13.5" thickBot="1">
      <c r="C942" s="88" t="s">
        <v>56</v>
      </c>
      <c r="D942" s="105">
        <f>SUM(D935:D941)</f>
        <v>0</v>
      </c>
      <c r="E942" s="105">
        <f>SUM(E935:E941)</f>
        <v>0</v>
      </c>
    </row>
    <row r="943" spans="3:17" ht="13.5" thickBot="1">
      <c r="C943" s="87" t="s">
        <v>57</v>
      </c>
      <c r="D943" s="175">
        <f>+D909+D910</f>
        <v>26334.618999999999</v>
      </c>
      <c r="E943" s="97">
        <f>D943*$J$905</f>
        <v>32.513199920490585</v>
      </c>
    </row>
    <row r="944" spans="3:17" ht="13.5" thickBot="1">
      <c r="C944" s="88" t="s">
        <v>58</v>
      </c>
      <c r="D944" s="105">
        <f>+D942+D943</f>
        <v>26334.618999999999</v>
      </c>
      <c r="E944" s="105">
        <f>+E942+E943</f>
        <v>32.513199920490585</v>
      </c>
    </row>
    <row r="945" spans="2:13">
      <c r="C945" s="189"/>
      <c r="D945" s="113"/>
      <c r="E945" s="113"/>
    </row>
    <row r="948" spans="2:13">
      <c r="B948" s="48" t="s">
        <v>157</v>
      </c>
      <c r="I948" s="48" t="s">
        <v>39</v>
      </c>
      <c r="J948" s="67">
        <f>Model!AE193</f>
        <v>1.37429E-3</v>
      </c>
      <c r="K948" s="67"/>
    </row>
    <row r="949" spans="2:13">
      <c r="C949" s="110"/>
      <c r="D949" s="350" t="s">
        <v>158</v>
      </c>
      <c r="E949" s="351"/>
      <c r="F949" s="78" t="s">
        <v>6</v>
      </c>
      <c r="G949" s="107" t="s">
        <v>7</v>
      </c>
      <c r="I949" s="48" t="s">
        <v>159</v>
      </c>
      <c r="J949" s="67">
        <f>AVERAGE(Model!AB192:AE192)</f>
        <v>1.3156871431833019E-3</v>
      </c>
      <c r="K949" s="67"/>
    </row>
    <row r="950" spans="2:13">
      <c r="C950" s="111"/>
      <c r="D950" s="128" t="s">
        <v>4</v>
      </c>
      <c r="E950" s="129" t="s">
        <v>5</v>
      </c>
      <c r="F950" s="79"/>
      <c r="G950" s="108"/>
    </row>
    <row r="951" spans="2:13">
      <c r="C951" s="111"/>
      <c r="D951" s="128"/>
      <c r="E951" s="129"/>
      <c r="F951" s="79"/>
      <c r="G951" s="108"/>
    </row>
    <row r="952" spans="2:13">
      <c r="C952" s="149" t="s">
        <v>42</v>
      </c>
      <c r="D952" s="101">
        <f>4000+411.559</f>
        <v>4411.5590000000002</v>
      </c>
      <c r="E952" s="73">
        <f t="shared" ref="E952:E961" si="28">D952*$J$948</f>
        <v>6.06276141811</v>
      </c>
      <c r="F952" s="79"/>
      <c r="G952" s="108"/>
      <c r="I952" s="158"/>
      <c r="J952" s="163"/>
      <c r="K952" s="162"/>
      <c r="L952" s="160"/>
      <c r="M952" s="160"/>
    </row>
    <row r="953" spans="2:13">
      <c r="C953" s="149" t="s">
        <v>43</v>
      </c>
      <c r="D953" s="101">
        <f>15397.561+1611.199</f>
        <v>17008.759999999998</v>
      </c>
      <c r="E953" s="73">
        <f t="shared" si="28"/>
        <v>23.3749687804</v>
      </c>
      <c r="F953" s="79"/>
      <c r="G953" s="108"/>
      <c r="I953" s="176" t="s">
        <v>138</v>
      </c>
      <c r="J953" s="192">
        <v>824532</v>
      </c>
      <c r="K953" s="57"/>
      <c r="L953" s="165"/>
      <c r="M953" s="165"/>
    </row>
    <row r="954" spans="2:13">
      <c r="C954" s="149" t="s">
        <v>44</v>
      </c>
      <c r="D954" s="101">
        <f>37246.703+8164.591</f>
        <v>45411.294000000002</v>
      </c>
      <c r="E954" s="73">
        <f t="shared" si="28"/>
        <v>62.408287231260005</v>
      </c>
      <c r="F954" s="79"/>
      <c r="G954" s="108"/>
      <c r="I954" s="184" t="s">
        <v>139</v>
      </c>
      <c r="J954" s="193">
        <v>365294</v>
      </c>
      <c r="K954" s="157"/>
      <c r="L954" s="157"/>
      <c r="M954" s="157"/>
    </row>
    <row r="955" spans="2:13">
      <c r="C955" s="149" t="s">
        <v>45</v>
      </c>
      <c r="D955" s="101">
        <f>38487.734+4683.173</f>
        <v>43170.906999999999</v>
      </c>
      <c r="E955" s="73">
        <f t="shared" si="28"/>
        <v>59.32934578103</v>
      </c>
      <c r="F955" s="79"/>
      <c r="G955" s="108"/>
      <c r="I955" s="178" t="s">
        <v>75</v>
      </c>
      <c r="J955" s="179">
        <f>D967</f>
        <v>374948</v>
      </c>
      <c r="K955" s="159"/>
      <c r="L955" s="160"/>
      <c r="M955" s="160"/>
    </row>
    <row r="956" spans="2:13">
      <c r="C956" s="149" t="s">
        <v>46</v>
      </c>
      <c r="D956" s="101">
        <f>118839.32+1665.257</f>
        <v>120504.577</v>
      </c>
      <c r="E956" s="73">
        <f t="shared" si="28"/>
        <v>165.60823512533</v>
      </c>
      <c r="F956" s="79"/>
      <c r="G956" s="108"/>
      <c r="I956" s="180" t="s">
        <v>76</v>
      </c>
      <c r="J956" s="181">
        <f>+J953/J955</f>
        <v>2.1990569358951109</v>
      </c>
      <c r="K956" s="159"/>
      <c r="L956" s="160"/>
      <c r="M956" s="160"/>
    </row>
    <row r="957" spans="2:13">
      <c r="C957" s="149" t="s">
        <v>47</v>
      </c>
      <c r="D957" s="101">
        <f>89129.499+1103.839</f>
        <v>90233.337999999989</v>
      </c>
      <c r="E957" s="73">
        <f t="shared" si="28"/>
        <v>124.00677408001998</v>
      </c>
      <c r="F957" s="79"/>
      <c r="G957" s="108"/>
      <c r="I957" s="182" t="s">
        <v>13</v>
      </c>
      <c r="J957" s="183">
        <f>+J954/J955</f>
        <v>0.97425242967024761</v>
      </c>
      <c r="K957" s="162"/>
      <c r="L957" s="160"/>
      <c r="M957" s="160"/>
    </row>
    <row r="958" spans="2:13">
      <c r="C958" s="149" t="s">
        <v>48</v>
      </c>
      <c r="D958" s="101">
        <f>169346.031+1241.188</f>
        <v>170587.21899999998</v>
      </c>
      <c r="E958" s="73">
        <f t="shared" si="28"/>
        <v>234.43630919950999</v>
      </c>
      <c r="F958" s="79"/>
      <c r="G958" s="108"/>
      <c r="K958" s="162"/>
      <c r="L958" s="157"/>
      <c r="M958" s="157"/>
    </row>
    <row r="959" spans="2:13">
      <c r="C959" s="149" t="s">
        <v>117</v>
      </c>
      <c r="D959" s="101">
        <f>265632.4+3265.972</f>
        <v>268898.37200000003</v>
      </c>
      <c r="E959" s="73">
        <f t="shared" si="28"/>
        <v>369.54434365588003</v>
      </c>
      <c r="F959" s="79"/>
      <c r="G959" s="108"/>
      <c r="I959" s="158"/>
      <c r="J959" s="163"/>
      <c r="K959" s="162"/>
      <c r="L959" s="160"/>
      <c r="M959" s="160"/>
    </row>
    <row r="960" spans="2:13">
      <c r="C960" s="149" t="s">
        <v>50</v>
      </c>
      <c r="D960" s="101">
        <f>218328+3808.914</f>
        <v>222136.91399999999</v>
      </c>
      <c r="E960" s="73">
        <f t="shared" si="28"/>
        <v>305.28053954105997</v>
      </c>
      <c r="F960" s="79"/>
      <c r="G960" s="108"/>
      <c r="K960" s="162"/>
      <c r="L960" s="160"/>
      <c r="M960" s="160"/>
    </row>
    <row r="961" spans="3:17">
      <c r="C961" s="149" t="s">
        <v>51</v>
      </c>
      <c r="D961" s="173">
        <f>+Model!AE109-SUM(D952:D960)</f>
        <v>-7378.8580000000075</v>
      </c>
      <c r="E961" s="73">
        <f t="shared" si="28"/>
        <v>-10.140690760820011</v>
      </c>
      <c r="F961" s="79"/>
      <c r="G961" s="108"/>
      <c r="K961" s="162"/>
      <c r="L961" s="160"/>
      <c r="M961" s="160"/>
    </row>
    <row r="962" spans="3:17">
      <c r="C962" s="130" t="s">
        <v>19</v>
      </c>
      <c r="D962" s="116">
        <f>SUM(D952:D961)</f>
        <v>974984.08200000005</v>
      </c>
      <c r="E962" s="117">
        <f>SUM(E952:E961)</f>
        <v>1339.9108740517802</v>
      </c>
      <c r="F962" s="118">
        <f>+D962/D967</f>
        <v>2.6003181294472837</v>
      </c>
      <c r="G962" s="119">
        <f>+E962/E967</f>
        <v>2.71614055106734</v>
      </c>
      <c r="I962" s="166"/>
      <c r="J962" s="56"/>
      <c r="K962" s="162"/>
      <c r="L962" s="167"/>
      <c r="M962" s="167"/>
    </row>
    <row r="963" spans="3:17">
      <c r="C963" s="131" t="s">
        <v>20</v>
      </c>
      <c r="D963" s="120">
        <f>Model!AE111</f>
        <v>245081.72099999999</v>
      </c>
      <c r="E963" s="73">
        <f>D963*$J$948</f>
        <v>336.81335835309</v>
      </c>
      <c r="F963" s="121"/>
      <c r="G963" s="122"/>
      <c r="I963" s="166"/>
      <c r="J963" s="56"/>
      <c r="K963" s="162"/>
      <c r="L963" s="167"/>
      <c r="M963" s="167"/>
    </row>
    <row r="964" spans="3:17">
      <c r="C964" s="130" t="s">
        <v>21</v>
      </c>
      <c r="D964" s="116">
        <f>+D962-D963</f>
        <v>729902.36100000003</v>
      </c>
      <c r="E964" s="117">
        <f>+E962-E963</f>
        <v>1003.0975156986901</v>
      </c>
      <c r="F964" s="118">
        <f>+D964/D967</f>
        <v>1.9466762351046012</v>
      </c>
      <c r="G964" s="119">
        <f>+E964/E967</f>
        <v>2.0333843778917124</v>
      </c>
      <c r="I964" s="164"/>
      <c r="J964" s="57"/>
      <c r="K964" s="57"/>
      <c r="L964" s="165"/>
      <c r="M964" s="165"/>
    </row>
    <row r="965" spans="3:17">
      <c r="C965" s="132" t="s">
        <v>22</v>
      </c>
      <c r="D965" s="123">
        <f>Model!AE118</f>
        <v>912197.39300000004</v>
      </c>
      <c r="E965" s="73">
        <f>D965*$J$948</f>
        <v>1253.6237552259702</v>
      </c>
      <c r="F965" s="112"/>
      <c r="G965" s="109"/>
      <c r="I965" s="164"/>
      <c r="J965" s="57"/>
      <c r="K965" s="57"/>
      <c r="L965" s="165"/>
      <c r="M965" s="165"/>
    </row>
    <row r="966" spans="3:17">
      <c r="C966" s="130" t="s">
        <v>23</v>
      </c>
      <c r="D966" s="116">
        <f>D962+D965</f>
        <v>1887181.4750000001</v>
      </c>
      <c r="E966" s="117">
        <f>E962+E965</f>
        <v>2593.5346292777504</v>
      </c>
      <c r="F966" s="118">
        <f>D966/D967</f>
        <v>5.0331818678856806</v>
      </c>
      <c r="G966" s="119">
        <f>E966/E967</f>
        <v>5.257368018722766</v>
      </c>
      <c r="I966" s="166"/>
      <c r="J966" s="30"/>
      <c r="K966" s="162"/>
    </row>
    <row r="967" spans="3:17">
      <c r="C967" s="133" t="s">
        <v>24</v>
      </c>
      <c r="D967" s="124">
        <f>Model!AE87</f>
        <v>374948</v>
      </c>
      <c r="E967" s="125">
        <f>D967*$J$949</f>
        <v>493.31426296229267</v>
      </c>
      <c r="F967" s="126"/>
      <c r="G967" s="127"/>
    </row>
    <row r="968" spans="3:17">
      <c r="N968" s="352"/>
      <c r="O968" s="352"/>
      <c r="P968" s="352"/>
      <c r="Q968" s="352"/>
    </row>
    <row r="969" spans="3:17">
      <c r="C969" s="80" t="s">
        <v>25</v>
      </c>
      <c r="D969" s="172">
        <f>D962-Model!AE114</f>
        <v>0</v>
      </c>
      <c r="E969" s="81"/>
      <c r="N969" s="159"/>
      <c r="O969" s="159"/>
      <c r="P969" s="160"/>
      <c r="Q969" s="160"/>
    </row>
    <row r="970" spans="3:17" ht="13.5" thickBot="1">
      <c r="D970" s="103"/>
      <c r="E970" s="103"/>
      <c r="F970" s="188"/>
      <c r="G970" s="188"/>
      <c r="N970" s="161"/>
      <c r="O970" s="162"/>
      <c r="P970" s="160"/>
      <c r="Q970" s="160"/>
    </row>
    <row r="971" spans="3:17">
      <c r="C971" s="53" t="s">
        <v>160</v>
      </c>
      <c r="D971" s="99" t="s">
        <v>4</v>
      </c>
      <c r="E971" s="100" t="s">
        <v>65</v>
      </c>
      <c r="N971" s="163"/>
      <c r="O971" s="162"/>
      <c r="P971" s="157"/>
      <c r="Q971" s="157"/>
    </row>
    <row r="972" spans="3:17">
      <c r="C972" s="54"/>
      <c r="D972" s="82"/>
      <c r="E972" s="68"/>
      <c r="N972" s="163"/>
      <c r="O972" s="162"/>
      <c r="P972" s="160"/>
      <c r="Q972" s="160"/>
    </row>
    <row r="973" spans="3:17">
      <c r="C973" s="54" t="s">
        <v>27</v>
      </c>
      <c r="D973" s="95">
        <f>D963</f>
        <v>245081.72099999999</v>
      </c>
      <c r="E973" s="96">
        <f>E963</f>
        <v>336.81335835309</v>
      </c>
      <c r="N973" s="163"/>
      <c r="O973" s="162"/>
      <c r="P973" s="160"/>
      <c r="Q973" s="160"/>
    </row>
    <row r="974" spans="3:17" ht="13.5" thickBot="1">
      <c r="C974" s="92" t="s">
        <v>28</v>
      </c>
      <c r="D974" s="98">
        <f>SUM(D973:D973)</f>
        <v>245081.72099999999</v>
      </c>
      <c r="E974" s="98">
        <f>SUM(E973:E973)</f>
        <v>336.81335835309</v>
      </c>
      <c r="I974" s="156"/>
      <c r="J974" s="352"/>
      <c r="K974" s="352"/>
      <c r="L974" s="352"/>
      <c r="M974" s="352"/>
      <c r="N974" s="170"/>
      <c r="O974" s="171"/>
      <c r="P974" s="165"/>
      <c r="Q974" s="165"/>
    </row>
    <row r="975" spans="3:17">
      <c r="I975" s="158"/>
      <c r="J975" s="159"/>
      <c r="K975" s="159"/>
      <c r="L975" s="160"/>
      <c r="M975" s="160"/>
      <c r="N975" s="163"/>
      <c r="O975" s="162"/>
      <c r="P975" s="157"/>
      <c r="Q975" s="157"/>
    </row>
    <row r="976" spans="3:17" ht="13.5" thickBot="1">
      <c r="I976" s="158"/>
      <c r="J976" s="161"/>
      <c r="K976" s="162"/>
      <c r="L976" s="160"/>
      <c r="M976" s="160"/>
    </row>
    <row r="977" spans="2:13">
      <c r="C977" s="85" t="s">
        <v>161</v>
      </c>
      <c r="D977" s="99" t="s">
        <v>4</v>
      </c>
      <c r="E977" s="86" t="s">
        <v>65</v>
      </c>
      <c r="I977" s="158"/>
      <c r="J977" s="163"/>
      <c r="K977" s="162"/>
      <c r="L977" s="157"/>
      <c r="M977" s="157"/>
    </row>
    <row r="978" spans="2:13">
      <c r="C978" s="87"/>
      <c r="D978" s="102"/>
      <c r="E978" s="97"/>
      <c r="I978" s="158"/>
      <c r="J978" s="163"/>
      <c r="K978" s="162"/>
      <c r="L978" s="160"/>
      <c r="M978" s="160"/>
    </row>
    <row r="979" spans="2:13">
      <c r="C979" s="87">
        <v>2021</v>
      </c>
      <c r="D979" s="191">
        <v>11000</v>
      </c>
      <c r="E979" s="97">
        <f>D979*$J$948</f>
        <v>15.117190000000001</v>
      </c>
      <c r="I979" s="168"/>
      <c r="J979" s="169"/>
      <c r="K979" s="162"/>
      <c r="L979" s="160"/>
      <c r="M979" s="160"/>
    </row>
    <row r="980" spans="2:13">
      <c r="C980" s="87">
        <f>+C979+1</f>
        <v>2022</v>
      </c>
      <c r="D980" s="191">
        <v>12000</v>
      </c>
      <c r="E980" s="97">
        <f t="shared" ref="E980:E984" si="29">D980*$J$948</f>
        <v>16.491479999999999</v>
      </c>
      <c r="I980" s="168"/>
      <c r="J980" s="170"/>
      <c r="K980" s="171"/>
      <c r="L980" s="165"/>
      <c r="M980" s="165"/>
    </row>
    <row r="981" spans="2:13">
      <c r="C981" s="87">
        <f t="shared" ref="C981:C983" si="30">+C980+1</f>
        <v>2023</v>
      </c>
      <c r="D981" s="191">
        <v>122000</v>
      </c>
      <c r="E981" s="97">
        <f t="shared" si="29"/>
        <v>167.66337999999999</v>
      </c>
      <c r="I981" s="158"/>
      <c r="J981" s="163"/>
      <c r="K981" s="162"/>
      <c r="L981" s="157"/>
      <c r="M981" s="157"/>
    </row>
    <row r="982" spans="2:13">
      <c r="C982" s="87">
        <f t="shared" si="30"/>
        <v>2024</v>
      </c>
      <c r="D982" s="191">
        <v>13000</v>
      </c>
      <c r="E982" s="97">
        <f t="shared" si="29"/>
        <v>17.865770000000001</v>
      </c>
    </row>
    <row r="983" spans="2:13" ht="12.75" customHeight="1">
      <c r="C983" s="87">
        <f t="shared" si="30"/>
        <v>2025</v>
      </c>
      <c r="D983" s="191">
        <v>13000</v>
      </c>
      <c r="E983" s="97">
        <f t="shared" si="29"/>
        <v>17.865770000000001</v>
      </c>
    </row>
    <row r="984" spans="2:13" ht="13.5" thickBot="1">
      <c r="C984" s="174" t="s">
        <v>130</v>
      </c>
      <c r="D984" s="191">
        <f>(9+(4*5)+53+67+67+14+168+245)*1000</f>
        <v>643000</v>
      </c>
      <c r="E984" s="97">
        <f t="shared" si="29"/>
        <v>883.66846999999996</v>
      </c>
      <c r="J984" s="143"/>
    </row>
    <row r="985" spans="2:13" ht="13.5" thickBot="1">
      <c r="C985" s="88" t="s">
        <v>56</v>
      </c>
      <c r="D985" s="105">
        <f>SUM(D978:D984)</f>
        <v>814000</v>
      </c>
      <c r="E985" s="105">
        <f>SUM(E978:E984)</f>
        <v>1118.6720599999999</v>
      </c>
    </row>
    <row r="986" spans="2:13" ht="13.5" thickBot="1">
      <c r="C986" s="87" t="s">
        <v>57</v>
      </c>
      <c r="D986" s="175">
        <f>+D952+D953</f>
        <v>21420.319</v>
      </c>
      <c r="E986" s="97">
        <f>D986*$J$948</f>
        <v>29.43773019851</v>
      </c>
    </row>
    <row r="987" spans="2:13" ht="13.5" thickBot="1">
      <c r="C987" s="88" t="s">
        <v>58</v>
      </c>
      <c r="D987" s="105">
        <f>+D985+D986</f>
        <v>835420.31900000002</v>
      </c>
      <c r="E987" s="105">
        <f>+E985+E986</f>
        <v>1148.1097901985099</v>
      </c>
    </row>
    <row r="988" spans="2:13">
      <c r="C988" s="189"/>
      <c r="D988" s="113"/>
      <c r="E988" s="113"/>
    </row>
    <row r="991" spans="2:13">
      <c r="B991" s="48" t="s">
        <v>162</v>
      </c>
      <c r="I991" s="48" t="s">
        <v>39</v>
      </c>
      <c r="J991" s="67">
        <f>Model!AD193</f>
        <v>1.3907432131731198E-3</v>
      </c>
    </row>
    <row r="992" spans="2:13">
      <c r="C992" s="110"/>
      <c r="D992" s="350" t="s">
        <v>163</v>
      </c>
      <c r="E992" s="351"/>
      <c r="F992" s="78" t="s">
        <v>6</v>
      </c>
      <c r="G992" s="107" t="s">
        <v>7</v>
      </c>
      <c r="I992" s="48" t="s">
        <v>164</v>
      </c>
      <c r="J992" s="67">
        <f>AVERAGE(Model!AA192:AD192)</f>
        <v>1.2740463183849109E-3</v>
      </c>
    </row>
    <row r="993" spans="3:13">
      <c r="C993" s="111"/>
      <c r="D993" s="128" t="s">
        <v>4</v>
      </c>
      <c r="E993" s="129" t="s">
        <v>5</v>
      </c>
      <c r="F993" s="79"/>
      <c r="G993" s="108"/>
    </row>
    <row r="994" spans="3:13">
      <c r="C994" s="111"/>
      <c r="D994" s="128"/>
      <c r="E994" s="129"/>
      <c r="F994" s="79"/>
      <c r="G994" s="108"/>
    </row>
    <row r="995" spans="3:13">
      <c r="C995" s="149" t="s">
        <v>42</v>
      </c>
      <c r="D995" s="101">
        <f>4000+781.362</f>
        <v>4781.3620000000001</v>
      </c>
      <c r="E995" s="73">
        <f>D995*$J$991</f>
        <v>6.6496467512238544</v>
      </c>
      <c r="F995" s="79"/>
      <c r="G995" s="108"/>
      <c r="I995" s="158"/>
      <c r="J995" s="163"/>
      <c r="K995" s="162"/>
      <c r="L995" s="160"/>
      <c r="M995" s="160"/>
    </row>
    <row r="996" spans="3:13">
      <c r="C996" s="149" t="s">
        <v>43</v>
      </c>
      <c r="D996" s="101">
        <f>14000.006+5858.558</f>
        <v>19858.563999999998</v>
      </c>
      <c r="E996" s="73">
        <f t="shared" ref="E996:E1004" si="31">D996*$J$991</f>
        <v>27.61816310636404</v>
      </c>
      <c r="F996" s="79"/>
      <c r="G996" s="108"/>
      <c r="I996" s="176" t="s">
        <v>138</v>
      </c>
      <c r="J996" s="192"/>
      <c r="K996" s="57"/>
      <c r="L996" s="165"/>
      <c r="M996" s="165"/>
    </row>
    <row r="997" spans="3:13">
      <c r="C997" s="149" t="s">
        <v>44</v>
      </c>
      <c r="D997" s="101">
        <f>40839.224+8593.852</f>
        <v>49433.076000000001</v>
      </c>
      <c r="E997" s="73">
        <f t="shared" si="31"/>
        <v>68.748714953271033</v>
      </c>
      <c r="F997" s="79"/>
      <c r="G997" s="108"/>
      <c r="I997" s="184" t="s">
        <v>139</v>
      </c>
      <c r="J997" s="193"/>
      <c r="K997" s="157"/>
      <c r="L997" s="157"/>
      <c r="M997" s="157"/>
    </row>
    <row r="998" spans="3:13">
      <c r="C998" s="149" t="s">
        <v>45</v>
      </c>
      <c r="D998" s="101">
        <f>38079.588+4216.755</f>
        <v>42296.343000000001</v>
      </c>
      <c r="E998" s="73">
        <f t="shared" si="31"/>
        <v>58.823351969292396</v>
      </c>
      <c r="F998" s="79"/>
      <c r="G998" s="108"/>
      <c r="I998" s="178" t="s">
        <v>75</v>
      </c>
      <c r="J998" s="179">
        <f>D1010</f>
        <v>348498</v>
      </c>
      <c r="K998" s="159"/>
      <c r="L998" s="160"/>
      <c r="M998" s="160"/>
    </row>
    <row r="999" spans="3:13">
      <c r="C999" s="149" t="s">
        <v>46</v>
      </c>
      <c r="D999" s="101">
        <f>117579.08+541.002</f>
        <v>118120.08199999999</v>
      </c>
      <c r="E999" s="73">
        <f t="shared" si="31"/>
        <v>164.27470238095239</v>
      </c>
      <c r="F999" s="79"/>
      <c r="G999" s="108"/>
      <c r="I999" s="180" t="s">
        <v>76</v>
      </c>
      <c r="J999" s="194"/>
      <c r="K999" s="159"/>
      <c r="L999" s="160"/>
      <c r="M999" s="160"/>
    </row>
    <row r="1000" spans="3:13">
      <c r="C1000" s="149" t="s">
        <v>47</v>
      </c>
      <c r="D1000" s="101">
        <f>88184.319+273.033</f>
        <v>88457.351999999999</v>
      </c>
      <c r="E1000" s="73">
        <f t="shared" si="31"/>
        <v>123.0214619492657</v>
      </c>
      <c r="F1000" s="79"/>
      <c r="G1000" s="108"/>
      <c r="I1000" s="182" t="s">
        <v>13</v>
      </c>
      <c r="J1000" s="195"/>
      <c r="K1000" s="162"/>
      <c r="L1000" s="160"/>
      <c r="M1000" s="160"/>
    </row>
    <row r="1001" spans="3:13">
      <c r="C1001" s="149" t="s">
        <v>48</v>
      </c>
      <c r="D1001" s="101">
        <f>167550.189+75.96</f>
        <v>167626.149</v>
      </c>
      <c r="E1001" s="73">
        <f t="shared" si="31"/>
        <v>233.12492907209617</v>
      </c>
      <c r="F1001" s="79"/>
      <c r="G1001" s="108"/>
      <c r="K1001" s="162"/>
      <c r="L1001" s="157"/>
      <c r="M1001" s="157"/>
    </row>
    <row r="1002" spans="3:13">
      <c r="C1002" s="149" t="s">
        <v>117</v>
      </c>
      <c r="D1002" s="101">
        <f>263464.3+0</f>
        <v>263464.3</v>
      </c>
      <c r="E1002" s="73">
        <f t="shared" si="31"/>
        <v>366.41118713840677</v>
      </c>
      <c r="F1002" s="79"/>
      <c r="G1002" s="108"/>
      <c r="I1002" s="158"/>
      <c r="J1002" s="163"/>
      <c r="K1002" s="162"/>
      <c r="L1002" s="160"/>
      <c r="M1002" s="160"/>
    </row>
    <row r="1003" spans="3:13">
      <c r="C1003" s="149" t="s">
        <v>50</v>
      </c>
      <c r="D1003" s="101">
        <f>216546+1639.434</f>
        <v>218185.43400000001</v>
      </c>
      <c r="E1003" s="73">
        <f t="shared" si="31"/>
        <v>303.43991154873169</v>
      </c>
      <c r="F1003" s="79"/>
      <c r="G1003" s="108"/>
      <c r="K1003" s="162"/>
      <c r="L1003" s="160"/>
      <c r="M1003" s="160"/>
    </row>
    <row r="1004" spans="3:13">
      <c r="C1004" s="149" t="s">
        <v>51</v>
      </c>
      <c r="D1004" s="173">
        <f>+Model!AD109-SUM(D995:D1003)</f>
        <v>-7539.5819999998203</v>
      </c>
      <c r="E1004" s="73">
        <f t="shared" si="31"/>
        <v>-10.485622496661968</v>
      </c>
      <c r="F1004" s="79"/>
      <c r="G1004" s="108"/>
      <c r="K1004" s="162"/>
      <c r="L1004" s="160"/>
      <c r="M1004" s="160"/>
    </row>
    <row r="1005" spans="3:13">
      <c r="C1005" s="130" t="s">
        <v>19</v>
      </c>
      <c r="D1005" s="116">
        <f>SUM(D995:D1004)</f>
        <v>964683.08000000007</v>
      </c>
      <c r="E1005" s="117">
        <f>SUM(E995:E1004)</f>
        <v>1341.6264463729422</v>
      </c>
      <c r="F1005" s="118">
        <f>+D1005/D1010</f>
        <v>2.7681165458625303</v>
      </c>
      <c r="G1005" s="119">
        <f>+E1005/E1010</f>
        <v>3.0216635328539625</v>
      </c>
      <c r="I1005" s="166"/>
      <c r="J1005" s="56"/>
      <c r="K1005" s="162"/>
      <c r="L1005" s="167"/>
      <c r="M1005" s="167"/>
    </row>
    <row r="1006" spans="3:13">
      <c r="C1006" s="131" t="s">
        <v>20</v>
      </c>
      <c r="D1006" s="120">
        <f>Model!AD111</f>
        <v>208294.736</v>
      </c>
      <c r="E1006" s="73">
        <f>D1006*$J$991</f>
        <v>289.6844904316867</v>
      </c>
      <c r="F1006" s="121"/>
      <c r="G1006" s="122"/>
      <c r="I1006" s="166"/>
      <c r="J1006" s="56"/>
      <c r="K1006" s="162"/>
      <c r="L1006" s="167"/>
      <c r="M1006" s="167"/>
    </row>
    <row r="1007" spans="3:13">
      <c r="C1007" s="130" t="s">
        <v>21</v>
      </c>
      <c r="D1007" s="116">
        <f>+D1005-D1006</f>
        <v>756388.34400000004</v>
      </c>
      <c r="E1007" s="117">
        <f>+E1005-E1006</f>
        <v>1051.9419559412554</v>
      </c>
      <c r="F1007" s="118">
        <f>+D1007/D1010</f>
        <v>2.1704237728767453</v>
      </c>
      <c r="G1007" s="119">
        <f>+E1007/E1010</f>
        <v>2.3692247984079895</v>
      </c>
      <c r="I1007" s="164"/>
      <c r="J1007" s="57"/>
      <c r="K1007" s="57"/>
      <c r="L1007" s="165"/>
      <c r="M1007" s="165"/>
    </row>
    <row r="1008" spans="3:13">
      <c r="C1008" s="132" t="s">
        <v>22</v>
      </c>
      <c r="D1008" s="123">
        <f>Model!AD118</f>
        <v>890478.83499999996</v>
      </c>
      <c r="E1008" s="73">
        <f>D1008*$J$991</f>
        <v>1238.4273962505563</v>
      </c>
      <c r="F1008" s="112"/>
      <c r="G1008" s="109"/>
      <c r="I1008" s="164"/>
      <c r="J1008" s="57"/>
      <c r="K1008" s="57"/>
      <c r="L1008" s="165"/>
      <c r="M1008" s="165"/>
    </row>
    <row r="1009" spans="3:17">
      <c r="C1009" s="130" t="s">
        <v>23</v>
      </c>
      <c r="D1009" s="116">
        <f>D1005+D1008</f>
        <v>1855161.915</v>
      </c>
      <c r="E1009" s="117">
        <f>E1005+E1008</f>
        <v>2580.0538426234984</v>
      </c>
      <c r="F1009" s="118">
        <f>D1009/D1010</f>
        <v>5.3233072069280167</v>
      </c>
      <c r="G1009" s="119">
        <f>E1009/E1010</f>
        <v>5.810898130497967</v>
      </c>
      <c r="I1009" s="166"/>
      <c r="J1009" s="30"/>
      <c r="K1009" s="162"/>
    </row>
    <row r="1010" spans="3:17">
      <c r="C1010" s="133" t="s">
        <v>24</v>
      </c>
      <c r="D1010" s="124">
        <f>Model!AD87</f>
        <v>348498</v>
      </c>
      <c r="E1010" s="125">
        <f>D1010*$J$992</f>
        <v>444.00259386450466</v>
      </c>
      <c r="F1010" s="126"/>
      <c r="G1010" s="127"/>
    </row>
    <row r="1011" spans="3:17">
      <c r="N1011" s="352"/>
      <c r="O1011" s="352"/>
      <c r="P1011" s="352"/>
      <c r="Q1011" s="352"/>
    </row>
    <row r="1012" spans="3:17">
      <c r="C1012" s="80" t="s">
        <v>25</v>
      </c>
      <c r="D1012" s="172">
        <f>D1005-Model!AD114</f>
        <v>0</v>
      </c>
      <c r="E1012" s="81"/>
      <c r="N1012" s="159"/>
      <c r="O1012" s="159"/>
      <c r="P1012" s="160"/>
      <c r="Q1012" s="160"/>
    </row>
    <row r="1013" spans="3:17" ht="13.5" thickBot="1">
      <c r="D1013" s="103"/>
      <c r="E1013" s="103"/>
      <c r="F1013" s="188"/>
      <c r="G1013" s="188"/>
      <c r="N1013" s="161"/>
      <c r="O1013" s="162"/>
      <c r="P1013" s="160"/>
      <c r="Q1013" s="160"/>
    </row>
    <row r="1014" spans="3:17">
      <c r="C1014" s="53" t="s">
        <v>165</v>
      </c>
      <c r="D1014" s="99" t="s">
        <v>4</v>
      </c>
      <c r="E1014" s="100" t="s">
        <v>65</v>
      </c>
      <c r="N1014" s="163"/>
      <c r="O1014" s="162"/>
      <c r="P1014" s="157"/>
      <c r="Q1014" s="157"/>
    </row>
    <row r="1015" spans="3:17">
      <c r="C1015" s="54"/>
      <c r="D1015" s="82"/>
      <c r="E1015" s="68"/>
      <c r="N1015" s="163"/>
      <c r="O1015" s="162"/>
      <c r="P1015" s="160"/>
      <c r="Q1015" s="160"/>
    </row>
    <row r="1016" spans="3:17">
      <c r="C1016" s="54" t="s">
        <v>27</v>
      </c>
      <c r="D1016" s="95">
        <f>D1006</f>
        <v>208294.736</v>
      </c>
      <c r="E1016" s="96">
        <f>E1006</f>
        <v>289.6844904316867</v>
      </c>
      <c r="N1016" s="163"/>
      <c r="O1016" s="162"/>
      <c r="P1016" s="160"/>
      <c r="Q1016" s="160"/>
    </row>
    <row r="1017" spans="3:17" ht="13.5" thickBot="1">
      <c r="C1017" s="92" t="s">
        <v>28</v>
      </c>
      <c r="D1017" s="98">
        <f>SUM(D1016:D1016)</f>
        <v>208294.736</v>
      </c>
      <c r="E1017" s="98">
        <f>SUM(E1016:E1016)</f>
        <v>289.6844904316867</v>
      </c>
      <c r="I1017" s="156"/>
      <c r="J1017" s="352"/>
      <c r="K1017" s="352"/>
      <c r="L1017" s="352"/>
      <c r="M1017" s="352"/>
      <c r="N1017" s="170"/>
      <c r="O1017" s="171"/>
      <c r="P1017" s="165"/>
      <c r="Q1017" s="165"/>
    </row>
    <row r="1018" spans="3:17">
      <c r="I1018" s="158"/>
      <c r="J1018" s="159"/>
      <c r="K1018" s="159"/>
      <c r="L1018" s="160"/>
      <c r="M1018" s="160"/>
      <c r="N1018" s="163"/>
      <c r="O1018" s="162"/>
      <c r="P1018" s="157"/>
      <c r="Q1018" s="157"/>
    </row>
    <row r="1019" spans="3:17" ht="13.5" thickBot="1">
      <c r="I1019" s="158"/>
      <c r="J1019" s="161"/>
      <c r="K1019" s="162"/>
      <c r="L1019" s="160"/>
      <c r="M1019" s="160"/>
    </row>
    <row r="1020" spans="3:17">
      <c r="C1020" s="85" t="s">
        <v>166</v>
      </c>
      <c r="D1020" s="99" t="s">
        <v>4</v>
      </c>
      <c r="E1020" s="86" t="s">
        <v>65</v>
      </c>
      <c r="I1020" s="158"/>
      <c r="J1020" s="163"/>
      <c r="K1020" s="162"/>
      <c r="L1020" s="157"/>
      <c r="M1020" s="157"/>
    </row>
    <row r="1021" spans="3:17">
      <c r="C1021" s="87"/>
      <c r="D1021" s="102"/>
      <c r="E1021" s="97"/>
      <c r="I1021" s="158"/>
      <c r="J1021" s="163"/>
      <c r="K1021" s="162"/>
      <c r="L1021" s="160"/>
      <c r="M1021" s="160"/>
    </row>
    <row r="1022" spans="3:17">
      <c r="C1022" s="87">
        <v>2020</v>
      </c>
      <c r="D1022" s="191"/>
      <c r="E1022" s="97">
        <f>D1022*$J$991</f>
        <v>0</v>
      </c>
      <c r="I1022" s="168"/>
      <c r="J1022" s="169"/>
      <c r="K1022" s="162"/>
      <c r="L1022" s="160"/>
      <c r="M1022" s="160"/>
    </row>
    <row r="1023" spans="3:17">
      <c r="C1023" s="87">
        <f>+C1022+1</f>
        <v>2021</v>
      </c>
      <c r="D1023" s="191"/>
      <c r="E1023" s="97">
        <f t="shared" ref="E1023:E1027" si="32">D1023*$J$991</f>
        <v>0</v>
      </c>
      <c r="I1023" s="168"/>
      <c r="J1023" s="170"/>
      <c r="K1023" s="171"/>
      <c r="L1023" s="165"/>
      <c r="M1023" s="165"/>
    </row>
    <row r="1024" spans="3:17">
      <c r="C1024" s="87">
        <f t="shared" ref="C1024:C1026" si="33">+C1023+1</f>
        <v>2022</v>
      </c>
      <c r="D1024" s="191"/>
      <c r="E1024" s="97">
        <f t="shared" si="32"/>
        <v>0</v>
      </c>
      <c r="I1024" s="158"/>
      <c r="J1024" s="163"/>
      <c r="K1024" s="162"/>
      <c r="L1024" s="157"/>
      <c r="M1024" s="157"/>
    </row>
    <row r="1025" spans="2:13">
      <c r="C1025" s="87">
        <f t="shared" si="33"/>
        <v>2023</v>
      </c>
      <c r="D1025" s="191"/>
      <c r="E1025" s="97">
        <f t="shared" si="32"/>
        <v>0</v>
      </c>
    </row>
    <row r="1026" spans="2:13">
      <c r="C1026" s="87">
        <f t="shared" si="33"/>
        <v>2024</v>
      </c>
      <c r="D1026" s="191"/>
      <c r="E1026" s="97">
        <f t="shared" si="32"/>
        <v>0</v>
      </c>
    </row>
    <row r="1027" spans="2:13" ht="13.5" thickBot="1">
      <c r="C1027" s="174" t="s">
        <v>167</v>
      </c>
      <c r="D1027" s="191"/>
      <c r="E1027" s="97">
        <f t="shared" si="32"/>
        <v>0</v>
      </c>
      <c r="J1027" s="143"/>
    </row>
    <row r="1028" spans="2:13" ht="13.5" thickBot="1">
      <c r="C1028" s="88" t="s">
        <v>56</v>
      </c>
      <c r="D1028" s="105">
        <f>SUM(D1021:D1027)</f>
        <v>0</v>
      </c>
      <c r="E1028" s="105">
        <f>SUM(E1021:E1027)</f>
        <v>0</v>
      </c>
    </row>
    <row r="1029" spans="2:13" ht="13.5" thickBot="1">
      <c r="C1029" s="87" t="s">
        <v>57</v>
      </c>
      <c r="D1029" s="175"/>
      <c r="E1029" s="97">
        <f>D1029*$J$991</f>
        <v>0</v>
      </c>
    </row>
    <row r="1030" spans="2:13" ht="13.5" thickBot="1">
      <c r="C1030" s="88" t="s">
        <v>58</v>
      </c>
      <c r="D1030" s="105">
        <f>+D1028+D1029</f>
        <v>0</v>
      </c>
      <c r="E1030" s="105">
        <f>+E1028+E1029</f>
        <v>0</v>
      </c>
    </row>
    <row r="1031" spans="2:13">
      <c r="C1031" s="189"/>
      <c r="D1031" s="113"/>
      <c r="E1031" s="113"/>
    </row>
    <row r="1034" spans="2:13">
      <c r="B1034" s="48" t="s">
        <v>168</v>
      </c>
      <c r="C1034" s="110"/>
      <c r="D1034" s="350" t="s">
        <v>169</v>
      </c>
      <c r="E1034" s="351"/>
      <c r="F1034" s="78" t="s">
        <v>6</v>
      </c>
      <c r="G1034" s="107" t="s">
        <v>7</v>
      </c>
      <c r="I1034" s="48" t="s">
        <v>39</v>
      </c>
      <c r="J1034" s="67">
        <f>Model!AC193</f>
        <v>1.4049284891399028E-3</v>
      </c>
    </row>
    <row r="1035" spans="2:13">
      <c r="C1035" s="111"/>
      <c r="D1035" s="128" t="s">
        <v>4</v>
      </c>
      <c r="E1035" s="129" t="s">
        <v>5</v>
      </c>
      <c r="F1035" s="79"/>
      <c r="G1035" s="108"/>
      <c r="I1035" s="48" t="s">
        <v>170</v>
      </c>
      <c r="J1035" s="67">
        <f>AVERAGE(Model!Z192:AC192)</f>
        <v>1.2637354631938474E-3</v>
      </c>
    </row>
    <row r="1036" spans="2:13">
      <c r="C1036" s="111"/>
      <c r="D1036" s="128"/>
      <c r="E1036" s="129"/>
      <c r="F1036" s="79"/>
      <c r="G1036" s="108"/>
    </row>
    <row r="1037" spans="2:13" ht="13.5" customHeight="1">
      <c r="C1037" s="149" t="s">
        <v>42</v>
      </c>
      <c r="D1037" s="101">
        <f>4000+799.072</f>
        <v>4799.0720000000001</v>
      </c>
      <c r="E1037" s="73">
        <f>D1037*$J$1034</f>
        <v>6.7423529742336115</v>
      </c>
      <c r="F1037" s="79"/>
      <c r="G1037" s="108"/>
    </row>
    <row r="1038" spans="2:13">
      <c r="C1038" s="149" t="s">
        <v>43</v>
      </c>
      <c r="D1038" s="101">
        <f>15339.373+5718.484</f>
        <v>21057.857</v>
      </c>
      <c r="E1038" s="73">
        <f t="shared" ref="E1038:E1051" si="34">D1038*$J$1034</f>
        <v>29.584783219534128</v>
      </c>
      <c r="F1038" s="79"/>
      <c r="G1038" s="108"/>
      <c r="I1038" s="158"/>
      <c r="J1038" s="163"/>
      <c r="K1038" s="162"/>
      <c r="L1038" s="160"/>
      <c r="M1038" s="160"/>
    </row>
    <row r="1039" spans="2:13">
      <c r="C1039" s="149" t="s">
        <v>44</v>
      </c>
      <c r="D1039" s="101">
        <f>40388.468+7776.693</f>
        <v>48165.161</v>
      </c>
      <c r="E1039" s="73">
        <f t="shared" si="34"/>
        <v>67.668606872910175</v>
      </c>
      <c r="F1039" s="79"/>
      <c r="G1039" s="108"/>
      <c r="I1039" s="176" t="s">
        <v>138</v>
      </c>
      <c r="J1039" s="192"/>
      <c r="K1039" s="57"/>
      <c r="L1039" s="165"/>
      <c r="M1039" s="165"/>
    </row>
    <row r="1040" spans="2:13">
      <c r="C1040" s="149" t="s">
        <v>45</v>
      </c>
      <c r="D1040" s="101">
        <f>43605.495+647.672</f>
        <v>44253.167000000001</v>
      </c>
      <c r="E1040" s="73">
        <f t="shared" si="34"/>
        <v>62.172535052965806</v>
      </c>
      <c r="F1040" s="79"/>
      <c r="G1040" s="108"/>
      <c r="I1040" s="184" t="s">
        <v>139</v>
      </c>
      <c r="J1040" s="193"/>
      <c r="K1040" s="157"/>
      <c r="L1040" s="157"/>
      <c r="M1040" s="157"/>
    </row>
    <row r="1041" spans="3:17">
      <c r="C1041" s="149" t="s">
        <v>171</v>
      </c>
      <c r="D1041" s="101">
        <v>0</v>
      </c>
      <c r="E1041" s="73">
        <f t="shared" si="34"/>
        <v>0</v>
      </c>
      <c r="F1041" s="79"/>
      <c r="G1041" s="108"/>
      <c r="I1041" s="178" t="s">
        <v>75</v>
      </c>
      <c r="J1041" s="179">
        <f>D1053</f>
        <v>350532</v>
      </c>
      <c r="K1041" s="159"/>
      <c r="L1041" s="160"/>
      <c r="M1041" s="160"/>
    </row>
    <row r="1042" spans="3:17">
      <c r="C1042" s="149" t="s">
        <v>46</v>
      </c>
      <c r="D1042" s="101">
        <f>116281.32+1629.677</f>
        <v>117910.997</v>
      </c>
      <c r="E1042" s="73">
        <f t="shared" si="34"/>
        <v>165.65651886818961</v>
      </c>
      <c r="F1042" s="79"/>
      <c r="G1042" s="108"/>
      <c r="I1042" s="180" t="s">
        <v>76</v>
      </c>
      <c r="J1042" s="194"/>
      <c r="K1042" s="159"/>
      <c r="L1042" s="160"/>
      <c r="M1042" s="160"/>
    </row>
    <row r="1043" spans="3:17">
      <c r="C1043" s="149" t="s">
        <v>47</v>
      </c>
      <c r="D1043" s="101">
        <f>87210.999+1083.063</f>
        <v>88294.061999999991</v>
      </c>
      <c r="E1043" s="73">
        <f t="shared" si="34"/>
        <v>124.04684312568489</v>
      </c>
      <c r="F1043" s="79"/>
      <c r="G1043" s="108"/>
      <c r="I1043" s="182" t="s">
        <v>13</v>
      </c>
      <c r="J1043" s="195"/>
      <c r="K1043" s="162"/>
      <c r="L1043" s="160"/>
      <c r="M1043" s="160"/>
    </row>
    <row r="1044" spans="3:17">
      <c r="C1044" s="149" t="s">
        <v>48</v>
      </c>
      <c r="D1044" s="101">
        <f>165700.881+1234.601</f>
        <v>166935.48199999999</v>
      </c>
      <c r="E1044" s="73">
        <f t="shared" si="34"/>
        <v>234.53241451010143</v>
      </c>
      <c r="F1044" s="79"/>
      <c r="G1044" s="108"/>
      <c r="K1044" s="162"/>
      <c r="L1044" s="157"/>
      <c r="M1044" s="157"/>
    </row>
    <row r="1045" spans="3:17">
      <c r="C1045" s="149" t="s">
        <v>117</v>
      </c>
      <c r="D1045" s="101">
        <f>259496.75+3243.709</f>
        <v>262740.45899999997</v>
      </c>
      <c r="E1045" s="73">
        <f t="shared" si="34"/>
        <v>369.13155609879453</v>
      </c>
      <c r="F1045" s="79"/>
      <c r="G1045" s="108"/>
      <c r="I1045" s="158"/>
      <c r="J1045" s="163"/>
      <c r="K1045" s="162"/>
      <c r="L1045" s="160"/>
      <c r="M1045" s="160"/>
    </row>
    <row r="1046" spans="3:17">
      <c r="C1046" s="149" t="s">
        <v>50</v>
      </c>
      <c r="D1046" s="101">
        <f>213285+3731.618</f>
        <v>217016.61799999999</v>
      </c>
      <c r="E1046" s="73">
        <f t="shared" si="34"/>
        <v>304.89282924499139</v>
      </c>
      <c r="F1046" s="79"/>
      <c r="G1046" s="108"/>
      <c r="K1046" s="162"/>
      <c r="L1046" s="160"/>
      <c r="M1046" s="160"/>
    </row>
    <row r="1047" spans="3:17">
      <c r="C1047" s="149" t="s">
        <v>51</v>
      </c>
      <c r="D1047" s="173">
        <f>+Model!AC109-SUM(D1037:D1046)</f>
        <v>-7689.5890000000363</v>
      </c>
      <c r="E1047" s="73">
        <f t="shared" si="34"/>
        <v>-10.803322655876867</v>
      </c>
      <c r="F1047" s="79"/>
      <c r="G1047" s="108"/>
      <c r="K1047" s="162"/>
      <c r="L1047" s="160"/>
      <c r="M1047" s="160"/>
    </row>
    <row r="1048" spans="3:17">
      <c r="C1048" s="130" t="s">
        <v>19</v>
      </c>
      <c r="D1048" s="116">
        <f>SUM(D1037:D1047)</f>
        <v>963483.28599999996</v>
      </c>
      <c r="E1048" s="117">
        <f>SUM(E1037:E1047)</f>
        <v>1353.6251173115288</v>
      </c>
      <c r="F1048" s="118">
        <f>+D1048/D1053</f>
        <v>2.7486314687389455</v>
      </c>
      <c r="G1048" s="119">
        <f>+E1048/E1053</f>
        <v>3.0557270639681762</v>
      </c>
      <c r="I1048" s="166"/>
      <c r="J1048" s="56"/>
      <c r="K1048" s="162"/>
      <c r="L1048" s="167"/>
      <c r="M1048" s="167"/>
    </row>
    <row r="1049" spans="3:17">
      <c r="C1049" s="131" t="s">
        <v>20</v>
      </c>
      <c r="D1049" s="120">
        <f>Model!AC111</f>
        <v>309530.69900000002</v>
      </c>
      <c r="E1049" s="73">
        <f t="shared" si="34"/>
        <v>434.86849728848807</v>
      </c>
      <c r="F1049" s="121"/>
      <c r="G1049" s="122"/>
      <c r="I1049" s="166"/>
      <c r="J1049" s="56"/>
      <c r="K1049" s="162"/>
      <c r="L1049" s="167"/>
      <c r="M1049" s="167"/>
    </row>
    <row r="1050" spans="3:17">
      <c r="C1050" s="130" t="s">
        <v>21</v>
      </c>
      <c r="D1050" s="116">
        <f>+D1048-D1049</f>
        <v>653952.58699999994</v>
      </c>
      <c r="E1050" s="117">
        <f>+E1048-E1049</f>
        <v>918.7566200230408</v>
      </c>
      <c r="F1050" s="118">
        <f>+D1050/D1053</f>
        <v>1.8656002504764186</v>
      </c>
      <c r="G1050" s="119">
        <f>+E1050/E1053</f>
        <v>2.0740376586542086</v>
      </c>
      <c r="I1050" s="164"/>
      <c r="J1050" s="57"/>
      <c r="K1050" s="57"/>
      <c r="L1050" s="165"/>
      <c r="M1050" s="165"/>
    </row>
    <row r="1051" spans="3:17">
      <c r="C1051" s="132" t="s">
        <v>22</v>
      </c>
      <c r="D1051" s="123">
        <f>Model!AC118</f>
        <v>831560.59100000001</v>
      </c>
      <c r="E1051" s="73">
        <f t="shared" si="34"/>
        <v>1168.2831647419146</v>
      </c>
      <c r="F1051" s="112"/>
      <c r="G1051" s="109"/>
      <c r="I1051" s="164"/>
      <c r="J1051" s="57"/>
      <c r="K1051" s="57"/>
      <c r="L1051" s="165"/>
      <c r="M1051" s="165"/>
    </row>
    <row r="1052" spans="3:17">
      <c r="C1052" s="130" t="s">
        <v>23</v>
      </c>
      <c r="D1052" s="116">
        <f>D1048+D1051</f>
        <v>1795043.8769999999</v>
      </c>
      <c r="E1052" s="117">
        <f>E1048+E1051</f>
        <v>2521.9082820534431</v>
      </c>
      <c r="F1052" s="118">
        <f>D1052/D1053</f>
        <v>5.1209130036630031</v>
      </c>
      <c r="G1052" s="119">
        <f>E1052/E1053</f>
        <v>5.6930558481522651</v>
      </c>
      <c r="I1052" s="166"/>
      <c r="J1052" s="30"/>
      <c r="K1052" s="162"/>
    </row>
    <row r="1053" spans="3:17">
      <c r="C1053" s="133" t="s">
        <v>24</v>
      </c>
      <c r="D1053" s="124">
        <f>Model!AC87</f>
        <v>350532</v>
      </c>
      <c r="E1053" s="125">
        <f>D1053*$J$1035</f>
        <v>442.97971938426571</v>
      </c>
      <c r="F1053" s="126"/>
      <c r="G1053" s="127"/>
    </row>
    <row r="1054" spans="3:17">
      <c r="N1054" s="352"/>
      <c r="O1054" s="352"/>
      <c r="P1054" s="352"/>
      <c r="Q1054" s="352"/>
    </row>
    <row r="1055" spans="3:17">
      <c r="C1055" s="80" t="s">
        <v>25</v>
      </c>
      <c r="D1055" s="172">
        <f>D1048-Model!AC114</f>
        <v>0</v>
      </c>
      <c r="E1055" s="81"/>
      <c r="N1055" s="159"/>
      <c r="O1055" s="159"/>
      <c r="P1055" s="160"/>
      <c r="Q1055" s="160"/>
    </row>
    <row r="1056" spans="3:17" ht="13.5" thickBot="1">
      <c r="D1056" s="103"/>
      <c r="E1056" s="103"/>
      <c r="F1056" s="188"/>
      <c r="G1056" s="188"/>
      <c r="N1056" s="161"/>
      <c r="O1056" s="162"/>
      <c r="P1056" s="160"/>
      <c r="Q1056" s="160"/>
    </row>
    <row r="1057" spans="3:17">
      <c r="C1057" s="53" t="s">
        <v>172</v>
      </c>
      <c r="D1057" s="99" t="s">
        <v>4</v>
      </c>
      <c r="E1057" s="100" t="s">
        <v>65</v>
      </c>
      <c r="N1057" s="163"/>
      <c r="O1057" s="162"/>
      <c r="P1057" s="157"/>
      <c r="Q1057" s="157"/>
    </row>
    <row r="1058" spans="3:17">
      <c r="C1058" s="54"/>
      <c r="D1058" s="82"/>
      <c r="E1058" s="68"/>
      <c r="N1058" s="163"/>
      <c r="O1058" s="162"/>
      <c r="P1058" s="160"/>
      <c r="Q1058" s="160"/>
    </row>
    <row r="1059" spans="3:17">
      <c r="C1059" s="54" t="s">
        <v>27</v>
      </c>
      <c r="D1059" s="95">
        <f>D1049</f>
        <v>309530.69900000002</v>
      </c>
      <c r="E1059" s="96">
        <f>E1049</f>
        <v>434.86849728848807</v>
      </c>
      <c r="N1059" s="163"/>
      <c r="O1059" s="162"/>
      <c r="P1059" s="160"/>
      <c r="Q1059" s="160"/>
    </row>
    <row r="1060" spans="3:17" ht="13.5" thickBot="1">
      <c r="C1060" s="92" t="s">
        <v>28</v>
      </c>
      <c r="D1060" s="98">
        <f>SUM(D1059:D1059)</f>
        <v>309530.69900000002</v>
      </c>
      <c r="E1060" s="98">
        <f>SUM(E1059:E1059)</f>
        <v>434.86849728848807</v>
      </c>
      <c r="I1060" s="156"/>
      <c r="J1060" s="352"/>
      <c r="K1060" s="352"/>
      <c r="L1060" s="352"/>
      <c r="M1060" s="352"/>
      <c r="N1060" s="170"/>
      <c r="O1060" s="171"/>
      <c r="P1060" s="165"/>
      <c r="Q1060" s="165"/>
    </row>
    <row r="1061" spans="3:17">
      <c r="I1061" s="158"/>
      <c r="J1061" s="159"/>
      <c r="K1061" s="159"/>
      <c r="L1061" s="160"/>
      <c r="M1061" s="160"/>
      <c r="N1061" s="163"/>
      <c r="O1061" s="162"/>
      <c r="P1061" s="157"/>
      <c r="Q1061" s="157"/>
    </row>
    <row r="1062" spans="3:17" ht="13.5" thickBot="1">
      <c r="I1062" s="158"/>
      <c r="J1062" s="161"/>
      <c r="K1062" s="162"/>
      <c r="L1062" s="160"/>
      <c r="M1062" s="160"/>
    </row>
    <row r="1063" spans="3:17">
      <c r="C1063" s="85" t="s">
        <v>173</v>
      </c>
      <c r="D1063" s="99" t="s">
        <v>4</v>
      </c>
      <c r="E1063" s="86" t="s">
        <v>65</v>
      </c>
      <c r="I1063" s="158"/>
      <c r="J1063" s="163"/>
      <c r="K1063" s="162"/>
      <c r="L1063" s="157"/>
      <c r="M1063" s="157"/>
    </row>
    <row r="1064" spans="3:17">
      <c r="C1064" s="87"/>
      <c r="D1064" s="102"/>
      <c r="E1064" s="97"/>
      <c r="I1064" s="158"/>
      <c r="J1064" s="163"/>
      <c r="K1064" s="162"/>
      <c r="L1064" s="160"/>
      <c r="M1064" s="160"/>
    </row>
    <row r="1065" spans="3:17">
      <c r="C1065" s="87">
        <v>2020</v>
      </c>
      <c r="D1065" s="191"/>
      <c r="E1065" s="97">
        <f>D1065*$J$1034</f>
        <v>0</v>
      </c>
      <c r="I1065" s="168"/>
      <c r="J1065" s="169"/>
      <c r="K1065" s="162"/>
      <c r="L1065" s="160"/>
      <c r="M1065" s="160"/>
    </row>
    <row r="1066" spans="3:17">
      <c r="C1066" s="87">
        <f>+C1065+1</f>
        <v>2021</v>
      </c>
      <c r="D1066" s="191"/>
      <c r="E1066" s="97">
        <f t="shared" ref="E1066:E1072" si="35">D1066*$J$1034</f>
        <v>0</v>
      </c>
      <c r="I1066" s="168"/>
      <c r="J1066" s="170"/>
      <c r="K1066" s="171"/>
      <c r="L1066" s="165"/>
      <c r="M1066" s="165"/>
    </row>
    <row r="1067" spans="3:17">
      <c r="C1067" s="87">
        <f t="shared" ref="C1067:C1069" si="36">+C1066+1</f>
        <v>2022</v>
      </c>
      <c r="D1067" s="191"/>
      <c r="E1067" s="97">
        <f t="shared" si="35"/>
        <v>0</v>
      </c>
      <c r="I1067" s="158"/>
      <c r="J1067" s="163"/>
      <c r="K1067" s="162"/>
      <c r="L1067" s="157"/>
      <c r="M1067" s="157"/>
    </row>
    <row r="1068" spans="3:17">
      <c r="C1068" s="87">
        <f t="shared" si="36"/>
        <v>2023</v>
      </c>
      <c r="D1068" s="191"/>
      <c r="E1068" s="97">
        <f t="shared" si="35"/>
        <v>0</v>
      </c>
    </row>
    <row r="1069" spans="3:17">
      <c r="C1069" s="87">
        <f t="shared" si="36"/>
        <v>2024</v>
      </c>
      <c r="D1069" s="191"/>
      <c r="E1069" s="97">
        <f t="shared" si="35"/>
        <v>0</v>
      </c>
    </row>
    <row r="1070" spans="3:17" ht="13.5" thickBot="1">
      <c r="C1070" s="174" t="s">
        <v>167</v>
      </c>
      <c r="D1070" s="191"/>
      <c r="E1070" s="97">
        <f t="shared" si="35"/>
        <v>0</v>
      </c>
      <c r="J1070" s="143"/>
    </row>
    <row r="1071" spans="3:17" ht="13.5" thickBot="1">
      <c r="C1071" s="88" t="s">
        <v>56</v>
      </c>
      <c r="D1071" s="105">
        <f>SUM(D1064:D1070)</f>
        <v>0</v>
      </c>
      <c r="E1071" s="105">
        <f>SUM(E1064:E1070)</f>
        <v>0</v>
      </c>
    </row>
    <row r="1072" spans="3:17" ht="13.5" thickBot="1">
      <c r="C1072" s="87" t="s">
        <v>57</v>
      </c>
      <c r="D1072" s="175"/>
      <c r="E1072" s="97">
        <f t="shared" si="35"/>
        <v>0</v>
      </c>
    </row>
    <row r="1073" spans="2:13" ht="13.5" thickBot="1">
      <c r="C1073" s="88" t="s">
        <v>58</v>
      </c>
      <c r="D1073" s="105">
        <f>+D1071+D1072</f>
        <v>0</v>
      </c>
      <c r="E1073" s="105">
        <f>+E1071+E1072</f>
        <v>0</v>
      </c>
    </row>
    <row r="1074" spans="2:13">
      <c r="C1074" s="189"/>
      <c r="D1074" s="113"/>
      <c r="E1074" s="113"/>
    </row>
    <row r="1077" spans="2:13">
      <c r="B1077" s="48" t="s">
        <v>174</v>
      </c>
      <c r="C1077" s="110"/>
      <c r="D1077" s="350" t="s">
        <v>175</v>
      </c>
      <c r="E1077" s="351"/>
      <c r="F1077" s="78" t="s">
        <v>6</v>
      </c>
      <c r="G1077" s="107" t="s">
        <v>7</v>
      </c>
      <c r="I1077" s="48" t="s">
        <v>39</v>
      </c>
      <c r="J1077" s="67">
        <f>Model!AB193</f>
        <v>1.2687135244861709E-3</v>
      </c>
    </row>
    <row r="1078" spans="2:13">
      <c r="C1078" s="111"/>
      <c r="D1078" s="128" t="s">
        <v>4</v>
      </c>
      <c r="E1078" s="129" t="s">
        <v>5</v>
      </c>
      <c r="F1078" s="79"/>
      <c r="G1078" s="108"/>
      <c r="I1078" s="48" t="s">
        <v>176</v>
      </c>
      <c r="J1078" s="67">
        <f>AVERAGE(Model!Y192:AB192)</f>
        <v>1.2656431308719221E-3</v>
      </c>
    </row>
    <row r="1079" spans="2:13">
      <c r="C1079" s="111"/>
      <c r="D1079" s="128"/>
      <c r="E1079" s="129"/>
      <c r="F1079" s="79"/>
      <c r="G1079" s="108"/>
    </row>
    <row r="1080" spans="2:13">
      <c r="C1080" s="149" t="s">
        <v>42</v>
      </c>
      <c r="D1080" s="101">
        <f>3743.672+1399.53</f>
        <v>5143.2020000000002</v>
      </c>
      <c r="E1080" s="73">
        <f>D1080*$J$1077</f>
        <v>6.5252499365643235</v>
      </c>
      <c r="F1080" s="79"/>
      <c r="G1080" s="108"/>
    </row>
    <row r="1081" spans="2:13">
      <c r="C1081" s="149" t="s">
        <v>43</v>
      </c>
      <c r="D1081" s="101">
        <f>16407.075+5542.196</f>
        <v>21949.271000000001</v>
      </c>
      <c r="E1081" s="73">
        <f t="shared" ref="E1081:E1094" si="37">D1081*$J$1077</f>
        <v>27.847336970312103</v>
      </c>
      <c r="F1081" s="79"/>
      <c r="G1081" s="108"/>
      <c r="I1081" s="158"/>
      <c r="J1081" s="163"/>
      <c r="K1081" s="162"/>
      <c r="L1081" s="160"/>
      <c r="M1081" s="160"/>
    </row>
    <row r="1082" spans="2:13">
      <c r="C1082" s="149" t="s">
        <v>44</v>
      </c>
      <c r="D1082" s="101">
        <f>43658.4729999999+8236.106</f>
        <v>51894.578999999903</v>
      </c>
      <c r="E1082" s="73">
        <f t="shared" si="37"/>
        <v>65.839354224815906</v>
      </c>
      <c r="F1082" s="79"/>
      <c r="G1082" s="108"/>
      <c r="I1082" s="176" t="s">
        <v>138</v>
      </c>
      <c r="J1082" s="177">
        <v>1005135</v>
      </c>
      <c r="K1082" s="57"/>
      <c r="L1082" s="165"/>
      <c r="M1082" s="165"/>
    </row>
    <row r="1083" spans="2:13">
      <c r="C1083" s="149" t="s">
        <v>45</v>
      </c>
      <c r="D1083" s="101">
        <f>43061.775+213.199</f>
        <v>43274.974000000002</v>
      </c>
      <c r="E1083" s="73">
        <f t="shared" si="37"/>
        <v>54.903544785587414</v>
      </c>
      <c r="F1083" s="79"/>
      <c r="G1083" s="108"/>
      <c r="I1083" s="184" t="s">
        <v>139</v>
      </c>
      <c r="J1083" s="185">
        <v>537543</v>
      </c>
      <c r="K1083" s="157"/>
      <c r="L1083" s="157"/>
      <c r="M1083" s="157"/>
    </row>
    <row r="1084" spans="2:13">
      <c r="C1084" s="149" t="s">
        <v>171</v>
      </c>
      <c r="D1084" s="101">
        <v>0</v>
      </c>
      <c r="E1084" s="73">
        <f t="shared" si="37"/>
        <v>0</v>
      </c>
      <c r="F1084" s="79"/>
      <c r="G1084" s="108"/>
      <c r="I1084" s="178" t="s">
        <v>75</v>
      </c>
      <c r="J1084" s="179">
        <f>D1096</f>
        <v>350326</v>
      </c>
      <c r="K1084" s="159"/>
      <c r="L1084" s="160"/>
      <c r="M1084" s="160"/>
    </row>
    <row r="1085" spans="2:13">
      <c r="C1085" s="149" t="s">
        <v>46</v>
      </c>
      <c r="D1085" s="101">
        <f>114831.4+528.621</f>
        <v>115360.02099999999</v>
      </c>
      <c r="E1085" s="73">
        <f t="shared" si="37"/>
        <v>146.35881882770869</v>
      </c>
      <c r="F1085" s="79"/>
      <c r="G1085" s="108"/>
      <c r="I1085" s="180" t="s">
        <v>76</v>
      </c>
      <c r="J1085" s="181">
        <f>+J1082/J1084</f>
        <v>2.8691418849871262</v>
      </c>
      <c r="K1085" s="159"/>
      <c r="L1085" s="160"/>
      <c r="M1085" s="160"/>
    </row>
    <row r="1086" spans="2:13">
      <c r="C1086" s="149" t="s">
        <v>47</v>
      </c>
      <c r="D1086" s="101">
        <f>86123.559+256.34</f>
        <v>86379.89899999999</v>
      </c>
      <c r="E1086" s="73">
        <f t="shared" si="37"/>
        <v>109.59134610504947</v>
      </c>
      <c r="F1086" s="79"/>
      <c r="G1086" s="108"/>
      <c r="I1086" s="182" t="s">
        <v>13</v>
      </c>
      <c r="J1086" s="183">
        <f>+J1083/J1084</f>
        <v>1.5344079514509343</v>
      </c>
      <c r="K1086" s="162"/>
      <c r="L1086" s="160"/>
      <c r="M1086" s="160"/>
    </row>
    <row r="1087" spans="2:13">
      <c r="C1087" s="149" t="s">
        <v>48</v>
      </c>
      <c r="D1087" s="101">
        <f>163634.745+62.846</f>
        <v>163697.59099999999</v>
      </c>
      <c r="E1087" s="73">
        <f t="shared" si="37"/>
        <v>207.68534762750568</v>
      </c>
      <c r="F1087" s="79"/>
      <c r="G1087" s="108"/>
      <c r="K1087" s="162"/>
      <c r="L1087" s="157"/>
      <c r="M1087" s="157"/>
    </row>
    <row r="1088" spans="2:13">
      <c r="C1088" s="149" t="s">
        <v>117</v>
      </c>
      <c r="D1088" s="101">
        <f>287674.75+0</f>
        <v>287674.75</v>
      </c>
      <c r="E1088" s="73">
        <f t="shared" si="37"/>
        <v>364.97684597817812</v>
      </c>
      <c r="F1088" s="79"/>
      <c r="G1088" s="108"/>
      <c r="I1088" s="158"/>
      <c r="J1088" s="163"/>
      <c r="K1088" s="162"/>
      <c r="L1088" s="160"/>
      <c r="M1088" s="160"/>
    </row>
    <row r="1089" spans="3:17">
      <c r="C1089" s="149" t="s">
        <v>50</v>
      </c>
      <c r="D1089" s="101">
        <f>236445+1801.929</f>
        <v>238246.929</v>
      </c>
      <c r="E1089" s="73">
        <f t="shared" si="37"/>
        <v>302.26710098959654</v>
      </c>
      <c r="F1089" s="79"/>
      <c r="G1089" s="108"/>
      <c r="K1089" s="162"/>
      <c r="L1089" s="160"/>
      <c r="M1089" s="160"/>
    </row>
    <row r="1090" spans="3:17">
      <c r="C1090" s="149" t="s">
        <v>51</v>
      </c>
      <c r="D1090" s="173">
        <f>+Model!AB109-SUM(D1080:D1089)</f>
        <v>-8634.2829999999376</v>
      </c>
      <c r="E1090" s="73">
        <f t="shared" si="37"/>
        <v>-10.954431616340951</v>
      </c>
      <c r="F1090" s="79"/>
      <c r="G1090" s="108"/>
      <c r="K1090" s="162"/>
      <c r="L1090" s="160"/>
      <c r="M1090" s="160"/>
    </row>
    <row r="1091" spans="3:17">
      <c r="C1091" s="130" t="s">
        <v>19</v>
      </c>
      <c r="D1091" s="116">
        <f>SUM(D1080:D1090)</f>
        <v>1004986.933</v>
      </c>
      <c r="E1091" s="117">
        <f>SUM(E1080:E1090)</f>
        <v>1275.0405138289771</v>
      </c>
      <c r="F1091" s="118">
        <f>+D1091/D1096</f>
        <v>2.868719230088546</v>
      </c>
      <c r="G1091" s="119">
        <f>+E1091/E1096</f>
        <v>2.8756786146024633</v>
      </c>
      <c r="I1091" s="166"/>
      <c r="J1091" s="56"/>
      <c r="K1091" s="162"/>
      <c r="L1091" s="167"/>
      <c r="M1091" s="167"/>
    </row>
    <row r="1092" spans="3:17">
      <c r="C1092" s="131" t="s">
        <v>20</v>
      </c>
      <c r="D1092" s="120">
        <f>Model!AB111</f>
        <v>288598.84899999999</v>
      </c>
      <c r="E1092" s="73">
        <f t="shared" si="37"/>
        <v>366.14926287744225</v>
      </c>
      <c r="F1092" s="121"/>
      <c r="G1092" s="122"/>
      <c r="I1092" s="166"/>
      <c r="J1092" s="56"/>
      <c r="K1092" s="162"/>
      <c r="L1092" s="167"/>
      <c r="M1092" s="167"/>
    </row>
    <row r="1093" spans="3:17">
      <c r="C1093" s="130" t="s">
        <v>21</v>
      </c>
      <c r="D1093" s="116">
        <f>+D1091-D1092</f>
        <v>716388.08400000003</v>
      </c>
      <c r="E1093" s="117">
        <f>+E1091-E1092</f>
        <v>908.89125095153486</v>
      </c>
      <c r="F1093" s="118">
        <f>+D1093/D1096</f>
        <v>2.0449184017172577</v>
      </c>
      <c r="G1093" s="119">
        <f>+E1093/E1096</f>
        <v>2.0498792822760343</v>
      </c>
      <c r="I1093" s="164"/>
      <c r="J1093" s="57"/>
      <c r="K1093" s="57"/>
      <c r="L1093" s="165"/>
      <c r="M1093" s="165"/>
    </row>
    <row r="1094" spans="3:17">
      <c r="C1094" s="132" t="s">
        <v>22</v>
      </c>
      <c r="D1094" s="123">
        <f>Model!AB118</f>
        <v>837753.52099999995</v>
      </c>
      <c r="E1094" s="73">
        <f t="shared" si="37"/>
        <v>1062.8692222786094</v>
      </c>
      <c r="F1094" s="112"/>
      <c r="G1094" s="109"/>
      <c r="I1094" s="164"/>
      <c r="J1094" s="57"/>
      <c r="K1094" s="57"/>
      <c r="L1094" s="165"/>
      <c r="M1094" s="165"/>
    </row>
    <row r="1095" spans="3:17">
      <c r="C1095" s="130" t="s">
        <v>23</v>
      </c>
      <c r="D1095" s="116">
        <f>D1091+D1094</f>
        <v>1842740.4539999999</v>
      </c>
      <c r="E1095" s="117">
        <f>E1091+E1094</f>
        <v>2337.9097361075865</v>
      </c>
      <c r="F1095" s="118">
        <f>D1095/D1096</f>
        <v>5.2600733431146987</v>
      </c>
      <c r="G1095" s="119">
        <f>E1095/E1096</f>
        <v>5.2728340457244878</v>
      </c>
      <c r="I1095" s="166"/>
      <c r="J1095" s="30"/>
      <c r="K1095" s="162"/>
    </row>
    <row r="1096" spans="3:17">
      <c r="C1096" s="133" t="s">
        <v>24</v>
      </c>
      <c r="D1096" s="124">
        <f>Model!AB87</f>
        <v>350326</v>
      </c>
      <c r="E1096" s="125">
        <f>D1096*$J$1078</f>
        <v>443.387695465837</v>
      </c>
      <c r="F1096" s="126"/>
      <c r="G1096" s="127"/>
    </row>
    <row r="1097" spans="3:17">
      <c r="N1097" s="352"/>
      <c r="O1097" s="352"/>
      <c r="P1097" s="352"/>
      <c r="Q1097" s="352"/>
    </row>
    <row r="1098" spans="3:17">
      <c r="C1098" s="80" t="s">
        <v>25</v>
      </c>
      <c r="D1098" s="172">
        <f>D1091-Model!AB114</f>
        <v>0</v>
      </c>
      <c r="E1098" s="81"/>
      <c r="N1098" s="159"/>
      <c r="O1098" s="159"/>
      <c r="P1098" s="160"/>
      <c r="Q1098" s="160"/>
    </row>
    <row r="1099" spans="3:17" ht="13.5" thickBot="1">
      <c r="D1099" s="103"/>
      <c r="E1099" s="103"/>
      <c r="F1099" s="188"/>
      <c r="G1099" s="188"/>
      <c r="N1099" s="161"/>
      <c r="O1099" s="162"/>
      <c r="P1099" s="160"/>
      <c r="Q1099" s="160"/>
    </row>
    <row r="1100" spans="3:17">
      <c r="C1100" s="53" t="s">
        <v>177</v>
      </c>
      <c r="D1100" s="99" t="s">
        <v>4</v>
      </c>
      <c r="E1100" s="100" t="s">
        <v>65</v>
      </c>
      <c r="N1100" s="163"/>
      <c r="O1100" s="162"/>
      <c r="P1100" s="157"/>
      <c r="Q1100" s="157"/>
    </row>
    <row r="1101" spans="3:17">
      <c r="C1101" s="54"/>
      <c r="D1101" s="82"/>
      <c r="E1101" s="68"/>
      <c r="N1101" s="163"/>
      <c r="O1101" s="162"/>
      <c r="P1101" s="160"/>
      <c r="Q1101" s="160"/>
    </row>
    <row r="1102" spans="3:17">
      <c r="C1102" s="54" t="s">
        <v>27</v>
      </c>
      <c r="D1102" s="95">
        <f>D1092</f>
        <v>288598.84899999999</v>
      </c>
      <c r="E1102" s="96">
        <f>E1092</f>
        <v>366.14926287744225</v>
      </c>
      <c r="N1102" s="163"/>
      <c r="O1102" s="162"/>
      <c r="P1102" s="160"/>
      <c r="Q1102" s="160"/>
    </row>
    <row r="1103" spans="3:17" ht="13.5" thickBot="1">
      <c r="C1103" s="92" t="s">
        <v>28</v>
      </c>
      <c r="D1103" s="98">
        <f>SUM(D1102:D1102)</f>
        <v>288598.84899999999</v>
      </c>
      <c r="E1103" s="98">
        <f>SUM(E1102:E1102)</f>
        <v>366.14926287744225</v>
      </c>
      <c r="I1103" s="156"/>
      <c r="J1103" s="352"/>
      <c r="K1103" s="352"/>
      <c r="L1103" s="352"/>
      <c r="M1103" s="352"/>
      <c r="N1103" s="170"/>
      <c r="O1103" s="171"/>
      <c r="P1103" s="165"/>
      <c r="Q1103" s="165"/>
    </row>
    <row r="1104" spans="3:17">
      <c r="I1104" s="158"/>
      <c r="J1104" s="159"/>
      <c r="K1104" s="159"/>
      <c r="L1104" s="160"/>
      <c r="M1104" s="160"/>
      <c r="N1104" s="163"/>
      <c r="O1104" s="162"/>
      <c r="P1104" s="157"/>
      <c r="Q1104" s="157"/>
    </row>
    <row r="1105" spans="2:13" ht="13.5" thickBot="1">
      <c r="I1105" s="158"/>
      <c r="J1105" s="161"/>
      <c r="K1105" s="162"/>
      <c r="L1105" s="160"/>
      <c r="M1105" s="160"/>
    </row>
    <row r="1106" spans="2:13">
      <c r="C1106" s="85" t="s">
        <v>178</v>
      </c>
      <c r="D1106" s="99" t="s">
        <v>4</v>
      </c>
      <c r="E1106" s="86" t="s">
        <v>65</v>
      </c>
      <c r="I1106" s="158"/>
      <c r="J1106" s="163"/>
      <c r="K1106" s="162"/>
      <c r="L1106" s="157"/>
      <c r="M1106" s="157"/>
    </row>
    <row r="1107" spans="2:13">
      <c r="C1107" s="87"/>
      <c r="D1107" s="102"/>
      <c r="E1107" s="97"/>
      <c r="I1107" s="158"/>
      <c r="J1107" s="163"/>
      <c r="K1107" s="162"/>
      <c r="L1107" s="160"/>
      <c r="M1107" s="160"/>
    </row>
    <row r="1108" spans="2:13">
      <c r="C1108" s="87">
        <v>2020</v>
      </c>
      <c r="D1108" s="91">
        <v>16000</v>
      </c>
      <c r="E1108" s="97">
        <f>D1108*$J$1077</f>
        <v>20.299416391778735</v>
      </c>
      <c r="I1108" s="168"/>
      <c r="J1108" s="169"/>
      <c r="K1108" s="162"/>
      <c r="L1108" s="160"/>
      <c r="M1108" s="160"/>
    </row>
    <row r="1109" spans="2:13">
      <c r="C1109" s="87">
        <f>+C1108+1</f>
        <v>2021</v>
      </c>
      <c r="D1109" s="91">
        <v>17000</v>
      </c>
      <c r="E1109" s="97">
        <f t="shared" ref="E1109:E1115" si="38">D1109*$J$1077</f>
        <v>21.568129916264905</v>
      </c>
      <c r="I1109" s="168"/>
      <c r="J1109" s="170"/>
      <c r="K1109" s="171"/>
      <c r="L1109" s="165"/>
      <c r="M1109" s="165"/>
    </row>
    <row r="1110" spans="2:13">
      <c r="C1110" s="87">
        <f t="shared" ref="C1110:C1112" si="39">+C1109+1</f>
        <v>2022</v>
      </c>
      <c r="D1110" s="91">
        <v>17000</v>
      </c>
      <c r="E1110" s="97">
        <f t="shared" si="38"/>
        <v>21.568129916264905</v>
      </c>
      <c r="I1110" s="158"/>
      <c r="J1110" s="163"/>
      <c r="K1110" s="162"/>
      <c r="L1110" s="157"/>
      <c r="M1110" s="157"/>
    </row>
    <row r="1111" spans="2:13">
      <c r="C1111" s="87">
        <f t="shared" si="39"/>
        <v>2023</v>
      </c>
      <c r="D1111" s="91">
        <v>148000</v>
      </c>
      <c r="E1111" s="97">
        <f t="shared" si="38"/>
        <v>187.76960162395329</v>
      </c>
    </row>
    <row r="1112" spans="2:13">
      <c r="C1112" s="87">
        <f t="shared" si="39"/>
        <v>2024</v>
      </c>
      <c r="D1112" s="91">
        <v>13000</v>
      </c>
      <c r="E1112" s="97">
        <f t="shared" si="38"/>
        <v>16.493275818320221</v>
      </c>
    </row>
    <row r="1113" spans="2:13" ht="13.5" thickBot="1">
      <c r="C1113" s="174" t="s">
        <v>167</v>
      </c>
      <c r="D1113" s="91">
        <f>(13+9+4*5+38*3+164+239)*1000</f>
        <v>559000</v>
      </c>
      <c r="E1113" s="97">
        <f t="shared" si="38"/>
        <v>709.21086018776953</v>
      </c>
      <c r="J1113" s="143"/>
    </row>
    <row r="1114" spans="2:13" ht="13.5" thickBot="1">
      <c r="C1114" s="88" t="s">
        <v>56</v>
      </c>
      <c r="D1114" s="105">
        <f>SUM(D1107:D1113)</f>
        <v>770000</v>
      </c>
      <c r="E1114" s="105">
        <f>SUM(E1107:E1113)</f>
        <v>976.90941385435167</v>
      </c>
    </row>
    <row r="1115" spans="2:13" ht="13.5" thickBot="1">
      <c r="C1115" s="87" t="s">
        <v>57</v>
      </c>
      <c r="D1115" s="175">
        <f>+D1080+D1081</f>
        <v>27092.473000000002</v>
      </c>
      <c r="E1115" s="97">
        <f t="shared" si="38"/>
        <v>34.372586906876428</v>
      </c>
    </row>
    <row r="1116" spans="2:13" ht="13.5" thickBot="1">
      <c r="C1116" s="88" t="s">
        <v>58</v>
      </c>
      <c r="D1116" s="105">
        <f>+D1114+D1115</f>
        <v>797092.473</v>
      </c>
      <c r="E1116" s="105">
        <f>+E1114+E1115</f>
        <v>1011.2820007612281</v>
      </c>
    </row>
    <row r="1117" spans="2:13">
      <c r="C1117" s="189"/>
      <c r="D1117" s="113"/>
      <c r="E1117" s="113"/>
    </row>
    <row r="1120" spans="2:13">
      <c r="B1120" s="48" t="s">
        <v>179</v>
      </c>
      <c r="C1120" s="110"/>
      <c r="D1120" s="350" t="s">
        <v>180</v>
      </c>
      <c r="E1120" s="351"/>
      <c r="F1120" s="78" t="s">
        <v>6</v>
      </c>
      <c r="G1120" s="107" t="s">
        <v>7</v>
      </c>
      <c r="I1120" s="48" t="s">
        <v>39</v>
      </c>
      <c r="J1120" s="67">
        <f>Model!AA193</f>
        <v>1.2177301509985387E-3</v>
      </c>
    </row>
    <row r="1121" spans="3:13">
      <c r="C1121" s="111"/>
      <c r="D1121" s="128" t="s">
        <v>4</v>
      </c>
      <c r="E1121" s="129" t="s">
        <v>5</v>
      </c>
      <c r="F1121" s="79"/>
      <c r="G1121" s="108"/>
      <c r="I1121" s="48" t="s">
        <v>181</v>
      </c>
      <c r="J1121" s="67">
        <f>AVERAGE(Model!X192:AA192)</f>
        <v>1.2984978501448844E-3</v>
      </c>
    </row>
    <row r="1122" spans="3:13">
      <c r="C1122" s="111"/>
      <c r="D1122" s="128"/>
      <c r="E1122" s="129"/>
      <c r="F1122" s="79"/>
      <c r="G1122" s="108"/>
    </row>
    <row r="1123" spans="3:13">
      <c r="C1123" s="149" t="s">
        <v>42</v>
      </c>
      <c r="D1123" s="101">
        <f>744.803+383.582</f>
        <v>1128.385</v>
      </c>
      <c r="E1123" s="73">
        <f>D1123*$J$1120</f>
        <v>1.3740684364344862</v>
      </c>
      <c r="F1123" s="79"/>
      <c r="G1123" s="108"/>
    </row>
    <row r="1124" spans="3:13">
      <c r="C1124" s="149" t="s">
        <v>43</v>
      </c>
      <c r="D1124" s="101">
        <f>18432.175+5634.724</f>
        <v>24066.898999999998</v>
      </c>
      <c r="E1124" s="73">
        <f t="shared" ref="E1124:E1137" si="40">D1124*$J$1120</f>
        <v>29.306988553336577</v>
      </c>
      <c r="F1124" s="79"/>
      <c r="G1124" s="108"/>
      <c r="I1124" s="158"/>
      <c r="J1124" s="163"/>
      <c r="K1124" s="162"/>
      <c r="L1124" s="160"/>
      <c r="M1124" s="160"/>
    </row>
    <row r="1125" spans="3:13">
      <c r="C1125" s="149" t="s">
        <v>44</v>
      </c>
      <c r="D1125" s="101">
        <f>43641.091+7454.769</f>
        <v>51095.86</v>
      </c>
      <c r="E1125" s="73">
        <f t="shared" si="40"/>
        <v>62.220969313200193</v>
      </c>
      <c r="F1125" s="79"/>
      <c r="G1125" s="108"/>
      <c r="I1125" s="176" t="s">
        <v>138</v>
      </c>
      <c r="J1125" s="177">
        <v>1036963</v>
      </c>
      <c r="K1125" s="57"/>
      <c r="L1125" s="165"/>
      <c r="M1125" s="165"/>
    </row>
    <row r="1126" spans="3:13">
      <c r="C1126" s="149" t="s">
        <v>45</v>
      </c>
      <c r="D1126" s="101">
        <f>43044.63+637</f>
        <v>43681.63</v>
      </c>
      <c r="E1126" s="73">
        <f t="shared" si="40"/>
        <v>53.192437895762296</v>
      </c>
      <c r="F1126" s="79"/>
      <c r="G1126" s="108"/>
      <c r="I1126" s="184" t="s">
        <v>139</v>
      </c>
      <c r="J1126" s="185">
        <v>599683</v>
      </c>
      <c r="K1126" s="157"/>
      <c r="L1126" s="157"/>
      <c r="M1126" s="157"/>
    </row>
    <row r="1127" spans="3:13">
      <c r="C1127" s="149" t="s">
        <v>171</v>
      </c>
      <c r="D1127" s="101">
        <v>3633.212</v>
      </c>
      <c r="E1127" s="73">
        <f t="shared" si="40"/>
        <v>4.4242717973697028</v>
      </c>
      <c r="F1127" s="79"/>
      <c r="G1127" s="108"/>
      <c r="I1127" s="178" t="s">
        <v>75</v>
      </c>
      <c r="J1127" s="179">
        <f>D1139</f>
        <v>339530</v>
      </c>
      <c r="K1127" s="159"/>
      <c r="L1127" s="160"/>
      <c r="M1127" s="160"/>
    </row>
    <row r="1128" spans="3:13">
      <c r="C1128" s="149" t="s">
        <v>46</v>
      </c>
      <c r="D1128" s="101">
        <f>114785.68+1602.651</f>
        <v>116388.33099999999</v>
      </c>
      <c r="E1128" s="73">
        <f t="shared" si="40"/>
        <v>141.7295798830979</v>
      </c>
      <c r="F1128" s="79"/>
      <c r="G1128" s="108"/>
      <c r="I1128" s="180" t="s">
        <v>76</v>
      </c>
      <c r="J1128" s="181">
        <f>+J1125/J1127</f>
        <v>3.0541130386121993</v>
      </c>
      <c r="K1128" s="159"/>
      <c r="L1128" s="160"/>
      <c r="M1128" s="160"/>
    </row>
    <row r="1129" spans="3:13">
      <c r="C1129" s="149" t="s">
        <v>47</v>
      </c>
      <c r="D1129" s="101">
        <f>86089.269+1051.701</f>
        <v>87140.97</v>
      </c>
      <c r="E1129" s="73">
        <f t="shared" si="40"/>
        <v>106.11418655625914</v>
      </c>
      <c r="F1129" s="79"/>
      <c r="G1129" s="108"/>
      <c r="I1129" s="182" t="s">
        <v>13</v>
      </c>
      <c r="J1129" s="183">
        <f>+J1126/J1127</f>
        <v>1.766215061997467</v>
      </c>
      <c r="K1129" s="162"/>
      <c r="L1129" s="160"/>
      <c r="M1129" s="160"/>
    </row>
    <row r="1130" spans="3:13">
      <c r="C1130" s="149" t="s">
        <v>48</v>
      </c>
      <c r="D1130" s="101">
        <f>163569.594+1198.85</f>
        <v>164768.44400000002</v>
      </c>
      <c r="E1130" s="73">
        <f t="shared" si="40"/>
        <v>200.64350219191431</v>
      </c>
      <c r="F1130" s="79"/>
      <c r="G1130" s="108"/>
      <c r="K1130" s="162"/>
      <c r="L1130" s="157"/>
      <c r="M1130" s="157"/>
    </row>
    <row r="1131" spans="3:13">
      <c r="C1131" s="149" t="s">
        <v>117</v>
      </c>
      <c r="D1131" s="101">
        <f>299748.95+3685.438</f>
        <v>303434.38800000004</v>
      </c>
      <c r="E1131" s="73">
        <f t="shared" si="40"/>
        <v>369.50120311738925</v>
      </c>
      <c r="F1131" s="79"/>
      <c r="G1131" s="108"/>
      <c r="I1131" s="158"/>
      <c r="J1131" s="163"/>
      <c r="K1131" s="162"/>
      <c r="L1131" s="160"/>
      <c r="M1131" s="160"/>
    </row>
    <row r="1132" spans="3:13">
      <c r="C1132" s="149" t="s">
        <v>50</v>
      </c>
      <c r="D1132" s="101">
        <f>246369+4352.177</f>
        <v>250721.177</v>
      </c>
      <c r="E1132" s="73">
        <f t="shared" si="40"/>
        <v>305.31073672674137</v>
      </c>
      <c r="F1132" s="79"/>
      <c r="G1132" s="108"/>
      <c r="K1132" s="162"/>
      <c r="L1132" s="160"/>
      <c r="M1132" s="160"/>
    </row>
    <row r="1133" spans="3:13">
      <c r="C1133" s="149" t="s">
        <v>51</v>
      </c>
      <c r="D1133" s="173">
        <f>+Model!AA109-SUM(D1123:D1132)</f>
        <v>-9194.2970000001369</v>
      </c>
      <c r="E1133" s="73">
        <f t="shared" si="40"/>
        <v>-11.196172674135578</v>
      </c>
      <c r="F1133" s="79"/>
      <c r="G1133" s="108"/>
      <c r="K1133" s="162"/>
      <c r="L1133" s="160"/>
      <c r="M1133" s="160"/>
    </row>
    <row r="1134" spans="3:13">
      <c r="C1134" s="130" t="s">
        <v>19</v>
      </c>
      <c r="D1134" s="116">
        <f>SUM(D1123:D1133)</f>
        <v>1036864.999</v>
      </c>
      <c r="E1134" s="117">
        <f>SUM(E1123:E1133)</f>
        <v>1262.6217717973695</v>
      </c>
      <c r="F1134" s="118">
        <f>+D1134/D1139</f>
        <v>3.053824401378376</v>
      </c>
      <c r="G1134" s="119">
        <f>+E1134/E1139</f>
        <v>2.8638738593202757</v>
      </c>
      <c r="I1134" s="166"/>
      <c r="J1134" s="56"/>
      <c r="K1134" s="162"/>
      <c r="L1134" s="167"/>
      <c r="M1134" s="167"/>
    </row>
    <row r="1135" spans="3:13">
      <c r="C1135" s="131" t="s">
        <v>20</v>
      </c>
      <c r="D1135" s="120">
        <f>Model!AA111</f>
        <v>371105.24900000001</v>
      </c>
      <c r="E1135" s="73">
        <f t="shared" si="40"/>
        <v>451.90605090112035</v>
      </c>
      <c r="F1135" s="121"/>
      <c r="G1135" s="122"/>
      <c r="I1135" s="166"/>
      <c r="J1135" s="56"/>
      <c r="K1135" s="162"/>
      <c r="L1135" s="167"/>
      <c r="M1135" s="167"/>
    </row>
    <row r="1136" spans="3:13">
      <c r="C1136" s="130" t="s">
        <v>21</v>
      </c>
      <c r="D1136" s="116">
        <f>+D1134-D1135</f>
        <v>665759.75</v>
      </c>
      <c r="E1136" s="117">
        <f>+E1134-E1135</f>
        <v>810.71572089624919</v>
      </c>
      <c r="F1136" s="118">
        <f>+D1136/D1139</f>
        <v>1.9608274673813801</v>
      </c>
      <c r="G1136" s="119">
        <f>+E1136/E1139</f>
        <v>1.8388622881970789</v>
      </c>
      <c r="I1136" s="164"/>
      <c r="J1136" s="57"/>
      <c r="K1136" s="57"/>
      <c r="L1136" s="165"/>
      <c r="M1136" s="165"/>
    </row>
    <row r="1137" spans="3:17">
      <c r="C1137" s="132" t="s">
        <v>22</v>
      </c>
      <c r="D1137" s="123">
        <f>Model!AA118</f>
        <v>837757.54200000002</v>
      </c>
      <c r="E1137" s="73">
        <f t="shared" si="40"/>
        <v>1020.1626181198246</v>
      </c>
      <c r="F1137" s="112"/>
      <c r="G1137" s="109"/>
      <c r="I1137" s="164"/>
      <c r="J1137" s="57"/>
      <c r="K1137" s="57"/>
      <c r="L1137" s="165"/>
      <c r="M1137" s="165"/>
    </row>
    <row r="1138" spans="3:17">
      <c r="C1138" s="130" t="s">
        <v>23</v>
      </c>
      <c r="D1138" s="116">
        <f>D1134+D1137</f>
        <v>1874622.541</v>
      </c>
      <c r="E1138" s="117">
        <f>E1134+E1137</f>
        <v>2282.7843899171939</v>
      </c>
      <c r="F1138" s="118">
        <f>D1138/D1139</f>
        <v>5.5212279945807436</v>
      </c>
      <c r="G1138" s="119">
        <f>E1138/E1139</f>
        <v>5.1778027963527116</v>
      </c>
      <c r="I1138" s="166"/>
      <c r="J1138" s="30"/>
      <c r="K1138" s="162"/>
    </row>
    <row r="1139" spans="3:17">
      <c r="C1139" s="133" t="s">
        <v>24</v>
      </c>
      <c r="D1139" s="124">
        <f>Model!AA87</f>
        <v>339530</v>
      </c>
      <c r="E1139" s="125">
        <f>D1139*$J$1121</f>
        <v>440.87897505969261</v>
      </c>
      <c r="F1139" s="126"/>
      <c r="G1139" s="127"/>
    </row>
    <row r="1140" spans="3:17">
      <c r="N1140" s="352"/>
      <c r="O1140" s="352"/>
      <c r="P1140" s="352"/>
      <c r="Q1140" s="352"/>
    </row>
    <row r="1141" spans="3:17">
      <c r="C1141" s="80" t="s">
        <v>25</v>
      </c>
      <c r="D1141" s="172">
        <f>D1134-Model!AA114</f>
        <v>0</v>
      </c>
      <c r="E1141" s="81"/>
      <c r="N1141" s="159"/>
      <c r="O1141" s="159"/>
      <c r="P1141" s="160"/>
      <c r="Q1141" s="160"/>
    </row>
    <row r="1142" spans="3:17" ht="13.5" thickBot="1">
      <c r="D1142" s="103"/>
      <c r="E1142" s="103"/>
      <c r="F1142" s="188"/>
      <c r="G1142" s="188"/>
      <c r="N1142" s="161"/>
      <c r="O1142" s="162"/>
      <c r="P1142" s="160"/>
      <c r="Q1142" s="160"/>
    </row>
    <row r="1143" spans="3:17">
      <c r="C1143" s="53" t="s">
        <v>182</v>
      </c>
      <c r="D1143" s="99" t="s">
        <v>4</v>
      </c>
      <c r="E1143" s="100" t="s">
        <v>65</v>
      </c>
      <c r="N1143" s="163"/>
      <c r="O1143" s="162"/>
      <c r="P1143" s="157"/>
      <c r="Q1143" s="157"/>
    </row>
    <row r="1144" spans="3:17">
      <c r="C1144" s="54"/>
      <c r="D1144" s="82"/>
      <c r="E1144" s="68"/>
      <c r="N1144" s="163"/>
      <c r="O1144" s="162"/>
      <c r="P1144" s="160"/>
      <c r="Q1144" s="160"/>
    </row>
    <row r="1145" spans="3:17">
      <c r="C1145" s="54" t="s">
        <v>27</v>
      </c>
      <c r="D1145" s="95">
        <f>D1135</f>
        <v>371105.24900000001</v>
      </c>
      <c r="E1145" s="96">
        <f>E1135</f>
        <v>451.90605090112035</v>
      </c>
      <c r="N1145" s="163"/>
      <c r="O1145" s="162"/>
      <c r="P1145" s="160"/>
      <c r="Q1145" s="160"/>
    </row>
    <row r="1146" spans="3:17" ht="13.5" thickBot="1">
      <c r="C1146" s="92" t="s">
        <v>28</v>
      </c>
      <c r="D1146" s="98">
        <f>SUM(D1145:D1145)</f>
        <v>371105.24900000001</v>
      </c>
      <c r="E1146" s="98">
        <f>SUM(E1145:E1145)</f>
        <v>451.90605090112035</v>
      </c>
      <c r="I1146" s="156"/>
      <c r="J1146" s="352"/>
      <c r="K1146" s="352"/>
      <c r="L1146" s="352"/>
      <c r="M1146" s="352"/>
      <c r="N1146" s="170"/>
      <c r="O1146" s="171"/>
      <c r="P1146" s="165"/>
      <c r="Q1146" s="165"/>
    </row>
    <row r="1147" spans="3:17">
      <c r="I1147" s="158"/>
      <c r="J1147" s="159"/>
      <c r="K1147" s="159"/>
      <c r="L1147" s="160"/>
      <c r="M1147" s="160"/>
      <c r="N1147" s="163"/>
      <c r="O1147" s="162"/>
      <c r="P1147" s="157"/>
      <c r="Q1147" s="157"/>
    </row>
    <row r="1148" spans="3:17" ht="13.5" thickBot="1">
      <c r="I1148" s="158"/>
      <c r="J1148" s="161"/>
      <c r="K1148" s="162"/>
      <c r="L1148" s="160"/>
      <c r="M1148" s="160"/>
    </row>
    <row r="1149" spans="3:17">
      <c r="C1149" s="85" t="s">
        <v>183</v>
      </c>
      <c r="D1149" s="99" t="s">
        <v>4</v>
      </c>
      <c r="E1149" s="86" t="s">
        <v>65</v>
      </c>
      <c r="I1149" s="158"/>
      <c r="J1149" s="163"/>
      <c r="K1149" s="162"/>
      <c r="L1149" s="157"/>
      <c r="M1149" s="157"/>
    </row>
    <row r="1150" spans="3:17">
      <c r="C1150" s="87"/>
      <c r="D1150" s="102"/>
      <c r="E1150" s="97"/>
      <c r="I1150" s="158"/>
      <c r="J1150" s="163"/>
      <c r="K1150" s="162"/>
      <c r="L1150" s="160"/>
      <c r="M1150" s="160"/>
    </row>
    <row r="1151" spans="3:17">
      <c r="C1151" s="87">
        <v>2020</v>
      </c>
      <c r="D1151" s="91">
        <v>16000</v>
      </c>
      <c r="E1151" s="97">
        <f t="shared" ref="E1151:E1156" si="41">D1151*$J$1120</f>
        <v>19.48368241597662</v>
      </c>
      <c r="I1151" s="168"/>
      <c r="J1151" s="169"/>
      <c r="K1151" s="162"/>
      <c r="L1151" s="160"/>
      <c r="M1151" s="160"/>
    </row>
    <row r="1152" spans="3:17">
      <c r="C1152" s="87">
        <f>+C1151+1</f>
        <v>2021</v>
      </c>
      <c r="D1152" s="91">
        <v>17000</v>
      </c>
      <c r="E1152" s="97">
        <f t="shared" si="41"/>
        <v>20.701412566975158</v>
      </c>
      <c r="I1152" s="168"/>
      <c r="J1152" s="170"/>
      <c r="K1152" s="171"/>
      <c r="L1152" s="165"/>
      <c r="M1152" s="165"/>
    </row>
    <row r="1153" spans="2:13">
      <c r="C1153" s="87">
        <f t="shared" ref="C1153:C1155" si="42">+C1152+1</f>
        <v>2022</v>
      </c>
      <c r="D1153" s="91">
        <v>17000</v>
      </c>
      <c r="E1153" s="97">
        <f t="shared" si="41"/>
        <v>20.701412566975158</v>
      </c>
      <c r="I1153" s="158"/>
      <c r="J1153" s="163"/>
      <c r="K1153" s="162"/>
      <c r="L1153" s="157"/>
      <c r="M1153" s="157"/>
    </row>
    <row r="1154" spans="2:13">
      <c r="C1154" s="87">
        <f t="shared" si="42"/>
        <v>2023</v>
      </c>
      <c r="D1154" s="91">
        <v>148000</v>
      </c>
      <c r="E1154" s="97">
        <f t="shared" si="41"/>
        <v>180.22406234778373</v>
      </c>
    </row>
    <row r="1155" spans="2:13">
      <c r="C1155" s="87">
        <f t="shared" si="42"/>
        <v>2024</v>
      </c>
      <c r="D1155" s="91">
        <v>13000</v>
      </c>
      <c r="E1155" s="97">
        <f t="shared" si="41"/>
        <v>15.830491962981004</v>
      </c>
    </row>
    <row r="1156" spans="2:13" ht="13.5" thickBot="1">
      <c r="C1156" s="174" t="s">
        <v>167</v>
      </c>
      <c r="D1156" s="91">
        <f>(13+9+4*5+38*3+164+239)*1000</f>
        <v>559000</v>
      </c>
      <c r="E1156" s="97">
        <f t="shared" si="41"/>
        <v>680.71115440818312</v>
      </c>
      <c r="J1156" s="143"/>
    </row>
    <row r="1157" spans="2:13" ht="13.5" thickBot="1">
      <c r="C1157" s="88" t="s">
        <v>56</v>
      </c>
      <c r="D1157" s="105">
        <f>SUM(D1150:D1156)</f>
        <v>770000</v>
      </c>
      <c r="E1157" s="105">
        <f>SUM(E1150:E1156)</f>
        <v>937.65221626887478</v>
      </c>
    </row>
    <row r="1158" spans="2:13" ht="13.5" thickBot="1">
      <c r="C1158" s="87" t="s">
        <v>57</v>
      </c>
      <c r="D1158" s="175">
        <f>+D1123+D1124</f>
        <v>25195.283999999996</v>
      </c>
      <c r="E1158" s="97">
        <f t="shared" ref="E1158" si="43">D1158*$J$1164</f>
        <v>34.589426284647374</v>
      </c>
    </row>
    <row r="1159" spans="2:13" ht="13.5" thickBot="1">
      <c r="C1159" s="88" t="s">
        <v>58</v>
      </c>
      <c r="D1159" s="105">
        <f>+D1157+D1158</f>
        <v>795195.28399999999</v>
      </c>
      <c r="E1159" s="105">
        <f>+E1157+E1158</f>
        <v>972.24164255352218</v>
      </c>
    </row>
    <row r="1160" spans="2:13">
      <c r="C1160" s="189"/>
      <c r="D1160" s="113"/>
      <c r="E1160" s="113"/>
    </row>
    <row r="1161" spans="2:13">
      <c r="C1161" s="189"/>
      <c r="D1161" s="113"/>
      <c r="E1161" s="113"/>
    </row>
    <row r="1162" spans="2:13">
      <c r="C1162" s="142"/>
      <c r="D1162" s="114"/>
      <c r="E1162" s="113"/>
    </row>
    <row r="1164" spans="2:13">
      <c r="B1164" s="48" t="s">
        <v>184</v>
      </c>
      <c r="C1164" s="110"/>
      <c r="D1164" s="350" t="s">
        <v>185</v>
      </c>
      <c r="E1164" s="351"/>
      <c r="F1164" s="78" t="s">
        <v>6</v>
      </c>
      <c r="G1164" s="107" t="s">
        <v>7</v>
      </c>
      <c r="I1164" s="48" t="s">
        <v>39</v>
      </c>
      <c r="J1164" s="67">
        <f>Model!X193</f>
        <v>1.3728532008072376E-3</v>
      </c>
    </row>
    <row r="1165" spans="2:13">
      <c r="C1165" s="111"/>
      <c r="D1165" s="128" t="s">
        <v>4</v>
      </c>
      <c r="E1165" s="129" t="s">
        <v>5</v>
      </c>
      <c r="F1165" s="79"/>
      <c r="G1165" s="108"/>
      <c r="I1165" s="48" t="s">
        <v>186</v>
      </c>
      <c r="J1165" s="67">
        <f>AVERAGE(Model!U193:X193)</f>
        <v>1.4387184933623367E-3</v>
      </c>
    </row>
    <row r="1166" spans="2:13">
      <c r="C1166" s="111"/>
      <c r="D1166" s="128"/>
      <c r="E1166" s="129"/>
      <c r="F1166" s="79"/>
      <c r="G1166" s="108"/>
    </row>
    <row r="1167" spans="2:13">
      <c r="C1167" s="149" t="s">
        <v>42</v>
      </c>
      <c r="D1167" s="101">
        <f>1627.382+11032.574</f>
        <v>12659.956</v>
      </c>
      <c r="E1167" s="73">
        <f>D1167*$J$1164</f>
        <v>17.380261116678792</v>
      </c>
      <c r="F1167" s="79"/>
      <c r="G1167" s="108"/>
    </row>
    <row r="1168" spans="2:13">
      <c r="C1168" s="149" t="s">
        <v>43</v>
      </c>
      <c r="D1168" s="101">
        <f>22738.752+5527.142</f>
        <v>28265.894</v>
      </c>
      <c r="E1168" s="73">
        <f t="shared" ref="E1168" si="44">D1168*$J$1164</f>
        <v>38.804923051578093</v>
      </c>
      <c r="F1168" s="79"/>
      <c r="G1168" s="108"/>
      <c r="I1168" s="158"/>
      <c r="J1168" s="163"/>
      <c r="K1168" s="162"/>
      <c r="L1168" s="160"/>
      <c r="M1168" s="160"/>
    </row>
    <row r="1169" spans="3:13">
      <c r="C1169" s="149" t="s">
        <v>44</v>
      </c>
      <c r="D1169" s="101">
        <f>49690.371+7802.468</f>
        <v>57492.839</v>
      </c>
      <c r="E1169" s="73">
        <f t="shared" ref="E1169:E1176" si="45">D1169*$J$1164</f>
        <v>78.929228044645185</v>
      </c>
      <c r="F1169" s="79"/>
      <c r="G1169" s="108"/>
      <c r="I1169" s="176" t="s">
        <v>138</v>
      </c>
      <c r="J1169" s="177">
        <v>778768</v>
      </c>
      <c r="K1169" s="57"/>
      <c r="L1169" s="165"/>
      <c r="M1169" s="165"/>
    </row>
    <row r="1170" spans="3:13">
      <c r="C1170" s="149" t="s">
        <v>45</v>
      </c>
      <c r="D1170" s="101">
        <f>42072.795+208.302</f>
        <v>42281.097000000002</v>
      </c>
      <c r="E1170" s="73">
        <f t="shared" ref="E1170" si="46">D1170*$J$1164</f>
        <v>58.045739350091296</v>
      </c>
      <c r="F1170" s="79"/>
      <c r="G1170" s="108"/>
      <c r="I1170" s="184" t="s">
        <v>139</v>
      </c>
      <c r="J1170" s="185">
        <v>564906</v>
      </c>
      <c r="K1170" s="157"/>
      <c r="L1170" s="157"/>
      <c r="M1170" s="157"/>
    </row>
    <row r="1171" spans="3:13">
      <c r="C1171" s="149" t="s">
        <v>171</v>
      </c>
      <c r="D1171" s="101">
        <v>7041.884</v>
      </c>
      <c r="E1171" s="73">
        <f t="shared" si="45"/>
        <v>9.6674729891132731</v>
      </c>
      <c r="F1171" s="79"/>
      <c r="G1171" s="108"/>
      <c r="I1171" s="178" t="s">
        <v>75</v>
      </c>
      <c r="J1171" s="179">
        <f>+D1182</f>
        <v>329178</v>
      </c>
      <c r="K1171" s="159"/>
      <c r="L1171" s="160"/>
      <c r="M1171" s="160"/>
    </row>
    <row r="1172" spans="3:13">
      <c r="C1172" s="149" t="s">
        <v>46</v>
      </c>
      <c r="D1172" s="101">
        <f>112194.12+516.481</f>
        <v>112710.601</v>
      </c>
      <c r="E1172" s="73">
        <f t="shared" si="45"/>
        <v>154.73510934775743</v>
      </c>
      <c r="F1172" s="79"/>
      <c r="G1172" s="108"/>
      <c r="I1172" s="180" t="s">
        <v>76</v>
      </c>
      <c r="J1172" s="181">
        <f>+J1169/J1171</f>
        <v>2.3657960130992959</v>
      </c>
      <c r="K1172" s="159"/>
      <c r="L1172" s="160"/>
      <c r="M1172" s="160"/>
    </row>
    <row r="1173" spans="3:13">
      <c r="C1173" s="149" t="s">
        <v>47</v>
      </c>
      <c r="D1173" s="101">
        <f>84145.598+249.077</f>
        <v>84394.675000000003</v>
      </c>
      <c r="E1173" s="73">
        <f t="shared" si="45"/>
        <v>115.86149970483656</v>
      </c>
      <c r="F1173" s="79"/>
      <c r="G1173" s="108"/>
      <c r="I1173" s="182" t="s">
        <v>13</v>
      </c>
      <c r="J1173" s="183">
        <f>+J1170/J1171</f>
        <v>1.7161110402274757</v>
      </c>
      <c r="K1173" s="162"/>
      <c r="L1173" s="160"/>
      <c r="M1173" s="160"/>
    </row>
    <row r="1174" spans="3:13">
      <c r="C1174" s="149" t="s">
        <v>48</v>
      </c>
      <c r="D1174" s="101">
        <f>159876.621+61.064</f>
        <v>159937.68500000003</v>
      </c>
      <c r="E1174" s="73">
        <f t="shared" si="45"/>
        <v>219.57096278194976</v>
      </c>
      <c r="F1174" s="79"/>
      <c r="G1174" s="108"/>
      <c r="K1174" s="162"/>
      <c r="L1174" s="157"/>
      <c r="M1174" s="157"/>
    </row>
    <row r="1175" spans="3:13">
      <c r="C1175" s="149" t="s">
        <v>117</v>
      </c>
      <c r="D1175" s="101">
        <v>265796.65000000002</v>
      </c>
      <c r="E1175" s="73">
        <f t="shared" si="45"/>
        <v>364.89978171634107</v>
      </c>
      <c r="F1175" s="79"/>
      <c r="G1175" s="108"/>
      <c r="I1175" s="158"/>
      <c r="J1175" s="163"/>
      <c r="K1175" s="162"/>
      <c r="L1175" s="160"/>
      <c r="M1175" s="160"/>
    </row>
    <row r="1176" spans="3:13">
      <c r="C1176" s="149" t="s">
        <v>51</v>
      </c>
      <c r="D1176" s="173">
        <f>+Model!X109-SUM(D1167:D1175)</f>
        <v>-3688.2330000001239</v>
      </c>
      <c r="E1176" s="73">
        <f t="shared" si="45"/>
        <v>-5.0634024793730505</v>
      </c>
      <c r="F1176" s="79"/>
      <c r="G1176" s="108"/>
      <c r="K1176" s="162"/>
      <c r="L1176" s="160"/>
      <c r="M1176" s="160"/>
    </row>
    <row r="1177" spans="3:13">
      <c r="C1177" s="130" t="s">
        <v>19</v>
      </c>
      <c r="D1177" s="116">
        <f>SUM(D1167:D1176)</f>
        <v>766893.04799999995</v>
      </c>
      <c r="E1177" s="117">
        <f>SUM(E1167:E1176)</f>
        <v>1052.8315756236184</v>
      </c>
      <c r="F1177" s="118">
        <f>+D1177/D1182</f>
        <v>2.3297214516158431</v>
      </c>
      <c r="G1177" s="119">
        <f>+E1177/E1182</f>
        <v>2.2230655730054592</v>
      </c>
      <c r="I1177" s="166"/>
      <c r="J1177" s="56"/>
      <c r="K1177" s="162"/>
      <c r="L1177" s="167"/>
      <c r="M1177" s="167"/>
    </row>
    <row r="1178" spans="3:13">
      <c r="C1178" s="131" t="s">
        <v>20</v>
      </c>
      <c r="D1178" s="120">
        <f>Model!X111</f>
        <v>105667.11399999994</v>
      </c>
      <c r="E1178" s="73">
        <f>D1178*$J$1164</f>
        <v>145.0654356749632</v>
      </c>
      <c r="F1178" s="121"/>
      <c r="G1178" s="122"/>
      <c r="I1178" s="166"/>
      <c r="J1178" s="56"/>
      <c r="K1178" s="162"/>
      <c r="L1178" s="167"/>
      <c r="M1178" s="167"/>
    </row>
    <row r="1179" spans="3:13">
      <c r="C1179" s="130" t="s">
        <v>21</v>
      </c>
      <c r="D1179" s="116">
        <f>+D1177-D1178</f>
        <v>661225.93400000001</v>
      </c>
      <c r="E1179" s="117">
        <f>+E1177-E1178</f>
        <v>907.76613994865522</v>
      </c>
      <c r="F1179" s="118">
        <f>+D1179/D1182</f>
        <v>2.0087184866546366</v>
      </c>
      <c r="G1179" s="119">
        <f>+E1179/E1182</f>
        <v>1.9167582933334661</v>
      </c>
      <c r="I1179" s="164"/>
      <c r="J1179" s="57"/>
      <c r="K1179" s="57"/>
      <c r="L1179" s="165"/>
      <c r="M1179" s="165"/>
    </row>
    <row r="1180" spans="3:13">
      <c r="C1180" s="132" t="s">
        <v>22</v>
      </c>
      <c r="D1180" s="123">
        <f>Model!X118</f>
        <v>863583</v>
      </c>
      <c r="E1180" s="73">
        <f>D1180*$J$1164</f>
        <v>1185.5726857127167</v>
      </c>
      <c r="F1180" s="112"/>
      <c r="G1180" s="109"/>
      <c r="I1180" s="164"/>
      <c r="J1180" s="57"/>
      <c r="K1180" s="57"/>
      <c r="L1180" s="165"/>
      <c r="M1180" s="165"/>
    </row>
    <row r="1181" spans="3:13">
      <c r="C1181" s="130" t="s">
        <v>23</v>
      </c>
      <c r="D1181" s="116">
        <f>D1177+D1180</f>
        <v>1630476.048</v>
      </c>
      <c r="E1181" s="117">
        <f>E1177+E1180</f>
        <v>2238.4042613363354</v>
      </c>
      <c r="F1181" s="118">
        <f>D1181/D1182</f>
        <v>4.9531744162732627</v>
      </c>
      <c r="G1181" s="119">
        <f>E1181/E1182</f>
        <v>4.7264154752369025</v>
      </c>
      <c r="I1181" s="166"/>
      <c r="J1181" s="30"/>
      <c r="K1181" s="162"/>
    </row>
    <row r="1182" spans="3:13">
      <c r="C1182" s="133" t="s">
        <v>24</v>
      </c>
      <c r="D1182" s="124">
        <f>Model!X87</f>
        <v>329178</v>
      </c>
      <c r="E1182" s="125">
        <f>D1182*$J$1165</f>
        <v>473.59447620802729</v>
      </c>
      <c r="F1182" s="126"/>
      <c r="G1182" s="127"/>
    </row>
    <row r="1184" spans="3:13">
      <c r="C1184" s="80" t="s">
        <v>25</v>
      </c>
      <c r="D1184" s="172">
        <f>D1177-Model!X114</f>
        <v>0</v>
      </c>
      <c r="E1184" s="81"/>
    </row>
    <row r="1185" spans="3:13" ht="13.5" thickBot="1">
      <c r="D1185" s="103"/>
      <c r="E1185" s="103"/>
      <c r="F1185" s="188"/>
      <c r="G1185" s="188"/>
    </row>
    <row r="1186" spans="3:13">
      <c r="C1186" s="53" t="s">
        <v>187</v>
      </c>
      <c r="D1186" s="99" t="s">
        <v>4</v>
      </c>
      <c r="E1186" s="100" t="s">
        <v>65</v>
      </c>
    </row>
    <row r="1187" spans="3:13">
      <c r="C1187" s="54"/>
      <c r="D1187" s="82"/>
      <c r="E1187" s="68"/>
    </row>
    <row r="1188" spans="3:13">
      <c r="C1188" s="54" t="s">
        <v>27</v>
      </c>
      <c r="D1188" s="95">
        <f>D1178</f>
        <v>105667.11399999994</v>
      </c>
      <c r="E1188" s="96">
        <f>E1178</f>
        <v>145.0654356749632</v>
      </c>
    </row>
    <row r="1189" spans="3:13" ht="13.5" thickBot="1">
      <c r="C1189" s="92" t="s">
        <v>28</v>
      </c>
      <c r="D1189" s="98">
        <f>SUM(D1188:D1188)</f>
        <v>105667.11399999994</v>
      </c>
      <c r="E1189" s="98">
        <f>SUM(E1188:E1188)</f>
        <v>145.0654356749632</v>
      </c>
      <c r="I1189" s="156"/>
      <c r="J1189" s="352"/>
      <c r="K1189" s="352"/>
      <c r="L1189" s="352"/>
      <c r="M1189" s="352"/>
    </row>
    <row r="1190" spans="3:13">
      <c r="I1190" s="158"/>
      <c r="J1190" s="159"/>
      <c r="K1190" s="159"/>
      <c r="L1190" s="160"/>
      <c r="M1190" s="160"/>
    </row>
    <row r="1191" spans="3:13" ht="13.5" thickBot="1">
      <c r="I1191" s="158"/>
      <c r="J1191" s="161"/>
      <c r="K1191" s="162"/>
      <c r="L1191" s="160"/>
      <c r="M1191" s="160"/>
    </row>
    <row r="1192" spans="3:13">
      <c r="C1192" s="85" t="s">
        <v>188</v>
      </c>
      <c r="D1192" s="99" t="s">
        <v>4</v>
      </c>
      <c r="E1192" s="86" t="s">
        <v>65</v>
      </c>
      <c r="I1192" s="158"/>
      <c r="J1192" s="163"/>
      <c r="K1192" s="162"/>
      <c r="L1192" s="157"/>
      <c r="M1192" s="157"/>
    </row>
    <row r="1193" spans="3:13">
      <c r="C1193" s="87"/>
      <c r="D1193" s="102"/>
      <c r="E1193" s="97"/>
      <c r="I1193" s="158"/>
      <c r="J1193" s="163"/>
      <c r="K1193" s="162"/>
      <c r="L1193" s="160"/>
      <c r="M1193" s="160"/>
    </row>
    <row r="1194" spans="3:13">
      <c r="C1194" s="87">
        <v>2019</v>
      </c>
      <c r="D1194" s="91">
        <v>3000</v>
      </c>
      <c r="E1194" s="97">
        <f>D1194*$J$1164</f>
        <v>4.1185596024217128</v>
      </c>
      <c r="I1194" s="168"/>
      <c r="J1194" s="169"/>
      <c r="K1194" s="162"/>
      <c r="L1194" s="160"/>
      <c r="M1194" s="160"/>
    </row>
    <row r="1195" spans="3:13">
      <c r="C1195" s="87">
        <f>+C1194+1</f>
        <v>2020</v>
      </c>
      <c r="D1195" s="91">
        <v>14000</v>
      </c>
      <c r="E1195" s="97">
        <f>D1195*$J$1164</f>
        <v>19.219944811301328</v>
      </c>
      <c r="I1195" s="168"/>
      <c r="J1195" s="170"/>
      <c r="K1195" s="171"/>
      <c r="L1195" s="165"/>
      <c r="M1195" s="165"/>
    </row>
    <row r="1196" spans="3:13">
      <c r="C1196" s="87">
        <f t="shared" ref="C1196:C1198" si="47">+C1195+1</f>
        <v>2021</v>
      </c>
      <c r="D1196" s="91">
        <v>11000</v>
      </c>
      <c r="E1196" s="97">
        <f t="shared" ref="E1196:E1201" si="48">D1196*$J$1164</f>
        <v>15.101385208879615</v>
      </c>
      <c r="I1196" s="158"/>
      <c r="J1196" s="163"/>
      <c r="K1196" s="162"/>
      <c r="L1196" s="157"/>
      <c r="M1196" s="157"/>
    </row>
    <row r="1197" spans="3:13">
      <c r="C1197" s="87">
        <f t="shared" si="47"/>
        <v>2022</v>
      </c>
      <c r="D1197" s="91">
        <v>12000</v>
      </c>
      <c r="E1197" s="97">
        <f t="shared" si="48"/>
        <v>16.474238409686851</v>
      </c>
    </row>
    <row r="1198" spans="3:13">
      <c r="C1198" s="87">
        <f t="shared" si="47"/>
        <v>2023</v>
      </c>
      <c r="D1198" s="91">
        <v>278000</v>
      </c>
      <c r="E1198" s="97">
        <f t="shared" ref="E1198" si="49">D1198*$J$1164</f>
        <v>381.65318982441204</v>
      </c>
    </row>
    <row r="1199" spans="3:13" ht="13.5" thickBot="1">
      <c r="C1199" s="174" t="s">
        <v>189</v>
      </c>
      <c r="D1199" s="91">
        <f>(13+13+9+4*5+51+65*2+14+160)*1000</f>
        <v>410000</v>
      </c>
      <c r="E1199" s="97">
        <f t="shared" si="48"/>
        <v>562.86981233096742</v>
      </c>
      <c r="J1199" s="143"/>
    </row>
    <row r="1200" spans="3:13" ht="13.5" thickBot="1">
      <c r="C1200" s="88" t="s">
        <v>56</v>
      </c>
      <c r="D1200" s="105">
        <f>SUM(D1193:D1199)</f>
        <v>728000</v>
      </c>
      <c r="E1200" s="105">
        <f>SUM(E1193:E1199)</f>
        <v>999.43713018766903</v>
      </c>
    </row>
    <row r="1201" spans="3:5" ht="13.5" thickBot="1">
      <c r="C1201" s="87" t="s">
        <v>57</v>
      </c>
      <c r="D1201" s="175">
        <f>+D1168+D1167</f>
        <v>40925.85</v>
      </c>
      <c r="E1201" s="97">
        <f t="shared" si="48"/>
        <v>56.185184168256882</v>
      </c>
    </row>
    <row r="1202" spans="3:5" ht="13.5" thickBot="1">
      <c r="C1202" s="88" t="s">
        <v>58</v>
      </c>
      <c r="D1202" s="105">
        <f>+D1200+D1201</f>
        <v>768925.85</v>
      </c>
      <c r="E1202" s="105">
        <f>+E1200+E1201</f>
        <v>1055.6223143559259</v>
      </c>
    </row>
    <row r="1203" spans="3:5">
      <c r="C1203" s="142"/>
      <c r="D1203" s="114"/>
      <c r="E1203" s="113"/>
    </row>
    <row r="1205" spans="3:5">
      <c r="C1205" s="142"/>
      <c r="D1205" s="106"/>
    </row>
  </sheetData>
  <mergeCells count="70">
    <mergeCell ref="J32:M32"/>
    <mergeCell ref="N32:Q32"/>
    <mergeCell ref="J137:M137"/>
    <mergeCell ref="N137:Q137"/>
    <mergeCell ref="J185:M185"/>
    <mergeCell ref="N185:Q185"/>
    <mergeCell ref="J232:M232"/>
    <mergeCell ref="N232:Q232"/>
    <mergeCell ref="D253:E253"/>
    <mergeCell ref="J278:M278"/>
    <mergeCell ref="N278:Q278"/>
    <mergeCell ref="D300:E300"/>
    <mergeCell ref="J325:M325"/>
    <mergeCell ref="N325:Q325"/>
    <mergeCell ref="D350:E350"/>
    <mergeCell ref="J375:M375"/>
    <mergeCell ref="N375:Q375"/>
    <mergeCell ref="D544:E544"/>
    <mergeCell ref="N424:Q424"/>
    <mergeCell ref="N472:Q472"/>
    <mergeCell ref="D399:E399"/>
    <mergeCell ref="J424:M424"/>
    <mergeCell ref="N520:Q520"/>
    <mergeCell ref="D496:E496"/>
    <mergeCell ref="J521:M521"/>
    <mergeCell ref="J473:M473"/>
    <mergeCell ref="D448:E448"/>
    <mergeCell ref="D591:E591"/>
    <mergeCell ref="J616:M616"/>
    <mergeCell ref="N567:Q567"/>
    <mergeCell ref="D637:E637"/>
    <mergeCell ref="J662:M662"/>
    <mergeCell ref="N613:Q613"/>
    <mergeCell ref="J569:M569"/>
    <mergeCell ref="J1189:M1189"/>
    <mergeCell ref="N1140:Q1140"/>
    <mergeCell ref="D1120:E1120"/>
    <mergeCell ref="J1146:M1146"/>
    <mergeCell ref="N1097:Q1097"/>
    <mergeCell ref="D1164:E1164"/>
    <mergeCell ref="J1103:M1103"/>
    <mergeCell ref="J931:M931"/>
    <mergeCell ref="N882:Q882"/>
    <mergeCell ref="D1077:E1077"/>
    <mergeCell ref="D949:E949"/>
    <mergeCell ref="J974:M974"/>
    <mergeCell ref="N925:Q925"/>
    <mergeCell ref="D992:E992"/>
    <mergeCell ref="N968:Q968"/>
    <mergeCell ref="N1054:Q1054"/>
    <mergeCell ref="D1034:E1034"/>
    <mergeCell ref="J1060:M1060"/>
    <mergeCell ref="N1011:Q1011"/>
    <mergeCell ref="J1017:M1017"/>
    <mergeCell ref="J889:M889"/>
    <mergeCell ref="D684:E684"/>
    <mergeCell ref="J709:M709"/>
    <mergeCell ref="N660:Q660"/>
    <mergeCell ref="D906:E906"/>
    <mergeCell ref="D730:E730"/>
    <mergeCell ref="J755:M755"/>
    <mergeCell ref="N706:Q706"/>
    <mergeCell ref="D776:E776"/>
    <mergeCell ref="J801:M801"/>
    <mergeCell ref="N752:Q752"/>
    <mergeCell ref="D821:E821"/>
    <mergeCell ref="J846:M846"/>
    <mergeCell ref="N797:Q797"/>
    <mergeCell ref="D864:E864"/>
    <mergeCell ref="N840:Q840"/>
  </mergeCells>
  <pageMargins left="0.7" right="0.7" top="0.75" bottom="0.75" header="0.3" footer="0.3"/>
  <pageSetup orientation="portrait" horizontalDpi="90" verticalDpi="90" r:id="rId1"/>
  <ignoredErrors>
    <ignoredError sqref="E1178 E1200 E962:E964 E628 E604 E606" formula="1"/>
    <ignoredError sqref="G1177:G1178 G1179:G1181" evalError="1"/>
  </ignoredErrors>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2:CI261"/>
  <sheetViews>
    <sheetView showGridLines="0" zoomScaleNormal="100" zoomScaleSheetLayoutView="100" workbookViewId="0">
      <pane xSplit="2" ySplit="6" topLeftCell="K7" activePane="bottomRight" state="frozen"/>
      <selection pane="bottomRight" activeCell="AY1" sqref="AY1"/>
      <selection pane="bottomLeft" activeCell="U2" sqref="U2"/>
      <selection pane="topRight" activeCell="U2" sqref="U2"/>
    </sheetView>
  </sheetViews>
  <sheetFormatPr defaultColWidth="11.42578125" defaultRowHeight="13.5" customHeight="1" outlineLevelRow="1" outlineLevelCol="1"/>
  <cols>
    <col min="1" max="1" width="2.7109375" style="1" customWidth="1"/>
    <col min="2" max="2" width="50.7109375" style="1" customWidth="1"/>
    <col min="3" max="3" width="12.7109375" style="1" hidden="1" customWidth="1" outlineLevel="1"/>
    <col min="4" max="4" width="12.7109375" style="1" hidden="1" customWidth="1" outlineLevel="1" collapsed="1"/>
    <col min="5" max="6" width="12.7109375" style="1" hidden="1" customWidth="1" outlineLevel="1"/>
    <col min="7" max="7" width="12.7109375" style="1" hidden="1" customWidth="1" outlineLevel="1" collapsed="1"/>
    <col min="8" max="10" width="12.7109375" style="1" hidden="1" customWidth="1" outlineLevel="1"/>
    <col min="11" max="11" width="12.7109375" style="1" hidden="1" customWidth="1" outlineLevel="1" collapsed="1"/>
    <col min="12" max="12" width="12.7109375" style="1" hidden="1" customWidth="1" outlineLevel="1"/>
    <col min="13" max="13" width="12.7109375" style="1" customWidth="1" collapsed="1"/>
    <col min="14" max="17" width="12.7109375" style="1" customWidth="1"/>
    <col min="18" max="29" width="12.7109375" style="1" hidden="1" customWidth="1" outlineLevel="1"/>
    <col min="30" max="30" width="12.7109375" style="1" hidden="1" customWidth="1" outlineLevel="1" collapsed="1"/>
    <col min="31" max="33" width="12.7109375" style="1" hidden="1" customWidth="1" outlineLevel="1"/>
    <col min="34" max="34" width="12.7109375" style="1" hidden="1" customWidth="1" outlineLevel="1" collapsed="1"/>
    <col min="35" max="41" width="12.7109375" style="1" hidden="1" customWidth="1" outlineLevel="1"/>
    <col min="42" max="42" width="12.7109375" style="1" customWidth="1" collapsed="1"/>
    <col min="43" max="54" width="12.7109375" style="1" customWidth="1"/>
    <col min="55" max="60" width="12.7109375" style="1" hidden="1" customWidth="1" outlineLevel="1"/>
    <col min="61" max="61" width="12.7109375" style="1" customWidth="1" collapsed="1"/>
    <col min="62" max="67" width="12.7109375" style="1" customWidth="1"/>
    <col min="68" max="72" width="12.7109375" style="1" hidden="1" customWidth="1" outlineLevel="1"/>
    <col min="73" max="73" width="12.7109375" style="1" customWidth="1" collapsed="1"/>
    <col min="74" max="77" width="12.7109375" style="1" customWidth="1"/>
    <col min="78" max="82" width="12.7109375" style="1" hidden="1" customWidth="1" outlineLevel="1"/>
    <col min="83" max="83" width="12.7109375" style="1" hidden="1" customWidth="1" collapsed="1"/>
    <col min="84" max="87" width="12.7109375" style="1" hidden="1" customWidth="1"/>
    <col min="88" max="88" width="12.7109375" style="1" customWidth="1"/>
    <col min="89" max="16384" width="11.42578125" style="1"/>
  </cols>
  <sheetData>
    <row r="2" spans="1:87" s="5" customFormat="1" ht="24.75" customHeight="1">
      <c r="A2" s="2"/>
      <c r="B2" s="9" t="s">
        <v>190</v>
      </c>
      <c r="C2" s="148"/>
      <c r="D2" s="11" t="s">
        <v>191</v>
      </c>
      <c r="E2" s="11" t="s">
        <v>191</v>
      </c>
      <c r="F2" s="11" t="s">
        <v>191</v>
      </c>
      <c r="G2" s="11" t="s">
        <v>191</v>
      </c>
      <c r="H2" s="11" t="s">
        <v>191</v>
      </c>
      <c r="I2" s="11" t="s">
        <v>191</v>
      </c>
      <c r="J2" s="11" t="s">
        <v>191</v>
      </c>
      <c r="K2" s="11" t="s">
        <v>191</v>
      </c>
      <c r="L2" s="11" t="s">
        <v>191</v>
      </c>
      <c r="M2" s="11" t="s">
        <v>191</v>
      </c>
      <c r="N2" s="11" t="s">
        <v>191</v>
      </c>
      <c r="O2" s="11" t="s">
        <v>191</v>
      </c>
      <c r="P2" s="13" t="s">
        <v>192</v>
      </c>
      <c r="Q2" s="134"/>
      <c r="R2" s="11" t="s">
        <v>193</v>
      </c>
      <c r="S2" s="11" t="s">
        <v>193</v>
      </c>
      <c r="T2" s="11" t="s">
        <v>193</v>
      </c>
      <c r="U2" s="11" t="s">
        <v>193</v>
      </c>
      <c r="V2" s="11" t="s">
        <v>193</v>
      </c>
      <c r="W2" s="11" t="s">
        <v>193</v>
      </c>
      <c r="X2" s="144" t="s">
        <v>193</v>
      </c>
      <c r="Y2" s="11" t="s">
        <v>193</v>
      </c>
      <c r="Z2" s="11" t="s">
        <v>193</v>
      </c>
      <c r="AA2" s="11" t="s">
        <v>193</v>
      </c>
      <c r="AB2" s="190" t="s">
        <v>193</v>
      </c>
      <c r="AC2" s="11" t="s">
        <v>193</v>
      </c>
      <c r="AD2" s="11" t="s">
        <v>193</v>
      </c>
      <c r="AE2" s="11" t="s">
        <v>193</v>
      </c>
      <c r="AF2" s="190" t="s">
        <v>193</v>
      </c>
      <c r="AG2" s="11" t="s">
        <v>193</v>
      </c>
      <c r="AH2" s="11" t="s">
        <v>193</v>
      </c>
      <c r="AI2" s="11" t="s">
        <v>193</v>
      </c>
      <c r="AJ2" s="190" t="s">
        <v>193</v>
      </c>
      <c r="AK2" s="11" t="s">
        <v>193</v>
      </c>
      <c r="AL2" s="11" t="s">
        <v>193</v>
      </c>
      <c r="AM2" s="11" t="s">
        <v>193</v>
      </c>
      <c r="AN2" s="190" t="s">
        <v>193</v>
      </c>
      <c r="AO2" s="11" t="s">
        <v>193</v>
      </c>
      <c r="AP2" s="11" t="s">
        <v>193</v>
      </c>
      <c r="AQ2" s="11" t="s">
        <v>193</v>
      </c>
      <c r="AR2" s="190" t="s">
        <v>193</v>
      </c>
      <c r="AS2" s="11" t="s">
        <v>193</v>
      </c>
      <c r="AT2" s="11" t="s">
        <v>193</v>
      </c>
      <c r="AU2" s="11" t="s">
        <v>193</v>
      </c>
      <c r="AV2" s="190" t="s">
        <v>193</v>
      </c>
      <c r="AW2" s="11" t="s">
        <v>193</v>
      </c>
      <c r="AX2" s="11" t="s">
        <v>193</v>
      </c>
      <c r="AY2" s="266"/>
      <c r="AZ2" s="190" t="s">
        <v>194</v>
      </c>
      <c r="BA2" s="190" t="s">
        <v>194</v>
      </c>
      <c r="BC2" s="11" t="s">
        <v>193</v>
      </c>
      <c r="BD2" s="11" t="s">
        <v>193</v>
      </c>
      <c r="BE2" s="190" t="s">
        <v>193</v>
      </c>
      <c r="BF2" s="11" t="s">
        <v>193</v>
      </c>
      <c r="BG2" s="11" t="s">
        <v>193</v>
      </c>
      <c r="BH2" s="11" t="s">
        <v>193</v>
      </c>
      <c r="BI2" s="190" t="s">
        <v>193</v>
      </c>
      <c r="BJ2" s="11" t="s">
        <v>193</v>
      </c>
      <c r="BK2" s="11" t="s">
        <v>193</v>
      </c>
      <c r="BL2" s="11" t="s">
        <v>193</v>
      </c>
      <c r="BM2" s="190" t="s">
        <v>193</v>
      </c>
      <c r="BN2" s="11" t="s">
        <v>193</v>
      </c>
      <c r="BP2" s="11" t="s">
        <v>195</v>
      </c>
      <c r="BQ2" s="190" t="s">
        <v>196</v>
      </c>
      <c r="BR2" s="190" t="s">
        <v>194</v>
      </c>
      <c r="BS2" s="11" t="s">
        <v>195</v>
      </c>
      <c r="BT2" s="190" t="s">
        <v>196</v>
      </c>
      <c r="BU2" s="190" t="s">
        <v>194</v>
      </c>
      <c r="BV2" s="11" t="s">
        <v>195</v>
      </c>
      <c r="BW2" s="190" t="s">
        <v>196</v>
      </c>
      <c r="BX2" s="190" t="s">
        <v>194</v>
      </c>
      <c r="BZ2" s="11"/>
      <c r="CA2" s="11"/>
      <c r="CB2" s="11"/>
      <c r="CC2" s="11"/>
      <c r="CD2" s="11"/>
      <c r="CE2" s="283" t="str">
        <f>CE5</f>
        <v>9M</v>
      </c>
      <c r="CF2" s="283" t="str">
        <f t="shared" ref="CF2:CH2" si="0">CF5</f>
        <v>3M</v>
      </c>
      <c r="CG2" s="283" t="str">
        <f t="shared" si="0"/>
        <v>6M</v>
      </c>
      <c r="CH2" s="283" t="str">
        <f t="shared" si="0"/>
        <v>9M</v>
      </c>
    </row>
    <row r="3" spans="1:87" s="5" customFormat="1" ht="13.5" customHeight="1">
      <c r="A3" s="2"/>
      <c r="B3" s="90" t="s">
        <v>197</v>
      </c>
      <c r="C3" s="12"/>
      <c r="D3" s="12">
        <v>42004</v>
      </c>
      <c r="E3" s="12">
        <v>42369</v>
      </c>
      <c r="F3" s="12">
        <v>42735</v>
      </c>
      <c r="G3" s="12">
        <v>43100</v>
      </c>
      <c r="H3" s="12">
        <v>43465</v>
      </c>
      <c r="I3" s="12">
        <v>43830</v>
      </c>
      <c r="J3" s="12">
        <v>44196</v>
      </c>
      <c r="K3" s="12">
        <v>44561</v>
      </c>
      <c r="L3" s="12">
        <v>44926</v>
      </c>
      <c r="M3" s="12">
        <v>45291</v>
      </c>
      <c r="N3" s="12">
        <v>45657</v>
      </c>
      <c r="O3" s="12">
        <v>46022</v>
      </c>
      <c r="P3" s="13">
        <f>AX3</f>
        <v>46111</v>
      </c>
      <c r="Q3" s="134"/>
      <c r="R3" s="12">
        <v>43189</v>
      </c>
      <c r="S3" s="12">
        <v>43281</v>
      </c>
      <c r="T3" s="12">
        <v>43373</v>
      </c>
      <c r="U3" s="12">
        <v>43464</v>
      </c>
      <c r="V3" s="12">
        <v>43554</v>
      </c>
      <c r="W3" s="12">
        <v>43646</v>
      </c>
      <c r="X3" s="145">
        <v>43738</v>
      </c>
      <c r="Y3" s="12">
        <v>43829</v>
      </c>
      <c r="Z3" s="12">
        <v>43920</v>
      </c>
      <c r="AA3" s="12">
        <v>44012</v>
      </c>
      <c r="AB3" s="13">
        <v>44104</v>
      </c>
      <c r="AC3" s="12">
        <v>44195</v>
      </c>
      <c r="AD3" s="12">
        <v>44285</v>
      </c>
      <c r="AE3" s="12">
        <v>44377</v>
      </c>
      <c r="AF3" s="13">
        <v>44469</v>
      </c>
      <c r="AG3" s="12">
        <v>44560</v>
      </c>
      <c r="AH3" s="12">
        <v>44650</v>
      </c>
      <c r="AI3" s="12">
        <v>44742</v>
      </c>
      <c r="AJ3" s="13">
        <v>44834</v>
      </c>
      <c r="AK3" s="12">
        <v>44925</v>
      </c>
      <c r="AL3" s="12">
        <v>45015</v>
      </c>
      <c r="AM3" s="12">
        <v>45107</v>
      </c>
      <c r="AN3" s="13">
        <v>45199</v>
      </c>
      <c r="AO3" s="12">
        <v>45290</v>
      </c>
      <c r="AP3" s="12">
        <v>45381</v>
      </c>
      <c r="AQ3" s="12">
        <v>45473</v>
      </c>
      <c r="AR3" s="13">
        <v>45565</v>
      </c>
      <c r="AS3" s="12">
        <v>45656</v>
      </c>
      <c r="AT3" s="12">
        <v>45746</v>
      </c>
      <c r="AU3" s="12">
        <v>45838</v>
      </c>
      <c r="AV3" s="13">
        <v>45930</v>
      </c>
      <c r="AW3" s="12">
        <v>46021</v>
      </c>
      <c r="AX3" s="12">
        <v>46111</v>
      </c>
      <c r="AY3" s="134"/>
      <c r="AZ3" s="13">
        <v>45536</v>
      </c>
      <c r="BA3" s="13">
        <v>45901</v>
      </c>
      <c r="BC3" s="12">
        <f>AH3</f>
        <v>44650</v>
      </c>
      <c r="BD3" s="12">
        <f>AI3</f>
        <v>44742</v>
      </c>
      <c r="BE3" s="12">
        <f>AJ3</f>
        <v>44834</v>
      </c>
      <c r="BF3" s="12">
        <f>AK3</f>
        <v>44925</v>
      </c>
      <c r="BG3" s="12">
        <f>AL3</f>
        <v>45015</v>
      </c>
      <c r="BH3" s="12">
        <f>AM3</f>
        <v>45107</v>
      </c>
      <c r="BI3" s="12">
        <f>AN3</f>
        <v>45199</v>
      </c>
      <c r="BJ3" s="12">
        <f>AO3</f>
        <v>45290</v>
      </c>
      <c r="BK3" s="12">
        <f>AP3</f>
        <v>45381</v>
      </c>
      <c r="BL3" s="12">
        <f>AQ3</f>
        <v>45473</v>
      </c>
      <c r="BM3" s="12">
        <f>AR3</f>
        <v>45565</v>
      </c>
      <c r="BN3" s="12">
        <f>AS3</f>
        <v>45656</v>
      </c>
      <c r="BP3" s="12">
        <v>44650</v>
      </c>
      <c r="BQ3" s="13">
        <v>44713</v>
      </c>
      <c r="BR3" s="13">
        <v>44805</v>
      </c>
      <c r="BS3" s="12">
        <v>45015</v>
      </c>
      <c r="BT3" s="13">
        <v>45078</v>
      </c>
      <c r="BU3" s="13">
        <v>45170</v>
      </c>
      <c r="BV3" s="12">
        <v>45381</v>
      </c>
      <c r="BW3" s="13">
        <v>45444</v>
      </c>
      <c r="BX3" s="13">
        <v>45536</v>
      </c>
      <c r="BZ3" s="12">
        <v>44650</v>
      </c>
      <c r="CA3" s="13">
        <v>44713</v>
      </c>
      <c r="CB3" s="13">
        <v>44805</v>
      </c>
      <c r="CC3" s="13">
        <v>44986</v>
      </c>
      <c r="CD3" s="13">
        <v>45078</v>
      </c>
      <c r="CE3" s="13">
        <v>45170</v>
      </c>
      <c r="CF3" s="13">
        <v>45352</v>
      </c>
      <c r="CG3" s="13">
        <v>45444</v>
      </c>
      <c r="CH3" s="13">
        <v>45536</v>
      </c>
    </row>
    <row r="4" spans="1:87" s="5" customFormat="1" ht="13.5" customHeight="1">
      <c r="B4" s="10"/>
      <c r="C4" s="13"/>
      <c r="D4" s="13" t="s">
        <v>198</v>
      </c>
      <c r="E4" s="13" t="s">
        <v>198</v>
      </c>
      <c r="F4" s="13" t="s">
        <v>198</v>
      </c>
      <c r="G4" s="13" t="s">
        <v>198</v>
      </c>
      <c r="H4" s="13" t="s">
        <v>198</v>
      </c>
      <c r="I4" s="13" t="s">
        <v>198</v>
      </c>
      <c r="J4" s="13" t="s">
        <v>198</v>
      </c>
      <c r="K4" s="13" t="s">
        <v>198</v>
      </c>
      <c r="L4" s="13" t="s">
        <v>198</v>
      </c>
      <c r="M4" s="13" t="s">
        <v>198</v>
      </c>
      <c r="N4" s="13" t="s">
        <v>198</v>
      </c>
      <c r="O4" s="13" t="s">
        <v>198</v>
      </c>
      <c r="P4" s="13" t="s">
        <v>198</v>
      </c>
      <c r="Q4" s="134"/>
      <c r="R4" s="13" t="s">
        <v>198</v>
      </c>
      <c r="S4" s="13" t="s">
        <v>198</v>
      </c>
      <c r="T4" s="13" t="s">
        <v>198</v>
      </c>
      <c r="U4" s="13" t="s">
        <v>198</v>
      </c>
      <c r="V4" s="13" t="s">
        <v>198</v>
      </c>
      <c r="W4" s="13" t="s">
        <v>198</v>
      </c>
      <c r="X4" s="13" t="s">
        <v>198</v>
      </c>
      <c r="Y4" s="13" t="s">
        <v>198</v>
      </c>
      <c r="Z4" s="13" t="s">
        <v>198</v>
      </c>
      <c r="AA4" s="13" t="s">
        <v>198</v>
      </c>
      <c r="AB4" s="13" t="s">
        <v>198</v>
      </c>
      <c r="AC4" s="13" t="s">
        <v>198</v>
      </c>
      <c r="AD4" s="13" t="s">
        <v>198</v>
      </c>
      <c r="AE4" s="13" t="s">
        <v>198</v>
      </c>
      <c r="AF4" s="13" t="s">
        <v>198</v>
      </c>
      <c r="AG4" s="13" t="s">
        <v>198</v>
      </c>
      <c r="AH4" s="13" t="s">
        <v>198</v>
      </c>
      <c r="AI4" s="13" t="s">
        <v>198</v>
      </c>
      <c r="AJ4" s="13" t="s">
        <v>198</v>
      </c>
      <c r="AK4" s="13" t="s">
        <v>198</v>
      </c>
      <c r="AL4" s="13" t="s">
        <v>198</v>
      </c>
      <c r="AM4" s="13" t="s">
        <v>198</v>
      </c>
      <c r="AN4" s="13" t="s">
        <v>198</v>
      </c>
      <c r="AO4" s="13" t="s">
        <v>198</v>
      </c>
      <c r="AP4" s="13" t="s">
        <v>198</v>
      </c>
      <c r="AQ4" s="13" t="s">
        <v>198</v>
      </c>
      <c r="AR4" s="13" t="s">
        <v>198</v>
      </c>
      <c r="AS4" s="13" t="s">
        <v>198</v>
      </c>
      <c r="AT4" s="13" t="s">
        <v>198</v>
      </c>
      <c r="AU4" s="13" t="s">
        <v>198</v>
      </c>
      <c r="AV4" s="13" t="s">
        <v>198</v>
      </c>
      <c r="AW4" s="13" t="s">
        <v>198</v>
      </c>
      <c r="AX4" s="13" t="s">
        <v>198</v>
      </c>
      <c r="AY4" s="134"/>
      <c r="AZ4" s="13" t="s">
        <v>198</v>
      </c>
      <c r="BA4" s="13" t="s">
        <v>198</v>
      </c>
      <c r="BC4" s="13" t="s">
        <v>198</v>
      </c>
      <c r="BD4" s="13" t="s">
        <v>198</v>
      </c>
      <c r="BE4" s="13" t="s">
        <v>198</v>
      </c>
      <c r="BF4" s="13" t="s">
        <v>198</v>
      </c>
      <c r="BG4" s="13" t="s">
        <v>198</v>
      </c>
      <c r="BH4" s="13" t="s">
        <v>198</v>
      </c>
      <c r="BI4" s="13" t="s">
        <v>198</v>
      </c>
      <c r="BJ4" s="13" t="s">
        <v>198</v>
      </c>
      <c r="BK4" s="13" t="s">
        <v>198</v>
      </c>
      <c r="BL4" s="13" t="s">
        <v>198</v>
      </c>
      <c r="BM4" s="13" t="s">
        <v>198</v>
      </c>
      <c r="BN4" s="13" t="s">
        <v>198</v>
      </c>
      <c r="BP4" s="13" t="s">
        <v>199</v>
      </c>
      <c r="BQ4" s="13" t="s">
        <v>199</v>
      </c>
      <c r="BR4" s="13" t="s">
        <v>199</v>
      </c>
      <c r="BS4" s="13" t="s">
        <v>199</v>
      </c>
      <c r="BT4" s="13" t="s">
        <v>199</v>
      </c>
      <c r="BU4" s="13" t="s">
        <v>199</v>
      </c>
      <c r="BV4" s="13" t="s">
        <v>199</v>
      </c>
      <c r="BW4" s="13" t="s">
        <v>199</v>
      </c>
      <c r="BX4" s="13" t="s">
        <v>199</v>
      </c>
      <c r="BZ4" s="13"/>
      <c r="CA4" s="13"/>
      <c r="CB4" s="13"/>
      <c r="CC4" s="13"/>
      <c r="CD4" s="13"/>
      <c r="CE4" s="13"/>
      <c r="CF4" s="13"/>
      <c r="CG4" s="13"/>
      <c r="CH4" s="13"/>
    </row>
    <row r="5" spans="1:87" s="5" customFormat="1" ht="13.5" customHeight="1">
      <c r="A5" s="3"/>
      <c r="B5" s="3"/>
      <c r="C5" s="19"/>
      <c r="D5" s="19" t="s">
        <v>200</v>
      </c>
      <c r="E5" s="19" t="s">
        <v>200</v>
      </c>
      <c r="F5" s="19" t="s">
        <v>200</v>
      </c>
      <c r="G5" s="19" t="s">
        <v>200</v>
      </c>
      <c r="H5" s="19" t="s">
        <v>200</v>
      </c>
      <c r="I5" s="19" t="s">
        <v>200</v>
      </c>
      <c r="J5" s="19" t="s">
        <v>200</v>
      </c>
      <c r="K5" s="19" t="s">
        <v>200</v>
      </c>
      <c r="L5" s="19" t="s">
        <v>200</v>
      </c>
      <c r="M5" s="19" t="s">
        <v>200</v>
      </c>
      <c r="N5" s="19" t="s">
        <v>200</v>
      </c>
      <c r="O5" s="19" t="s">
        <v>200</v>
      </c>
      <c r="P5" s="19" t="s">
        <v>192</v>
      </c>
      <c r="Q5" s="19"/>
      <c r="R5" s="19" t="s">
        <v>201</v>
      </c>
      <c r="S5" s="19" t="s">
        <v>202</v>
      </c>
      <c r="T5" s="19" t="s">
        <v>203</v>
      </c>
      <c r="U5" s="19" t="s">
        <v>204</v>
      </c>
      <c r="V5" s="19" t="s">
        <v>201</v>
      </c>
      <c r="W5" s="19" t="s">
        <v>202</v>
      </c>
      <c r="X5" s="19" t="s">
        <v>203</v>
      </c>
      <c r="Y5" s="19" t="s">
        <v>204</v>
      </c>
      <c r="Z5" s="19" t="s">
        <v>201</v>
      </c>
      <c r="AA5" s="19" t="s">
        <v>202</v>
      </c>
      <c r="AB5" s="19" t="s">
        <v>203</v>
      </c>
      <c r="AC5" s="19" t="s">
        <v>204</v>
      </c>
      <c r="AD5" s="19" t="s">
        <v>201</v>
      </c>
      <c r="AE5" s="19" t="s">
        <v>202</v>
      </c>
      <c r="AF5" s="19" t="s">
        <v>203</v>
      </c>
      <c r="AG5" s="19" t="s">
        <v>204</v>
      </c>
      <c r="AH5" s="19" t="s">
        <v>201</v>
      </c>
      <c r="AI5" s="19" t="s">
        <v>202</v>
      </c>
      <c r="AJ5" s="19" t="s">
        <v>203</v>
      </c>
      <c r="AK5" s="19" t="s">
        <v>204</v>
      </c>
      <c r="AL5" s="19" t="s">
        <v>201</v>
      </c>
      <c r="AM5" s="19" t="s">
        <v>202</v>
      </c>
      <c r="AN5" s="19" t="s">
        <v>203</v>
      </c>
      <c r="AO5" s="19" t="s">
        <v>204</v>
      </c>
      <c r="AP5" s="19" t="s">
        <v>201</v>
      </c>
      <c r="AQ5" s="19" t="s">
        <v>202</v>
      </c>
      <c r="AR5" s="19" t="s">
        <v>203</v>
      </c>
      <c r="AS5" s="19" t="s">
        <v>204</v>
      </c>
      <c r="AT5" s="19" t="s">
        <v>201</v>
      </c>
      <c r="AU5" s="19" t="s">
        <v>202</v>
      </c>
      <c r="AV5" s="19" t="s">
        <v>203</v>
      </c>
      <c r="AW5" s="19" t="s">
        <v>204</v>
      </c>
      <c r="AX5" s="19" t="s">
        <v>201</v>
      </c>
      <c r="AY5" s="19"/>
      <c r="AZ5" s="19" t="s">
        <v>194</v>
      </c>
      <c r="BA5" s="19" t="s">
        <v>194</v>
      </c>
      <c r="BC5" s="19" t="s">
        <v>201</v>
      </c>
      <c r="BD5" s="19" t="s">
        <v>202</v>
      </c>
      <c r="BE5" s="19" t="s">
        <v>203</v>
      </c>
      <c r="BF5" s="19" t="s">
        <v>204</v>
      </c>
      <c r="BG5" s="19" t="s">
        <v>201</v>
      </c>
      <c r="BH5" s="19" t="s">
        <v>202</v>
      </c>
      <c r="BI5" s="19" t="s">
        <v>203</v>
      </c>
      <c r="BJ5" s="19" t="s">
        <v>204</v>
      </c>
      <c r="BK5" s="19" t="s">
        <v>201</v>
      </c>
      <c r="BL5" s="19" t="s">
        <v>202</v>
      </c>
      <c r="BM5" s="19" t="s">
        <v>203</v>
      </c>
      <c r="BN5" s="19" t="s">
        <v>204</v>
      </c>
      <c r="BP5" s="19" t="s">
        <v>195</v>
      </c>
      <c r="BQ5" s="19" t="s">
        <v>196</v>
      </c>
      <c r="BR5" s="19" t="s">
        <v>194</v>
      </c>
      <c r="BS5" s="19" t="s">
        <v>195</v>
      </c>
      <c r="BT5" s="19" t="s">
        <v>196</v>
      </c>
      <c r="BU5" s="19" t="s">
        <v>194</v>
      </c>
      <c r="BV5" s="19" t="s">
        <v>195</v>
      </c>
      <c r="BW5" s="19" t="s">
        <v>196</v>
      </c>
      <c r="BX5" s="19" t="s">
        <v>194</v>
      </c>
      <c r="BZ5" s="19" t="s">
        <v>195</v>
      </c>
      <c r="CA5" s="19" t="s">
        <v>196</v>
      </c>
      <c r="CB5" s="19" t="s">
        <v>194</v>
      </c>
      <c r="CC5" s="19" t="s">
        <v>195</v>
      </c>
      <c r="CD5" s="19" t="s">
        <v>196</v>
      </c>
      <c r="CE5" s="19" t="s">
        <v>194</v>
      </c>
      <c r="CF5" s="19" t="s">
        <v>195</v>
      </c>
      <c r="CG5" s="19" t="s">
        <v>196</v>
      </c>
      <c r="CH5" s="19" t="s">
        <v>194</v>
      </c>
    </row>
    <row r="6" spans="1:87" s="296" customFormat="1" ht="12" customHeight="1">
      <c r="A6" s="290"/>
      <c r="B6" s="15" t="s">
        <v>205</v>
      </c>
      <c r="C6" s="291"/>
      <c r="D6" s="291"/>
      <c r="E6" s="291"/>
      <c r="F6" s="291"/>
      <c r="G6" s="291"/>
      <c r="H6" s="291"/>
      <c r="I6" s="291"/>
      <c r="J6" s="291"/>
      <c r="K6" s="291"/>
      <c r="L6" s="291"/>
      <c r="M6" s="291"/>
      <c r="N6" s="291"/>
      <c r="O6" s="291"/>
      <c r="P6" s="292"/>
      <c r="R6" s="291"/>
      <c r="S6" s="291"/>
      <c r="T6" s="291"/>
      <c r="U6" s="291"/>
      <c r="V6" s="291"/>
      <c r="W6" s="291"/>
      <c r="X6" s="291"/>
      <c r="Y6" s="291"/>
      <c r="Z6" s="291"/>
      <c r="AA6" s="291"/>
      <c r="AB6" s="291"/>
      <c r="AC6" s="291"/>
      <c r="AD6" s="291"/>
      <c r="AE6" s="291"/>
      <c r="AF6" s="291"/>
      <c r="AG6" s="291"/>
      <c r="AH6" s="293" t="s">
        <v>206</v>
      </c>
      <c r="AI6" s="293" t="s">
        <v>206</v>
      </c>
      <c r="AJ6" s="293" t="s">
        <v>206</v>
      </c>
      <c r="AK6" s="291"/>
      <c r="AL6" s="293" t="s">
        <v>206</v>
      </c>
      <c r="AM6" s="293" t="s">
        <v>206</v>
      </c>
      <c r="AN6" s="293" t="s">
        <v>206</v>
      </c>
      <c r="AO6" s="291"/>
      <c r="AP6" s="293" t="s">
        <v>206</v>
      </c>
      <c r="AQ6" s="293" t="s">
        <v>206</v>
      </c>
      <c r="AR6" s="293" t="s">
        <v>206</v>
      </c>
      <c r="AS6" s="291"/>
      <c r="AT6" s="293" t="s">
        <v>206</v>
      </c>
      <c r="AU6" s="293" t="s">
        <v>206</v>
      </c>
      <c r="AV6" s="293" t="s">
        <v>206</v>
      </c>
      <c r="AW6" s="291"/>
      <c r="AX6" s="293" t="s">
        <v>206</v>
      </c>
      <c r="AY6" s="294"/>
      <c r="AZ6" s="295" t="s">
        <v>207</v>
      </c>
      <c r="BA6" s="295"/>
      <c r="BC6" s="297" t="s">
        <v>208</v>
      </c>
      <c r="BD6" s="297" t="s">
        <v>208</v>
      </c>
      <c r="BE6" s="297" t="s">
        <v>208</v>
      </c>
      <c r="BF6" s="295" t="s">
        <v>199</v>
      </c>
      <c r="BG6" s="297" t="s">
        <v>208</v>
      </c>
      <c r="BH6" s="297" t="s">
        <v>208</v>
      </c>
      <c r="BI6" s="297" t="s">
        <v>208</v>
      </c>
      <c r="BJ6" s="295" t="s">
        <v>199</v>
      </c>
      <c r="BK6" s="297" t="s">
        <v>208</v>
      </c>
      <c r="BL6" s="295" t="s">
        <v>199</v>
      </c>
      <c r="BM6" s="297" t="s">
        <v>208</v>
      </c>
      <c r="BN6" s="297" t="s">
        <v>208</v>
      </c>
      <c r="BP6" s="295"/>
      <c r="BQ6" s="295"/>
      <c r="BR6" s="295"/>
      <c r="BS6" s="295"/>
      <c r="BT6" s="295"/>
      <c r="BU6" s="295"/>
      <c r="BV6" s="295"/>
      <c r="BW6" s="295"/>
      <c r="BX6" s="295"/>
      <c r="BZ6" s="298">
        <f>CA6</f>
        <v>0.96598688122803933</v>
      </c>
      <c r="CA6" s="298">
        <f>CB6</f>
        <v>0.96598688122803933</v>
      </c>
      <c r="CB6" s="298">
        <f>CB7/BR7</f>
        <v>0.96598688122803933</v>
      </c>
      <c r="CC6" s="298">
        <f>CD6</f>
        <v>0.91285663535993322</v>
      </c>
      <c r="CD6" s="298">
        <f>CE6</f>
        <v>0.91285663535993322</v>
      </c>
      <c r="CE6" s="298">
        <f>CE7/BU7</f>
        <v>0.91285663535993322</v>
      </c>
      <c r="CF6" s="298">
        <v>1.0781746395097158</v>
      </c>
      <c r="CG6" s="298">
        <v>1.0781746395097158</v>
      </c>
      <c r="CH6" s="298"/>
    </row>
    <row r="7" spans="1:87" s="5" customFormat="1" ht="12.75" customHeight="1">
      <c r="B7" s="5" t="s">
        <v>209</v>
      </c>
      <c r="C7" s="273"/>
      <c r="D7" s="273">
        <v>1797199.8770000001</v>
      </c>
      <c r="E7" s="273">
        <v>1877394.2560000001</v>
      </c>
      <c r="F7" s="273">
        <v>1777459.32</v>
      </c>
      <c r="G7" s="273">
        <v>1848878.6189999999</v>
      </c>
      <c r="H7" s="273">
        <v>1672915.7990000001</v>
      </c>
      <c r="I7" s="273">
        <v>1779025.115</v>
      </c>
      <c r="J7" s="273">
        <v>1698281.237</v>
      </c>
      <c r="K7" s="273">
        <v>2216732.5929999999</v>
      </c>
      <c r="L7" s="273">
        <v>2656878.395</v>
      </c>
      <c r="M7" s="273">
        <v>2618437.0520000001</v>
      </c>
      <c r="N7" s="273">
        <v>3224233.0049999999</v>
      </c>
      <c r="O7" s="273">
        <v>3344835.8509999998</v>
      </c>
      <c r="P7" s="74">
        <f>SUM(AU7:AX7)</f>
        <v>3380919.9249999998</v>
      </c>
      <c r="Q7" s="74"/>
      <c r="R7" s="273">
        <v>479831.47200000001</v>
      </c>
      <c r="S7" s="273">
        <v>363485.01799999998</v>
      </c>
      <c r="T7" s="273">
        <v>345081.64899999998</v>
      </c>
      <c r="U7" s="7">
        <f>H7-T7-S7-R7</f>
        <v>484517.66000000021</v>
      </c>
      <c r="V7" s="273">
        <v>447262.80699999997</v>
      </c>
      <c r="W7" s="273">
        <v>379717.93199999997</v>
      </c>
      <c r="X7" s="273">
        <v>406392.75</v>
      </c>
      <c r="Y7" s="7">
        <f>I7-X7-W7-V7</f>
        <v>545651.62599999993</v>
      </c>
      <c r="Z7" s="273">
        <v>504614.61200000002</v>
      </c>
      <c r="AA7" s="273">
        <v>312303.12400000001</v>
      </c>
      <c r="AB7" s="273">
        <v>394054.69400000002</v>
      </c>
      <c r="AC7" s="7">
        <f>J7-AB7-AA7-Z7</f>
        <v>487308.80699999997</v>
      </c>
      <c r="AD7" s="273">
        <v>509007.24300000002</v>
      </c>
      <c r="AE7" s="273">
        <v>441602.88400000002</v>
      </c>
      <c r="AF7" s="273">
        <v>538023.12300000002</v>
      </c>
      <c r="AG7" s="7">
        <f>K7-AF7-AE7-AD7</f>
        <v>728099.34299999964</v>
      </c>
      <c r="AH7" s="273">
        <v>624227.67799999996</v>
      </c>
      <c r="AI7" s="273">
        <v>591716.26300000004</v>
      </c>
      <c r="AJ7" s="273">
        <v>653498.49600000004</v>
      </c>
      <c r="AK7" s="7">
        <f>L7-AH7-AI7-AJ7</f>
        <v>787435.9580000001</v>
      </c>
      <c r="AL7" s="273">
        <v>701855.63399999996</v>
      </c>
      <c r="AM7" s="273">
        <v>614428.13699999999</v>
      </c>
      <c r="AN7" s="273">
        <v>670332.84699999995</v>
      </c>
      <c r="AO7" s="7">
        <f>M7-SUM(AL7:AN7)</f>
        <v>631820.43400000036</v>
      </c>
      <c r="AP7" s="273">
        <v>804637.26</v>
      </c>
      <c r="AQ7" s="273">
        <v>672192.94299999997</v>
      </c>
      <c r="AR7" s="273">
        <v>726805.76399999997</v>
      </c>
      <c r="AS7" s="7">
        <f>N7-SUM(AP7:AR7)</f>
        <v>1020597.0379999997</v>
      </c>
      <c r="AT7" s="273">
        <v>888178.88699999999</v>
      </c>
      <c r="AU7" s="273">
        <v>738154.04399999999</v>
      </c>
      <c r="AV7" s="273">
        <v>800361.40899999999</v>
      </c>
      <c r="AW7" s="7">
        <f>O7-SUM(AT7:AV7)</f>
        <v>918141.51099999994</v>
      </c>
      <c r="AX7" s="273">
        <v>924262.96100000001</v>
      </c>
      <c r="AY7" s="273"/>
      <c r="AZ7" s="273">
        <v>2210479.09</v>
      </c>
      <c r="BA7" s="273">
        <v>2393158.5839999998</v>
      </c>
      <c r="BB7" s="237"/>
      <c r="BC7" s="74">
        <f>BZ7</f>
        <v>602995.74784744077</v>
      </c>
      <c r="BD7" s="74">
        <f>(CA7-BC7)</f>
        <v>609234.9382969063</v>
      </c>
      <c r="BE7" s="74">
        <f>CB7-BC7-BD7</f>
        <v>654713.70885565307</v>
      </c>
      <c r="BF7" s="273">
        <v>789934</v>
      </c>
      <c r="BG7" s="74">
        <f>CC7</f>
        <v>640693.57256165275</v>
      </c>
      <c r="BH7" s="74">
        <f>(CD7-BG7)</f>
        <v>569739.02279698348</v>
      </c>
      <c r="BI7" s="74">
        <f>CE7-BG7-BH7</f>
        <v>634452.45664136379</v>
      </c>
      <c r="BJ7" s="273">
        <v>773552</v>
      </c>
      <c r="BK7" s="74">
        <f>CF7</f>
        <v>867539.48773658543</v>
      </c>
      <c r="BL7" s="74">
        <f>(CG7-BK7)</f>
        <v>734345.22783595661</v>
      </c>
      <c r="BM7" s="74">
        <f>CH7-BK7-BL7</f>
        <v>608594.37442745769</v>
      </c>
      <c r="BN7" s="7">
        <f>N7-AZ7</f>
        <v>1013753.915</v>
      </c>
      <c r="BP7" s="74">
        <f>AH7</f>
        <v>624227.67799999996</v>
      </c>
      <c r="BQ7" s="273">
        <v>1254914.233</v>
      </c>
      <c r="BR7" s="273">
        <v>1932680.9</v>
      </c>
      <c r="BS7" s="74">
        <f>AL7</f>
        <v>701855.63399999996</v>
      </c>
      <c r="BT7" s="273">
        <v>1325983.236</v>
      </c>
      <c r="BU7" s="273">
        <v>2021001.963</v>
      </c>
      <c r="BV7" s="74">
        <f>AP7</f>
        <v>804637.26</v>
      </c>
      <c r="BW7" s="273">
        <v>1485737.706</v>
      </c>
      <c r="BX7" s="273">
        <v>2210479.09</v>
      </c>
      <c r="BY7" s="273"/>
      <c r="BZ7" s="7">
        <f>BP7*BZ$6</f>
        <v>602995.74784744077</v>
      </c>
      <c r="CA7" s="7">
        <f>BQ7*CA$6</f>
        <v>1212230.6861443471</v>
      </c>
      <c r="CB7" s="7">
        <f>L7-BF7</f>
        <v>1866944.395</v>
      </c>
      <c r="CC7" s="7">
        <f>BS7*CC$6</f>
        <v>640693.57256165275</v>
      </c>
      <c r="CD7" s="7">
        <f>BT7*CD$6</f>
        <v>1210432.5953586362</v>
      </c>
      <c r="CE7" s="7">
        <f>M7-BJ7</f>
        <v>1844885.0520000001</v>
      </c>
      <c r="CF7" s="7">
        <f>BV7*CF$6</f>
        <v>867539.48773658543</v>
      </c>
      <c r="CG7" s="7">
        <f>BW7*CG$6</f>
        <v>1601884.715572542</v>
      </c>
      <c r="CH7" s="7">
        <f>BX7</f>
        <v>2210479.09</v>
      </c>
    </row>
    <row r="8" spans="1:87" s="34" customFormat="1" ht="13.5" customHeight="1">
      <c r="B8" s="16" t="s">
        <v>210</v>
      </c>
      <c r="C8" s="24"/>
      <c r="D8" s="24"/>
      <c r="E8" s="24"/>
      <c r="F8" s="24"/>
      <c r="G8" s="24">
        <f t="shared" ref="G8:O8" si="1">G7/F7-1</f>
        <v>4.0180553330469326E-2</v>
      </c>
      <c r="H8" s="24">
        <f t="shared" si="1"/>
        <v>-9.5172726966344934E-2</v>
      </c>
      <c r="I8" s="24">
        <f t="shared" si="1"/>
        <v>6.3427768488663716E-2</v>
      </c>
      <c r="J8" s="24">
        <f t="shared" si="1"/>
        <v>-4.5386586911674964E-2</v>
      </c>
      <c r="K8" s="24">
        <f t="shared" si="1"/>
        <v>0.3052800353113716</v>
      </c>
      <c r="L8" s="24">
        <f t="shared" si="1"/>
        <v>0.19855611064225465</v>
      </c>
      <c r="M8" s="24">
        <f t="shared" si="1"/>
        <v>-1.446861213984918E-2</v>
      </c>
      <c r="N8" s="24">
        <f t="shared" si="1"/>
        <v>0.23135784476364796</v>
      </c>
      <c r="O8" s="24">
        <f t="shared" si="1"/>
        <v>3.7405127300965679E-2</v>
      </c>
      <c r="P8" s="24"/>
      <c r="Q8" s="313"/>
      <c r="R8" s="24"/>
      <c r="S8" s="24"/>
      <c r="T8" s="24"/>
      <c r="U8" s="24"/>
      <c r="V8" s="24">
        <f t="shared" ref="V8:Z8" si="2">V7/R7-1</f>
        <v>-6.7875216405146599E-2</v>
      </c>
      <c r="W8" s="24">
        <f t="shared" si="2"/>
        <v>4.4659100640015881E-2</v>
      </c>
      <c r="X8" s="24">
        <f t="shared" si="2"/>
        <v>0.17767128787540964</v>
      </c>
      <c r="Y8" s="24">
        <f t="shared" si="2"/>
        <v>0.12617489731953158</v>
      </c>
      <c r="Z8" s="24">
        <f t="shared" si="2"/>
        <v>0.12822842432324144</v>
      </c>
      <c r="AA8" s="24">
        <f>AA7/W7-1</f>
        <v>-0.17753917399929364</v>
      </c>
      <c r="AB8" s="24">
        <f>AB7/X7-1</f>
        <v>-3.0359931371807147E-2</v>
      </c>
      <c r="AC8" s="24">
        <f t="shared" ref="AC8:AD8" si="3">AC7/Y7-1</f>
        <v>-0.10692320194790361</v>
      </c>
      <c r="AD8" s="24">
        <f t="shared" si="3"/>
        <v>8.7049223219877181E-3</v>
      </c>
      <c r="AE8" s="24">
        <f>AE7/AA7-1</f>
        <v>0.41402006596642305</v>
      </c>
      <c r="AF8" s="24">
        <f>AF7/AB7-1</f>
        <v>0.36535138698284353</v>
      </c>
      <c r="AG8" s="24">
        <f t="shared" ref="AG8:AH8" si="4">AG7/AC7-1</f>
        <v>0.49412309513215846</v>
      </c>
      <c r="AH8" s="24">
        <f t="shared" si="4"/>
        <v>0.2263630558985974</v>
      </c>
      <c r="AI8" s="24">
        <f>AI7/AE7-1</f>
        <v>0.33992843896372738</v>
      </c>
      <c r="AJ8" s="24">
        <f>AJ7/AF7-1</f>
        <v>0.21462901511762733</v>
      </c>
      <c r="AK8" s="24">
        <f>AK7/AG7-1</f>
        <v>8.1495218434774142E-2</v>
      </c>
      <c r="AL8" s="24">
        <f t="shared" ref="AL8:AX8" si="5">AL7/AH7-1</f>
        <v>0.12435840116656927</v>
      </c>
      <c r="AM8" s="24">
        <f t="shared" si="5"/>
        <v>3.8383048464564418E-2</v>
      </c>
      <c r="AN8" s="24">
        <f t="shared" si="5"/>
        <v>2.5760351558635985E-2</v>
      </c>
      <c r="AO8" s="24">
        <f>AO7/AK7-1</f>
        <v>-0.19762308593989775</v>
      </c>
      <c r="AP8" s="24">
        <f t="shared" si="5"/>
        <v>0.14644268852588582</v>
      </c>
      <c r="AQ8" s="24">
        <f t="shared" si="5"/>
        <v>9.4013933479742295E-2</v>
      </c>
      <c r="AR8" s="24">
        <f t="shared" si="5"/>
        <v>8.4246083498277446E-2</v>
      </c>
      <c r="AS8" s="24">
        <f>AS7/AO7-1</f>
        <v>0.61532768343481448</v>
      </c>
      <c r="AT8" s="24">
        <f t="shared" si="5"/>
        <v>0.10382520317291788</v>
      </c>
      <c r="AU8" s="24">
        <f t="shared" si="5"/>
        <v>9.8128225960860904E-2</v>
      </c>
      <c r="AV8" s="24">
        <f t="shared" si="5"/>
        <v>0.10120399237780409</v>
      </c>
      <c r="AW8" s="24">
        <f>AW7/AS7-1</f>
        <v>-0.1003878349488212</v>
      </c>
      <c r="AX8" s="24">
        <f t="shared" si="5"/>
        <v>4.0627034179883559E-2</v>
      </c>
      <c r="AY8" s="42"/>
      <c r="AZ8" s="24"/>
      <c r="BA8" s="24">
        <f>BA7/AZ7-1</f>
        <v>8.264248905426208E-2</v>
      </c>
      <c r="BB8" s="238"/>
      <c r="BC8" s="77"/>
      <c r="BD8" s="77"/>
      <c r="BE8" s="77"/>
      <c r="BF8" s="77"/>
      <c r="BG8" s="24">
        <f>BG7/BC7-1</f>
        <v>6.2517563098553719E-2</v>
      </c>
      <c r="BH8" s="24">
        <f t="shared" ref="BH8:BN8" si="6">BH7/BD7-1</f>
        <v>-6.4828710596165351E-2</v>
      </c>
      <c r="BI8" s="24">
        <f t="shared" si="6"/>
        <v>-3.0946735863684682E-2</v>
      </c>
      <c r="BJ8" s="24">
        <f t="shared" si="6"/>
        <v>-2.0738441439411393E-2</v>
      </c>
      <c r="BK8" s="24">
        <f>BK7/BG7-1</f>
        <v>0.35406304181879977</v>
      </c>
      <c r="BL8" s="24">
        <f t="shared" si="6"/>
        <v>0.28891509700508555</v>
      </c>
      <c r="BM8" s="24">
        <f t="shared" si="6"/>
        <v>-4.0756532571081028E-2</v>
      </c>
      <c r="BN8" s="24">
        <f t="shared" si="6"/>
        <v>0.31051812289283731</v>
      </c>
      <c r="BP8" s="77"/>
      <c r="BQ8" s="24"/>
      <c r="BR8" s="24"/>
      <c r="BS8" s="24">
        <f t="shared" ref="BS8:BX8" si="7">BS7/BP7-1</f>
        <v>0.12435840116656927</v>
      </c>
      <c r="BT8" s="24">
        <f t="shared" si="7"/>
        <v>5.6632557931949101E-2</v>
      </c>
      <c r="BU8" s="24">
        <f t="shared" si="7"/>
        <v>4.5698730193898029E-2</v>
      </c>
      <c r="BV8" s="24">
        <f t="shared" si="7"/>
        <v>0.14644268852588582</v>
      </c>
      <c r="BW8" s="24">
        <f t="shared" si="7"/>
        <v>0.12048000733547726</v>
      </c>
      <c r="BX8" s="24">
        <f t="shared" si="7"/>
        <v>9.375405391429581E-2</v>
      </c>
      <c r="BY8" s="4"/>
      <c r="BZ8" s="77"/>
      <c r="CA8" s="24"/>
      <c r="CB8" s="24"/>
      <c r="CC8" s="77">
        <f>CC7/BZ7-1</f>
        <v>6.2517563098553719E-2</v>
      </c>
      <c r="CD8" s="77">
        <f t="shared" ref="CD8:CE8" si="8">CD7/CA7-1</f>
        <v>-1.4832909332050948E-3</v>
      </c>
      <c r="CE8" s="77">
        <f t="shared" si="8"/>
        <v>-1.1815747195834336E-2</v>
      </c>
      <c r="CF8" s="77">
        <f>CF7/CC7-1</f>
        <v>0.35406304181879977</v>
      </c>
      <c r="CG8" s="77">
        <f t="shared" ref="CG8:CH8" si="9">CG7/CD7-1</f>
        <v>0.32339852852188211</v>
      </c>
      <c r="CH8" s="77">
        <f t="shared" si="9"/>
        <v>0.19816629637909799</v>
      </c>
      <c r="CI8" s="5"/>
    </row>
    <row r="9" spans="1:87" ht="13.5" customHeight="1">
      <c r="B9" s="1" t="s">
        <v>211</v>
      </c>
      <c r="C9" s="4"/>
      <c r="D9" s="4">
        <v>-1081243.4080000001</v>
      </c>
      <c r="E9" s="4">
        <v>-1106706.1459999999</v>
      </c>
      <c r="F9" s="4">
        <v>-1033910.027</v>
      </c>
      <c r="G9" s="4">
        <v>-1069024.9639999999</v>
      </c>
      <c r="H9" s="4">
        <v>-968027.77399999998</v>
      </c>
      <c r="I9" s="4">
        <v>-1048343.767</v>
      </c>
      <c r="J9" s="4">
        <v>-1022498.659</v>
      </c>
      <c r="K9" s="4">
        <v>-1375392.773</v>
      </c>
      <c r="L9" s="4">
        <v>-1628701.8230000001</v>
      </c>
      <c r="M9" s="4">
        <v>-1601997.2549999999</v>
      </c>
      <c r="N9" s="4">
        <v>-1945363.4080000001</v>
      </c>
      <c r="O9" s="4">
        <v>-2037679.1240000001</v>
      </c>
      <c r="P9" s="75">
        <f>SUM(AU9:AX9)</f>
        <v>-2052724.83</v>
      </c>
      <c r="Q9" s="4"/>
      <c r="R9" s="4">
        <v>-268811.36499999999</v>
      </c>
      <c r="S9" s="4">
        <v>-215499.32800000001</v>
      </c>
      <c r="T9" s="4">
        <v>-205916.99299999999</v>
      </c>
      <c r="U9" s="30">
        <f>H9-T9-S9-R9</f>
        <v>-277800.08799999999</v>
      </c>
      <c r="V9" s="4">
        <v>-261430.81599999999</v>
      </c>
      <c r="W9" s="4">
        <v>-228330.44399999999</v>
      </c>
      <c r="X9" s="4">
        <v>-248264.91500000001</v>
      </c>
      <c r="Y9" s="30">
        <f>I9-X9-W9-V9</f>
        <v>-310317.59199999995</v>
      </c>
      <c r="Z9" s="4">
        <v>-292631.14199999999</v>
      </c>
      <c r="AA9" s="4">
        <v>-197117.67300000001</v>
      </c>
      <c r="AB9" s="4">
        <v>-239006.573</v>
      </c>
      <c r="AC9" s="30">
        <f>J9-AB9-AA9-Z9</f>
        <v>-293743.27099999995</v>
      </c>
      <c r="AD9" s="4">
        <v>-308951.272</v>
      </c>
      <c r="AE9" s="4">
        <v>-283893.95899999997</v>
      </c>
      <c r="AF9" s="4">
        <v>-347201.5</v>
      </c>
      <c r="AG9" s="30">
        <f>K9-AF9-AE9-AD9</f>
        <v>-435346.04200000002</v>
      </c>
      <c r="AH9" s="4">
        <v>-378019.25599999999</v>
      </c>
      <c r="AI9" s="4">
        <v>-364310.49099999998</v>
      </c>
      <c r="AJ9" s="4">
        <v>-407137.75099999999</v>
      </c>
      <c r="AK9" s="30">
        <f>L9-AH9-AI9-AJ9</f>
        <v>-479234.32500000013</v>
      </c>
      <c r="AL9" s="4">
        <v>-425264.06900000002</v>
      </c>
      <c r="AM9" s="4">
        <v>-377809.174</v>
      </c>
      <c r="AN9" s="4">
        <v>-412229.89199999999</v>
      </c>
      <c r="AO9" s="30">
        <f>M9-SUM(AL9:AN9)</f>
        <v>-386694.11999999988</v>
      </c>
      <c r="AP9" s="4">
        <v>-477740.66399999999</v>
      </c>
      <c r="AQ9" s="4">
        <v>-411795.53100000002</v>
      </c>
      <c r="AR9" s="4">
        <v>-451541.79100000003</v>
      </c>
      <c r="AS9" s="30">
        <f>N9-SUM(AP9:AR9)</f>
        <v>-604285.42200000002</v>
      </c>
      <c r="AT9" s="4">
        <v>-530177.71699999995</v>
      </c>
      <c r="AU9" s="4">
        <v>-458312.641</v>
      </c>
      <c r="AV9" s="4">
        <v>-498442.929</v>
      </c>
      <c r="AW9" s="30">
        <f>O9-SUM(AT9:AV9)</f>
        <v>-550745.83700000006</v>
      </c>
      <c r="AX9" s="4">
        <v>-545223.42299999995</v>
      </c>
      <c r="AY9" s="4"/>
      <c r="AZ9" s="4">
        <v>-1344338.3459999999</v>
      </c>
      <c r="BA9" s="4">
        <v>-1469183.1310000001</v>
      </c>
      <c r="BC9" s="75">
        <f>BZ9</f>
        <v>-365161.64214758377</v>
      </c>
      <c r="BD9" s="75">
        <f>(CA9-BC9)</f>
        <v>-371178.69715180283</v>
      </c>
      <c r="BE9" s="75">
        <f>CB9-BC9-BD9</f>
        <v>-410813.48370061349</v>
      </c>
      <c r="BF9" s="4">
        <v>-481548</v>
      </c>
      <c r="BG9" s="75">
        <f>CC9</f>
        <v>-388205.12716681452</v>
      </c>
      <c r="BH9" s="75">
        <f>(CD9-BG9)</f>
        <v>-349265.99320336548</v>
      </c>
      <c r="BI9" s="75">
        <f>CE9-BG9-BH9</f>
        <v>-404142.13462981989</v>
      </c>
      <c r="BJ9" s="4">
        <v>-460384</v>
      </c>
      <c r="BK9" s="75">
        <f>CF9</f>
        <v>-515087.86818733223</v>
      </c>
      <c r="BL9" s="75">
        <f>(CG9-BK9)</f>
        <v>-448679.08348661923</v>
      </c>
      <c r="BM9" s="75">
        <f>CH9-BK9-BL9</f>
        <v>-380571.39432604838</v>
      </c>
      <c r="BN9" s="30">
        <f>N9-AZ9</f>
        <v>-601025.06200000015</v>
      </c>
      <c r="BP9" s="75">
        <f>AH9</f>
        <v>-378019.25599999999</v>
      </c>
      <c r="BQ9" s="4">
        <v>-762267.43200000003</v>
      </c>
      <c r="BR9" s="4">
        <v>-1182137.727</v>
      </c>
      <c r="BS9" s="75">
        <f>AL9</f>
        <v>-425264.06900000002</v>
      </c>
      <c r="BT9" s="4">
        <v>-807871.78599999996</v>
      </c>
      <c r="BU9" s="4">
        <v>-1232599.861</v>
      </c>
      <c r="BV9" s="75">
        <f>AP9</f>
        <v>-477740.66399999999</v>
      </c>
      <c r="BW9" s="4">
        <v>-893887.61</v>
      </c>
      <c r="BX9" s="4">
        <v>-1344338.3459999999</v>
      </c>
      <c r="BY9" s="4"/>
      <c r="BZ9" s="30">
        <f>BP9*BZ$6</f>
        <v>-365161.64214758377</v>
      </c>
      <c r="CA9" s="30">
        <f>BQ9*CA$6</f>
        <v>-736340.3392993866</v>
      </c>
      <c r="CB9" s="30">
        <f>L9-BF9</f>
        <v>-1147153.8230000001</v>
      </c>
      <c r="CC9" s="30">
        <f>BS9*CC$6</f>
        <v>-388205.12716681452</v>
      </c>
      <c r="CD9" s="30">
        <f>BT9*CD$6</f>
        <v>-737471.12037018</v>
      </c>
      <c r="CE9" s="30">
        <f>M9-BJ9</f>
        <v>-1141613.2549999999</v>
      </c>
      <c r="CF9" s="30">
        <f>BV9*CF$6</f>
        <v>-515087.86818733223</v>
      </c>
      <c r="CG9" s="30">
        <f>BW9*CG$6</f>
        <v>-963766.95167395147</v>
      </c>
      <c r="CH9" s="30">
        <f>BX9</f>
        <v>-1344338.3459999999</v>
      </c>
    </row>
    <row r="10" spans="1:87" s="5" customFormat="1" ht="13.5" customHeight="1">
      <c r="B10" s="5" t="s">
        <v>212</v>
      </c>
      <c r="C10" s="7"/>
      <c r="D10" s="7">
        <f t="shared" ref="D10:H10" si="10">D7+D9</f>
        <v>715956.46900000004</v>
      </c>
      <c r="E10" s="7">
        <f t="shared" si="10"/>
        <v>770688.1100000001</v>
      </c>
      <c r="F10" s="7">
        <f t="shared" si="10"/>
        <v>743549.29300000006</v>
      </c>
      <c r="G10" s="7">
        <f t="shared" si="10"/>
        <v>779853.65500000003</v>
      </c>
      <c r="H10" s="7">
        <f t="shared" si="10"/>
        <v>704888.02500000014</v>
      </c>
      <c r="I10" s="7">
        <f t="shared" ref="I10:J10" si="11">I7+I9</f>
        <v>730681.348</v>
      </c>
      <c r="J10" s="7">
        <f t="shared" si="11"/>
        <v>675782.57799999998</v>
      </c>
      <c r="K10" s="7">
        <f t="shared" ref="K10:L10" si="12">K7+K9</f>
        <v>841339.81999999983</v>
      </c>
      <c r="L10" s="7">
        <f t="shared" si="12"/>
        <v>1028176.5719999999</v>
      </c>
      <c r="M10" s="7">
        <f t="shared" ref="M10:N10" si="13">M7+M9</f>
        <v>1016439.7970000003</v>
      </c>
      <c r="N10" s="7">
        <f t="shared" si="13"/>
        <v>1278869.5969999998</v>
      </c>
      <c r="O10" s="7">
        <f t="shared" ref="O10" si="14">O7+O9</f>
        <v>1307156.7269999997</v>
      </c>
      <c r="P10" s="7">
        <f t="shared" ref="P10" si="15">P7+P9</f>
        <v>1328195.0949999997</v>
      </c>
      <c r="Q10" s="7"/>
      <c r="R10" s="7">
        <f t="shared" ref="R10:X10" si="16">R7+R9</f>
        <v>211020.10700000002</v>
      </c>
      <c r="S10" s="7">
        <f t="shared" si="16"/>
        <v>147985.68999999997</v>
      </c>
      <c r="T10" s="7">
        <f t="shared" si="16"/>
        <v>139164.65599999999</v>
      </c>
      <c r="U10" s="7">
        <f t="shared" si="16"/>
        <v>206717.57200000022</v>
      </c>
      <c r="V10" s="7">
        <f t="shared" si="16"/>
        <v>185831.99099999998</v>
      </c>
      <c r="W10" s="7">
        <f t="shared" si="16"/>
        <v>151387.48799999998</v>
      </c>
      <c r="X10" s="7">
        <f t="shared" si="16"/>
        <v>158127.83499999999</v>
      </c>
      <c r="Y10" s="7">
        <f t="shared" ref="Y10:Z10" si="17">Y7+Y9</f>
        <v>235334.03399999999</v>
      </c>
      <c r="Z10" s="7">
        <f t="shared" si="17"/>
        <v>211983.47000000003</v>
      </c>
      <c r="AA10" s="7">
        <f t="shared" ref="AA10:AD10" si="18">AA7+AA9</f>
        <v>115185.451</v>
      </c>
      <c r="AB10" s="7">
        <f t="shared" si="18"/>
        <v>155048.12100000001</v>
      </c>
      <c r="AC10" s="7">
        <f t="shared" si="18"/>
        <v>193565.53600000002</v>
      </c>
      <c r="AD10" s="7">
        <f t="shared" si="18"/>
        <v>200055.97100000002</v>
      </c>
      <c r="AE10" s="7">
        <f t="shared" ref="AE10:AH10" si="19">AE7+AE9</f>
        <v>157708.92500000005</v>
      </c>
      <c r="AF10" s="7">
        <f t="shared" si="19"/>
        <v>190821.62300000002</v>
      </c>
      <c r="AG10" s="7">
        <f t="shared" si="19"/>
        <v>292753.30099999963</v>
      </c>
      <c r="AH10" s="7">
        <f t="shared" si="19"/>
        <v>246208.42199999996</v>
      </c>
      <c r="AI10" s="7">
        <f t="shared" ref="AI10:AJ10" si="20">AI7+AI9</f>
        <v>227405.77200000006</v>
      </c>
      <c r="AJ10" s="7">
        <f t="shared" si="20"/>
        <v>246360.74500000005</v>
      </c>
      <c r="AK10" s="7">
        <f t="shared" ref="AK10:AN10" si="21">AK7+AK9</f>
        <v>308201.63299999997</v>
      </c>
      <c r="AL10" s="7">
        <f t="shared" si="21"/>
        <v>276591.56499999994</v>
      </c>
      <c r="AM10" s="7">
        <f t="shared" si="21"/>
        <v>236618.96299999999</v>
      </c>
      <c r="AN10" s="7">
        <f t="shared" si="21"/>
        <v>258102.95499999996</v>
      </c>
      <c r="AO10" s="7">
        <f>AO7+AO9</f>
        <v>245126.31400000048</v>
      </c>
      <c r="AP10" s="7">
        <f t="shared" ref="AP10:AR10" si="22">AP7+AP9</f>
        <v>326896.59600000002</v>
      </c>
      <c r="AQ10" s="7">
        <f t="shared" si="22"/>
        <v>260397.41199999995</v>
      </c>
      <c r="AR10" s="7">
        <f t="shared" si="22"/>
        <v>275263.97299999994</v>
      </c>
      <c r="AS10" s="7">
        <f>AS7+AS9</f>
        <v>416311.61599999969</v>
      </c>
      <c r="AT10" s="7">
        <f t="shared" ref="AT10:AV10" si="23">AT7+AT9</f>
        <v>358001.17000000004</v>
      </c>
      <c r="AU10" s="7">
        <f t="shared" si="23"/>
        <v>279841.40299999999</v>
      </c>
      <c r="AV10" s="7">
        <f t="shared" si="23"/>
        <v>301918.48</v>
      </c>
      <c r="AW10" s="7">
        <f>AW7+AW9</f>
        <v>367395.67399999988</v>
      </c>
      <c r="AX10" s="7">
        <f t="shared" ref="AX10" si="24">AX7+AX9</f>
        <v>379039.53800000006</v>
      </c>
      <c r="AY10" s="7"/>
      <c r="AZ10" s="7">
        <f>AZ7+AZ9</f>
        <v>866140.74399999995</v>
      </c>
      <c r="BA10" s="7">
        <f>BA7+BA9</f>
        <v>923975.45299999975</v>
      </c>
      <c r="BC10" s="7">
        <f t="shared" ref="BC10:BJ10" si="25">BC7+BC9</f>
        <v>237834.105699857</v>
      </c>
      <c r="BD10" s="7">
        <f t="shared" si="25"/>
        <v>238056.24114510347</v>
      </c>
      <c r="BE10" s="7">
        <f t="shared" si="25"/>
        <v>243900.22515503957</v>
      </c>
      <c r="BF10" s="7">
        <f t="shared" si="25"/>
        <v>308386</v>
      </c>
      <c r="BG10" s="7">
        <f t="shared" si="25"/>
        <v>252488.44539483823</v>
      </c>
      <c r="BH10" s="7">
        <f t="shared" si="25"/>
        <v>220473.029593618</v>
      </c>
      <c r="BI10" s="7">
        <f t="shared" si="25"/>
        <v>230310.3220115439</v>
      </c>
      <c r="BJ10" s="7">
        <f t="shared" si="25"/>
        <v>313168</v>
      </c>
      <c r="BK10" s="7">
        <f t="shared" ref="BK10:BN10" si="26">BK7+BK9</f>
        <v>352451.6195492532</v>
      </c>
      <c r="BL10" s="7">
        <f t="shared" si="26"/>
        <v>285666.14434933738</v>
      </c>
      <c r="BM10" s="7">
        <f t="shared" si="26"/>
        <v>228022.98010140931</v>
      </c>
      <c r="BN10" s="7">
        <f t="shared" si="26"/>
        <v>412728.85299999989</v>
      </c>
      <c r="BP10" s="74">
        <f t="shared" ref="BP10" si="27">BP7+BP9</f>
        <v>246208.42199999996</v>
      </c>
      <c r="BQ10" s="7">
        <f>BQ7+BQ9</f>
        <v>492646.80099999998</v>
      </c>
      <c r="BR10" s="7">
        <f>BR7+BR9</f>
        <v>750543.17299999995</v>
      </c>
      <c r="BS10" s="74">
        <f t="shared" ref="BS10" si="28">BS7+BS9</f>
        <v>276591.56499999994</v>
      </c>
      <c r="BT10" s="7">
        <f>BT7+BT9</f>
        <v>518111.45000000007</v>
      </c>
      <c r="BU10" s="7">
        <f>BU7+BU9</f>
        <v>788402.10199999996</v>
      </c>
      <c r="BV10" s="74">
        <f t="shared" ref="BV10" si="29">BV7+BV9</f>
        <v>326896.59600000002</v>
      </c>
      <c r="BW10" s="7">
        <f>BW7+BW9</f>
        <v>591850.09600000002</v>
      </c>
      <c r="BX10" s="7">
        <f>BX7+BX9</f>
        <v>866140.74399999995</v>
      </c>
      <c r="BY10" s="4"/>
      <c r="BZ10" s="7">
        <f t="shared" ref="BZ10:CE10" si="30">BZ7+BZ9</f>
        <v>237834.105699857</v>
      </c>
      <c r="CA10" s="7">
        <f t="shared" si="30"/>
        <v>475890.34684496047</v>
      </c>
      <c r="CB10" s="7">
        <f t="shared" si="30"/>
        <v>719790.57199999993</v>
      </c>
      <c r="CC10" s="7">
        <f t="shared" si="30"/>
        <v>252488.44539483823</v>
      </c>
      <c r="CD10" s="7">
        <f t="shared" si="30"/>
        <v>472961.47498845623</v>
      </c>
      <c r="CE10" s="7">
        <f t="shared" si="30"/>
        <v>703271.79700000025</v>
      </c>
      <c r="CF10" s="7">
        <f t="shared" ref="CF10:CG10" si="31">CF7+CF9</f>
        <v>352451.6195492532</v>
      </c>
      <c r="CG10" s="7">
        <f t="shared" si="31"/>
        <v>638117.76389859058</v>
      </c>
      <c r="CH10" s="7">
        <f t="shared" ref="CH10" si="32">CH7+CH9</f>
        <v>866140.74399999995</v>
      </c>
    </row>
    <row r="11" spans="1:87" s="34" customFormat="1" ht="13.5" customHeight="1">
      <c r="B11" s="16" t="s">
        <v>213</v>
      </c>
      <c r="C11" s="17"/>
      <c r="D11" s="17">
        <f t="shared" ref="D11:H11" si="33">D10/D7</f>
        <v>0.39837331293118045</v>
      </c>
      <c r="E11" s="17">
        <f t="shared" si="33"/>
        <v>0.41050946413463413</v>
      </c>
      <c r="F11" s="17">
        <f t="shared" si="33"/>
        <v>0.418321412272884</v>
      </c>
      <c r="G11" s="17">
        <f t="shared" si="33"/>
        <v>0.42179818998707347</v>
      </c>
      <c r="H11" s="17">
        <f t="shared" si="33"/>
        <v>0.42135296075352568</v>
      </c>
      <c r="I11" s="17">
        <f t="shared" ref="I11:J11" si="34">I10/I7</f>
        <v>0.41072008587130038</v>
      </c>
      <c r="J11" s="17">
        <f t="shared" si="34"/>
        <v>0.39792147688904839</v>
      </c>
      <c r="K11" s="17">
        <f t="shared" ref="K11" si="35">K10/K7</f>
        <v>0.37954051050486803</v>
      </c>
      <c r="L11" s="17">
        <f>L10/L7</f>
        <v>0.38698668856464541</v>
      </c>
      <c r="M11" s="17">
        <f>M10/M7</f>
        <v>0.38818569124036373</v>
      </c>
      <c r="N11" s="17">
        <f>N10/N7</f>
        <v>0.39664304503327913</v>
      </c>
      <c r="O11" s="17">
        <f>O10/O7</f>
        <v>0.39079846821457659</v>
      </c>
      <c r="P11" s="77">
        <f t="shared" ref="P11" si="36">P10/P7</f>
        <v>0.39285020777296281</v>
      </c>
      <c r="Q11" s="313"/>
      <c r="R11" s="17">
        <f t="shared" ref="R11:X11" si="37">R10/R7</f>
        <v>0.43977962954459981</v>
      </c>
      <c r="S11" s="17">
        <f t="shared" si="37"/>
        <v>0.40713009524920774</v>
      </c>
      <c r="T11" s="17">
        <f t="shared" si="37"/>
        <v>0.40328037264015737</v>
      </c>
      <c r="U11" s="17">
        <f t="shared" si="37"/>
        <v>0.42664610408627857</v>
      </c>
      <c r="V11" s="17">
        <f t="shared" si="37"/>
        <v>0.41548724394604086</v>
      </c>
      <c r="W11" s="17">
        <f t="shared" si="37"/>
        <v>0.39868406320089195</v>
      </c>
      <c r="X11" s="17">
        <f t="shared" si="37"/>
        <v>0.38910102357879167</v>
      </c>
      <c r="Y11" s="17">
        <f t="shared" ref="Y11:Z11" si="38">Y10/Y7</f>
        <v>0.43128989777811094</v>
      </c>
      <c r="Z11" s="17">
        <f t="shared" si="38"/>
        <v>0.42008983679608553</v>
      </c>
      <c r="AA11" s="17">
        <f t="shared" ref="AA11:AD11" si="39">AA10/AA7</f>
        <v>0.36882580463716397</v>
      </c>
      <c r="AB11" s="17">
        <f t="shared" si="39"/>
        <v>0.39346852952346761</v>
      </c>
      <c r="AC11" s="17">
        <f t="shared" si="39"/>
        <v>0.39721329313057135</v>
      </c>
      <c r="AD11" s="17">
        <f t="shared" si="39"/>
        <v>0.3930316783331117</v>
      </c>
      <c r="AE11" s="17">
        <f t="shared" ref="AE11:AH11" si="40">AE10/AE7</f>
        <v>0.35712838551117804</v>
      </c>
      <c r="AF11" s="17">
        <f t="shared" si="40"/>
        <v>0.35467178796328425</v>
      </c>
      <c r="AG11" s="17">
        <f t="shared" si="40"/>
        <v>0.40207878748216336</v>
      </c>
      <c r="AH11" s="17">
        <f t="shared" si="40"/>
        <v>0.39442086706062396</v>
      </c>
      <c r="AI11" s="17">
        <f t="shared" ref="AI11:AJ11" si="41">AI10/AI7</f>
        <v>0.38431556849063658</v>
      </c>
      <c r="AJ11" s="17">
        <f t="shared" si="41"/>
        <v>0.37698747052663462</v>
      </c>
      <c r="AK11" s="17">
        <f t="shared" ref="AK11:AO11" si="42">AK10/AK7</f>
        <v>0.39139898282369262</v>
      </c>
      <c r="AL11" s="17">
        <f t="shared" si="42"/>
        <v>0.39408612199015269</v>
      </c>
      <c r="AM11" s="17">
        <f t="shared" si="42"/>
        <v>0.38510437389035129</v>
      </c>
      <c r="AN11" s="17">
        <f t="shared" si="42"/>
        <v>0.38503700983043126</v>
      </c>
      <c r="AO11" s="17">
        <f t="shared" si="42"/>
        <v>0.38796832265795372</v>
      </c>
      <c r="AP11" s="17">
        <f t="shared" ref="AP11:AS11" si="43">AP10/AP7</f>
        <v>0.40626579485021613</v>
      </c>
      <c r="AQ11" s="17">
        <f t="shared" si="43"/>
        <v>0.38738492379560724</v>
      </c>
      <c r="AR11" s="17">
        <f t="shared" si="43"/>
        <v>0.37873113648008983</v>
      </c>
      <c r="AS11" s="17">
        <f t="shared" si="43"/>
        <v>0.40790988068691592</v>
      </c>
      <c r="AT11" s="17">
        <f t="shared" ref="AT11:AW11" si="44">AT10/AT7</f>
        <v>0.40307327188244685</v>
      </c>
      <c r="AU11" s="17">
        <f t="shared" si="44"/>
        <v>0.37910976072631258</v>
      </c>
      <c r="AV11" s="17">
        <f t="shared" si="44"/>
        <v>0.3772276831503254</v>
      </c>
      <c r="AW11" s="17">
        <f t="shared" si="44"/>
        <v>0.40015146858990008</v>
      </c>
      <c r="AX11" s="17">
        <f t="shared" ref="AX11" si="45">AX10/AX7</f>
        <v>0.41009924014471033</v>
      </c>
      <c r="AY11" s="136"/>
      <c r="AZ11" s="17">
        <f>AZ10/AZ7</f>
        <v>0.39183394582574405</v>
      </c>
      <c r="BA11" s="17">
        <f>BA10/BA7</f>
        <v>0.38609035739522052</v>
      </c>
      <c r="BC11" s="17">
        <f>BC10/BC7</f>
        <v>0.39442086706062401</v>
      </c>
      <c r="BD11" s="17">
        <f>BD10/BD7</f>
        <v>0.3907462067270483</v>
      </c>
      <c r="BE11" s="17">
        <f>BE10/BE7</f>
        <v>0.37252958332175856</v>
      </c>
      <c r="BF11" s="17">
        <f t="shared" ref="BF11" si="46">BF10/BF7</f>
        <v>0.39039464056490797</v>
      </c>
      <c r="BG11" s="17">
        <f>BG10/BG7</f>
        <v>0.39408612199015269</v>
      </c>
      <c r="BH11" s="17">
        <f>BH10/BH7</f>
        <v>0.38697196571030684</v>
      </c>
      <c r="BI11" s="17">
        <f>BI10/BI7</f>
        <v>0.36300643113709491</v>
      </c>
      <c r="BJ11" s="17">
        <f t="shared" ref="BJ11" si="47">BJ10/BJ7</f>
        <v>0.404844147516909</v>
      </c>
      <c r="BK11" s="17">
        <f>BK10/BK7</f>
        <v>0.40626579485021613</v>
      </c>
      <c r="BL11" s="17">
        <f>BL10/BL7</f>
        <v>0.38900796726243797</v>
      </c>
      <c r="BM11" s="17">
        <f>BM10/BM7</f>
        <v>0.3746715212672227</v>
      </c>
      <c r="BN11" s="17">
        <f t="shared" ref="BN11" si="48">BN10/BN7</f>
        <v>0.40712923214703428</v>
      </c>
      <c r="BP11" s="77">
        <f t="shared" ref="BP11" si="49">BP10/BP7</f>
        <v>0.39442086706062396</v>
      </c>
      <c r="BQ11" s="17">
        <f>BQ10/BQ7</f>
        <v>0.39257408039932556</v>
      </c>
      <c r="BR11" s="17">
        <f>BR10/BR7</f>
        <v>0.38834303841880985</v>
      </c>
      <c r="BS11" s="77">
        <f t="shared" ref="BS11" si="50">BS10/BS7</f>
        <v>0.39408612199015269</v>
      </c>
      <c r="BT11" s="17">
        <f>BT10/BT7</f>
        <v>0.3907375568057333</v>
      </c>
      <c r="BU11" s="17">
        <f>BU10/BU7</f>
        <v>0.39010457012604099</v>
      </c>
      <c r="BV11" s="77">
        <f t="shared" ref="BV11" si="51">BV10/BV7</f>
        <v>0.40626579485021613</v>
      </c>
      <c r="BW11" s="17">
        <f>BW10/BW7</f>
        <v>0.39835436201819058</v>
      </c>
      <c r="BX11" s="17">
        <f>BX10/BX7</f>
        <v>0.39183394582574405</v>
      </c>
      <c r="BY11" s="4"/>
      <c r="BZ11" s="17">
        <f t="shared" ref="BZ11:CE11" si="52">BZ10/BZ7</f>
        <v>0.39442086706062401</v>
      </c>
      <c r="CA11" s="17">
        <f t="shared" si="52"/>
        <v>0.39257408039932556</v>
      </c>
      <c r="CB11" s="17">
        <f t="shared" si="52"/>
        <v>0.38554472962757946</v>
      </c>
      <c r="CC11" s="17">
        <f t="shared" si="52"/>
        <v>0.39408612199015269</v>
      </c>
      <c r="CD11" s="17">
        <f t="shared" si="52"/>
        <v>0.39073755680573324</v>
      </c>
      <c r="CE11" s="17">
        <f t="shared" si="52"/>
        <v>0.38120087548955878</v>
      </c>
      <c r="CF11" s="17">
        <f t="shared" ref="CF11:CG11" si="53">CF10/CF7</f>
        <v>0.40626579485021613</v>
      </c>
      <c r="CG11" s="17">
        <f t="shared" si="53"/>
        <v>0.39835436201819052</v>
      </c>
      <c r="CH11" s="17">
        <f t="shared" ref="CH11" si="54">CH10/CH7</f>
        <v>0.39183394582574405</v>
      </c>
    </row>
    <row r="12" spans="1:87" ht="13.5" customHeight="1">
      <c r="B12" s="1" t="s">
        <v>214</v>
      </c>
      <c r="C12" s="4"/>
      <c r="D12" s="4">
        <v>3970.623</v>
      </c>
      <c r="E12" s="4">
        <v>471.56900000000002</v>
      </c>
      <c r="F12" s="4">
        <v>1760.8989999999999</v>
      </c>
      <c r="G12" s="4">
        <v>550.83399999999995</v>
      </c>
      <c r="H12" s="4">
        <v>2609.1680000000001</v>
      </c>
      <c r="I12" s="4">
        <v>40947.158000000003</v>
      </c>
      <c r="J12" s="4">
        <v>8356.2980000000007</v>
      </c>
      <c r="K12" s="4">
        <v>1337.8779999999999</v>
      </c>
      <c r="L12" s="4">
        <v>2497.52</v>
      </c>
      <c r="M12" s="4">
        <v>1310.489</v>
      </c>
      <c r="N12" s="4">
        <v>21479.861000000001</v>
      </c>
      <c r="O12" s="4">
        <v>13382.457</v>
      </c>
      <c r="P12" s="75">
        <f t="shared" ref="P12:P16" si="55">SUM(AU12:AX12)</f>
        <v>13407.314</v>
      </c>
      <c r="Q12" s="75"/>
      <c r="R12" s="4">
        <v>83.953999999999994</v>
      </c>
      <c r="S12" s="4">
        <v>155.673</v>
      </c>
      <c r="T12" s="4">
        <v>364.36</v>
      </c>
      <c r="U12" s="30">
        <f>H12-T12-S12-R12</f>
        <v>2005.1810000000003</v>
      </c>
      <c r="V12" s="4">
        <v>84.771000000000001</v>
      </c>
      <c r="W12" s="4">
        <v>178.59700000000001</v>
      </c>
      <c r="X12" s="4">
        <v>165.52</v>
      </c>
      <c r="Y12" s="30">
        <f>I12-X12-W12-V12</f>
        <v>40518.270000000004</v>
      </c>
      <c r="Z12" s="4">
        <v>597.54200000000003</v>
      </c>
      <c r="AA12" s="4">
        <v>1333.133</v>
      </c>
      <c r="AB12" s="4">
        <v>6426.7979999999998</v>
      </c>
      <c r="AC12" s="30">
        <f>J12-AB12-AA12-Z12</f>
        <v>-1.1749999999991587</v>
      </c>
      <c r="AD12" s="4">
        <v>229.643</v>
      </c>
      <c r="AE12" s="4">
        <v>367.53300000000002</v>
      </c>
      <c r="AF12" s="4">
        <v>114.09399999999999</v>
      </c>
      <c r="AG12" s="30">
        <f>K12-AF12-AE12-AD12</f>
        <v>626.60799999999983</v>
      </c>
      <c r="AH12" s="4">
        <v>174.49199999999999</v>
      </c>
      <c r="AI12" s="4">
        <v>335.30799999999999</v>
      </c>
      <c r="AJ12" s="4">
        <v>3332.4940000000001</v>
      </c>
      <c r="AK12" s="30">
        <f>L12-AH12-AI12-AJ12</f>
        <v>-1344.7740000000003</v>
      </c>
      <c r="AL12" s="4">
        <v>190.27600000000001</v>
      </c>
      <c r="AM12" s="4">
        <v>545.55799999999999</v>
      </c>
      <c r="AN12" s="4">
        <v>335.798</v>
      </c>
      <c r="AO12" s="30">
        <f>M12-SUM(AL12:AN12)</f>
        <v>238.85699999999997</v>
      </c>
      <c r="AP12" s="4">
        <v>357.08499999999998</v>
      </c>
      <c r="AQ12" s="4">
        <v>309.30399999999997</v>
      </c>
      <c r="AR12" s="4">
        <v>239.83500000000001</v>
      </c>
      <c r="AS12" s="30">
        <f t="shared" ref="AS12:AS16" si="56">N12-SUM(AP12:AR12)</f>
        <v>20573.637000000002</v>
      </c>
      <c r="AT12" s="4">
        <v>290.05599999999998</v>
      </c>
      <c r="AU12" s="4">
        <v>4179.2219999999998</v>
      </c>
      <c r="AV12" s="4">
        <v>5614.7209999999995</v>
      </c>
      <c r="AW12" s="30">
        <f t="shared" ref="AW12:AW16" si="57">O12-SUM(AT12:AV12)</f>
        <v>3298.4580000000005</v>
      </c>
      <c r="AX12" s="4">
        <v>314.91300000000001</v>
      </c>
      <c r="AY12" s="4"/>
      <c r="AZ12" s="4">
        <v>907.05100000000004</v>
      </c>
      <c r="BA12" s="4">
        <v>10077.89</v>
      </c>
      <c r="BC12" s="75">
        <f t="shared" ref="BC12:BC16" si="58">BZ12</f>
        <v>168.55698287924304</v>
      </c>
      <c r="BD12" s="75">
        <f>(CA12-BC12)</f>
        <v>324.23639464483506</v>
      </c>
      <c r="BE12" s="75">
        <f>CB12-BC12-BD12</f>
        <v>4088.7266224759223</v>
      </c>
      <c r="BF12" s="4">
        <v>-2084</v>
      </c>
      <c r="BG12" s="75">
        <f t="shared" ref="BG12:BG16" si="59">CC12</f>
        <v>173.69470914974667</v>
      </c>
      <c r="BH12" s="75">
        <f>(CD12-BG12)</f>
        <v>498.0198917002358</v>
      </c>
      <c r="BI12" s="75">
        <f>CE12-BG12-BH12</f>
        <v>4023.774399150017</v>
      </c>
      <c r="BJ12" s="4">
        <v>-3385</v>
      </c>
      <c r="BK12" s="75">
        <f t="shared" ref="BK12:BK16" si="60">CF12</f>
        <v>384.99999114932683</v>
      </c>
      <c r="BL12" s="75">
        <f t="shared" ref="BL12:BL16" si="61">(CG12-BK12)</f>
        <v>334.57160691017856</v>
      </c>
      <c r="BM12" s="75">
        <f>CH12-BK12-BL12</f>
        <v>187.47940194049471</v>
      </c>
      <c r="BN12" s="30">
        <f t="shared" ref="BN12:BN16" si="62">N12-AZ12</f>
        <v>20572.810000000001</v>
      </c>
      <c r="BP12" s="75">
        <f>AH12</f>
        <v>174.49199999999999</v>
      </c>
      <c r="BQ12" s="4">
        <v>510.14499999999998</v>
      </c>
      <c r="BR12" s="4">
        <v>3843.6170000000002</v>
      </c>
      <c r="BS12" s="75">
        <f>AL12</f>
        <v>190.27600000000001</v>
      </c>
      <c r="BT12" s="4">
        <v>735.83799999999997</v>
      </c>
      <c r="BU12" s="4">
        <v>1071.874</v>
      </c>
      <c r="BV12" s="75">
        <f>AP12</f>
        <v>357.08499999999998</v>
      </c>
      <c r="BW12" s="4">
        <v>667.39800000000002</v>
      </c>
      <c r="BX12" s="4">
        <v>907.05100000000004</v>
      </c>
      <c r="BY12" s="4"/>
      <c r="BZ12" s="30">
        <f t="shared" ref="BZ12:CA16" si="63">BP12*BZ$6</f>
        <v>168.55698287924304</v>
      </c>
      <c r="CA12" s="30">
        <f t="shared" si="63"/>
        <v>492.7933775240781</v>
      </c>
      <c r="CB12" s="30">
        <f>L12-BF12</f>
        <v>4581.5200000000004</v>
      </c>
      <c r="CC12" s="30">
        <f t="shared" ref="CC12:CD16" si="64">BS12*CC$6</f>
        <v>173.69470914974667</v>
      </c>
      <c r="CD12" s="30">
        <f t="shared" si="64"/>
        <v>671.7146008499825</v>
      </c>
      <c r="CE12" s="30">
        <f>M12-BJ12</f>
        <v>4695.4889999999996</v>
      </c>
      <c r="CF12" s="30">
        <f>BV12*CF$6</f>
        <v>384.99999114932683</v>
      </c>
      <c r="CG12" s="30">
        <f t="shared" ref="CG12:CG16" si="65">BW12*CG$6</f>
        <v>719.57159805950539</v>
      </c>
      <c r="CH12" s="30">
        <f t="shared" ref="CH12:CH16" si="66">BX12</f>
        <v>907.05100000000004</v>
      </c>
    </row>
    <row r="13" spans="1:87" ht="13.5" customHeight="1">
      <c r="B13" s="1" t="s">
        <v>215</v>
      </c>
      <c r="C13" s="4"/>
      <c r="D13" s="4">
        <v>-187042.84299999999</v>
      </c>
      <c r="E13" s="4">
        <v>-202490.79199999999</v>
      </c>
      <c r="F13" s="4">
        <v>-183676.89499999999</v>
      </c>
      <c r="G13" s="4">
        <v>-192927.875</v>
      </c>
      <c r="H13" s="4">
        <v>-165775.484</v>
      </c>
      <c r="I13" s="4">
        <v>-166996.28899999999</v>
      </c>
      <c r="J13" s="4">
        <v>-152532.01800000001</v>
      </c>
      <c r="K13" s="4">
        <v>-199952.37299999999</v>
      </c>
      <c r="L13" s="4">
        <v>-253514.67600000001</v>
      </c>
      <c r="M13" s="4">
        <v>-227807.179</v>
      </c>
      <c r="N13" s="4">
        <v>-289987.00799999997</v>
      </c>
      <c r="O13" s="4">
        <v>-296664.592</v>
      </c>
      <c r="P13" s="75">
        <f t="shared" si="55"/>
        <v>-296627.30299999996</v>
      </c>
      <c r="Q13" s="75"/>
      <c r="R13" s="4">
        <v>-47696.561000000002</v>
      </c>
      <c r="S13" s="4">
        <v>-35797.298999999999</v>
      </c>
      <c r="T13" s="4">
        <v>-34242.180999999997</v>
      </c>
      <c r="U13" s="30">
        <f>H13-T13-S13-R13</f>
        <v>-48039.443000000014</v>
      </c>
      <c r="V13" s="4">
        <v>-41787.625999999997</v>
      </c>
      <c r="W13" s="4">
        <v>-36613.404000000002</v>
      </c>
      <c r="X13" s="4">
        <v>-37814.372000000003</v>
      </c>
      <c r="Y13" s="30">
        <f>I13-X13-W13-V13</f>
        <v>-50780.886999999981</v>
      </c>
      <c r="Z13" s="4">
        <v>-45964.55</v>
      </c>
      <c r="AA13" s="4">
        <v>-31898.825000000001</v>
      </c>
      <c r="AB13" s="4">
        <v>-34630.279000000002</v>
      </c>
      <c r="AC13" s="30">
        <f>J13-AB13-AA13-Z13</f>
        <v>-40038.364000000001</v>
      </c>
      <c r="AD13" s="4">
        <v>-43052.817000000003</v>
      </c>
      <c r="AE13" s="4">
        <v>-37893.574000000001</v>
      </c>
      <c r="AF13" s="4">
        <v>-46165.472999999998</v>
      </c>
      <c r="AG13" s="30">
        <f>K13-AF13-AE13-AD13</f>
        <v>-72840.508999999991</v>
      </c>
      <c r="AH13" s="4">
        <v>-57763.525999999998</v>
      </c>
      <c r="AI13" s="4">
        <v>-57325.64</v>
      </c>
      <c r="AJ13" s="4">
        <v>-61311.682999999997</v>
      </c>
      <c r="AK13" s="30">
        <f>L13-AH13-AI13-AJ13</f>
        <v>-77113.827000000019</v>
      </c>
      <c r="AL13" s="4">
        <v>-66289.316000000006</v>
      </c>
      <c r="AM13" s="4">
        <v>-56435.534</v>
      </c>
      <c r="AN13" s="4">
        <v>-59773.091</v>
      </c>
      <c r="AO13" s="30">
        <f>M13-SUM(AL13:AN13)</f>
        <v>-45309.238000000012</v>
      </c>
      <c r="AP13" s="4">
        <v>-68188.266000000003</v>
      </c>
      <c r="AQ13" s="4">
        <v>-60382.983999999997</v>
      </c>
      <c r="AR13" s="4">
        <v>-66077.62</v>
      </c>
      <c r="AS13" s="30">
        <f t="shared" si="56"/>
        <v>-95338.137999999977</v>
      </c>
      <c r="AT13" s="4">
        <v>-82282.341</v>
      </c>
      <c r="AU13" s="4">
        <v>-67041.104000000007</v>
      </c>
      <c r="AV13" s="4">
        <v>-70827.009999999995</v>
      </c>
      <c r="AW13" s="30">
        <f t="shared" si="57"/>
        <v>-76514.136999999988</v>
      </c>
      <c r="AX13" s="4">
        <v>-82245.051999999996</v>
      </c>
      <c r="AY13" s="4"/>
      <c r="AZ13" s="4">
        <v>-195441.29699999999</v>
      </c>
      <c r="BA13" s="4">
        <v>-215582.33799999999</v>
      </c>
      <c r="BC13" s="75">
        <f t="shared" si="58"/>
        <v>-55798.808329474763</v>
      </c>
      <c r="BD13" s="75">
        <f>(CA13-BC13)</f>
        <v>-60618.711927840297</v>
      </c>
      <c r="BE13" s="75">
        <f>CB13-BC13-BD13</f>
        <v>-137097.15574268496</v>
      </c>
      <c r="BF13" s="4">
        <v>0</v>
      </c>
      <c r="BG13" s="75">
        <f t="shared" si="59"/>
        <v>-60512.641964071394</v>
      </c>
      <c r="BH13" s="75">
        <f>(CD13-BG13)</f>
        <v>-52734.377709779634</v>
      </c>
      <c r="BI13" s="75">
        <f>CE13-BG13-BH13</f>
        <v>-114560.15932614898</v>
      </c>
      <c r="BJ13" s="4">
        <v>0</v>
      </c>
      <c r="BK13" s="75">
        <f t="shared" si="60"/>
        <v>-73518.859113342609</v>
      </c>
      <c r="BL13" s="75">
        <f t="shared" si="61"/>
        <v>-66246.302704364338</v>
      </c>
      <c r="BM13" s="75">
        <f>CH13-BK13-BL13</f>
        <v>-55676.135182293045</v>
      </c>
      <c r="BN13" s="30">
        <f t="shared" si="62"/>
        <v>-94545.710999999981</v>
      </c>
      <c r="BP13" s="75">
        <f>AH13</f>
        <v>-57763.525999999998</v>
      </c>
      <c r="BQ13" s="4">
        <v>-120516.66800000001</v>
      </c>
      <c r="BR13" s="4">
        <v>-185202.826</v>
      </c>
      <c r="BS13" s="75">
        <f>AL13</f>
        <v>-66289.316000000006</v>
      </c>
      <c r="BT13" s="4">
        <v>-124057.837</v>
      </c>
      <c r="BU13" s="4">
        <v>-187212.81</v>
      </c>
      <c r="BV13" s="75">
        <f>AP13</f>
        <v>-68188.266000000003</v>
      </c>
      <c r="BW13" s="4">
        <v>-129631.283</v>
      </c>
      <c r="BX13" s="4">
        <v>-195441.29699999999</v>
      </c>
      <c r="BY13" s="4"/>
      <c r="BZ13" s="30">
        <f t="shared" si="63"/>
        <v>-55798.808329474763</v>
      </c>
      <c r="CA13" s="30">
        <f t="shared" si="63"/>
        <v>-116417.52025731506</v>
      </c>
      <c r="CB13" s="30">
        <f>L13-BF13</f>
        <v>-253514.67600000001</v>
      </c>
      <c r="CC13" s="30">
        <f t="shared" si="64"/>
        <v>-60512.641964071394</v>
      </c>
      <c r="CD13" s="30">
        <f t="shared" si="64"/>
        <v>-113247.01967385103</v>
      </c>
      <c r="CE13" s="30">
        <f>M13-BJ13</f>
        <v>-227807.179</v>
      </c>
      <c r="CF13" s="30">
        <f>BV13*CF$6</f>
        <v>-73518.859113342609</v>
      </c>
      <c r="CG13" s="30">
        <f t="shared" si="65"/>
        <v>-139765.16181770695</v>
      </c>
      <c r="CH13" s="30">
        <f t="shared" si="66"/>
        <v>-195441.29699999999</v>
      </c>
    </row>
    <row r="14" spans="1:87" ht="13.5" customHeight="1">
      <c r="B14" s="1" t="s">
        <v>216</v>
      </c>
      <c r="C14" s="4"/>
      <c r="D14" s="4">
        <v>-342140.93199999997</v>
      </c>
      <c r="E14" s="4">
        <v>-352600.84600000002</v>
      </c>
      <c r="F14" s="4">
        <v>-346202.79499999998</v>
      </c>
      <c r="G14" s="4">
        <v>-348199.321</v>
      </c>
      <c r="H14" s="4">
        <v>-313742.853</v>
      </c>
      <c r="I14" s="4">
        <v>-325903.80900000001</v>
      </c>
      <c r="J14" s="4">
        <v>-283638.935</v>
      </c>
      <c r="K14" s="4">
        <v>-348949.86300000001</v>
      </c>
      <c r="L14" s="4">
        <v>-429517.71600000001</v>
      </c>
      <c r="M14" s="4">
        <v>-431295.51500000001</v>
      </c>
      <c r="N14" s="4">
        <v>-561801.21299999999</v>
      </c>
      <c r="O14" s="4">
        <v>-555125.62199999997</v>
      </c>
      <c r="P14" s="75">
        <f t="shared" si="55"/>
        <v>-560043.16500000004</v>
      </c>
      <c r="Q14" s="75"/>
      <c r="R14" s="4">
        <v>-87164.81</v>
      </c>
      <c r="S14" s="4">
        <v>-78234.626999999993</v>
      </c>
      <c r="T14" s="4">
        <v>-69945.426000000007</v>
      </c>
      <c r="U14" s="30">
        <f>H14-T14-S14-R14</f>
        <v>-78397.989999999991</v>
      </c>
      <c r="V14" s="4">
        <v>-76286.339000000007</v>
      </c>
      <c r="W14" s="4">
        <v>-79625.358999999997</v>
      </c>
      <c r="X14" s="4">
        <v>-81401.448000000004</v>
      </c>
      <c r="Y14" s="30">
        <f>I14-X14-W14-V14</f>
        <v>-88590.663</v>
      </c>
      <c r="Z14" s="4">
        <v>-90062.36</v>
      </c>
      <c r="AA14" s="4">
        <v>-67046.649000000005</v>
      </c>
      <c r="AB14" s="4">
        <v>-70438.532999999996</v>
      </c>
      <c r="AC14" s="30">
        <f>J14-AB14-AA14-Z14</f>
        <v>-56091.392999999996</v>
      </c>
      <c r="AD14" s="4">
        <v>-77897.342999999993</v>
      </c>
      <c r="AE14" s="4">
        <v>-74555.922000000006</v>
      </c>
      <c r="AF14" s="4">
        <v>-85504.953999999998</v>
      </c>
      <c r="AG14" s="30">
        <f>K14-AF14-AE14-AD14</f>
        <v>-110991.64399999997</v>
      </c>
      <c r="AH14" s="4">
        <v>-93026.544999999998</v>
      </c>
      <c r="AI14" s="4">
        <v>-106184.609</v>
      </c>
      <c r="AJ14" s="4">
        <v>-116283.742</v>
      </c>
      <c r="AK14" s="30">
        <f>L14-AH14-AI14-AJ14</f>
        <v>-114022.82000000004</v>
      </c>
      <c r="AL14" s="4">
        <v>-111965.89599999999</v>
      </c>
      <c r="AM14" s="4">
        <v>-110501.753</v>
      </c>
      <c r="AN14" s="4">
        <v>-120190.039</v>
      </c>
      <c r="AO14" s="30">
        <f>M14-SUM(AL14:AN14)</f>
        <v>-88637.827000000048</v>
      </c>
      <c r="AP14" s="4">
        <v>-134113.13500000001</v>
      </c>
      <c r="AQ14" s="4">
        <v>-126432.463</v>
      </c>
      <c r="AR14" s="4">
        <v>-130599.85</v>
      </c>
      <c r="AS14" s="30">
        <f t="shared" si="56"/>
        <v>-170655.76500000001</v>
      </c>
      <c r="AT14" s="4">
        <v>-142905.5</v>
      </c>
      <c r="AU14" s="4">
        <v>-132927.492</v>
      </c>
      <c r="AV14" s="4">
        <v>-139162.611</v>
      </c>
      <c r="AW14" s="30">
        <f t="shared" si="57"/>
        <v>-140130.01899999997</v>
      </c>
      <c r="AX14" s="4">
        <v>-147823.04300000001</v>
      </c>
      <c r="AY14" s="4"/>
      <c r="AZ14" s="4">
        <v>-392495.42599999998</v>
      </c>
      <c r="BA14" s="4">
        <v>-408146.272</v>
      </c>
      <c r="BC14" s="75">
        <f t="shared" si="58"/>
        <v>-89862.422075969851</v>
      </c>
      <c r="BD14" s="75">
        <f>(CA14-BC14)</f>
        <v>-108508.99435458305</v>
      </c>
      <c r="BE14" s="75">
        <f>CB14-BC14-BD14</f>
        <v>-39886.299569447103</v>
      </c>
      <c r="BF14" s="4">
        <v>-191260</v>
      </c>
      <c r="BG14" s="75">
        <f t="shared" si="59"/>
        <v>-102208.8110976202</v>
      </c>
      <c r="BH14" s="75">
        <f>(CD14-BG14)</f>
        <v>-102440.11892759745</v>
      </c>
      <c r="BI14" s="75">
        <f>CE14-BG14-BH14</f>
        <v>-47000.584974782367</v>
      </c>
      <c r="BJ14" s="4">
        <v>-179646</v>
      </c>
      <c r="BK14" s="75">
        <f t="shared" si="60"/>
        <v>-144597.38098214287</v>
      </c>
      <c r="BL14" s="75">
        <f t="shared" si="61"/>
        <v>-138286.01618611283</v>
      </c>
      <c r="BM14" s="75">
        <f>CH14-BK14-BL14</f>
        <v>-109612.02883174428</v>
      </c>
      <c r="BN14" s="30">
        <f t="shared" si="62"/>
        <v>-169305.78700000001</v>
      </c>
      <c r="BP14" s="75">
        <f>AH14</f>
        <v>-93026.544999999998</v>
      </c>
      <c r="BQ14" s="4">
        <v>-205356.22200000001</v>
      </c>
      <c r="BR14" s="4">
        <v>-325948.28100000002</v>
      </c>
      <c r="BS14" s="75">
        <f>AL14</f>
        <v>-111965.89599999999</v>
      </c>
      <c r="BT14" s="4">
        <v>-224185.18100000001</v>
      </c>
      <c r="BU14" s="4">
        <v>-349214.815</v>
      </c>
      <c r="BV14" s="75">
        <f>AP14</f>
        <v>-134113.13500000001</v>
      </c>
      <c r="BW14" s="4">
        <v>-262372.52</v>
      </c>
      <c r="BX14" s="4">
        <v>-392495.42599999998</v>
      </c>
      <c r="BY14" s="4"/>
      <c r="BZ14" s="30">
        <f t="shared" si="63"/>
        <v>-89862.422075969851</v>
      </c>
      <c r="CA14" s="30">
        <f t="shared" si="63"/>
        <v>-198371.4164305529</v>
      </c>
      <c r="CB14" s="30">
        <f>L14-BF14</f>
        <v>-238257.71600000001</v>
      </c>
      <c r="CC14" s="30">
        <f t="shared" si="64"/>
        <v>-102208.8110976202</v>
      </c>
      <c r="CD14" s="30">
        <f t="shared" si="64"/>
        <v>-204648.93002521765</v>
      </c>
      <c r="CE14" s="30">
        <f>M14-BJ14</f>
        <v>-251649.51500000001</v>
      </c>
      <c r="CF14" s="30">
        <f>BV14*CF$6</f>
        <v>-144597.38098214287</v>
      </c>
      <c r="CG14" s="30">
        <f t="shared" si="65"/>
        <v>-282883.3971682557</v>
      </c>
      <c r="CH14" s="30">
        <f t="shared" si="66"/>
        <v>-392495.42599999998</v>
      </c>
    </row>
    <row r="15" spans="1:87" ht="13.5" customHeight="1">
      <c r="B15" s="1" t="s">
        <v>217</v>
      </c>
      <c r="C15" s="4"/>
      <c r="D15" s="4">
        <v>-18591.271000000001</v>
      </c>
      <c r="E15" s="4">
        <v>-21983.047999999999</v>
      </c>
      <c r="F15" s="4">
        <v>-22765.167000000001</v>
      </c>
      <c r="G15" s="4">
        <v>-16701.471000000001</v>
      </c>
      <c r="H15" s="4">
        <v>-16057.763000000001</v>
      </c>
      <c r="I15" s="4">
        <v>-26182.847000000002</v>
      </c>
      <c r="J15" s="4">
        <v>-17430.256000000001</v>
      </c>
      <c r="K15" s="4">
        <v>-15211.79</v>
      </c>
      <c r="L15" s="4">
        <v>-886.33100000000002</v>
      </c>
      <c r="M15" s="4">
        <v>-26441.582999999999</v>
      </c>
      <c r="N15" s="4">
        <v>-36650.029000000002</v>
      </c>
      <c r="O15" s="4">
        <v>-30114.433000000001</v>
      </c>
      <c r="P15" s="75">
        <f t="shared" si="55"/>
        <v>-34701.484000000004</v>
      </c>
      <c r="Q15" s="75"/>
      <c r="R15" s="4">
        <v>-5802.8729999999996</v>
      </c>
      <c r="S15" s="4">
        <v>-3388.5619999999999</v>
      </c>
      <c r="T15" s="4">
        <v>-3042.8130000000001</v>
      </c>
      <c r="U15" s="30">
        <f>H15-T15-S15-R15</f>
        <v>-3823.5150000000012</v>
      </c>
      <c r="V15" s="4">
        <v>-2285.1239999999998</v>
      </c>
      <c r="W15" s="4">
        <v>490.89800000000002</v>
      </c>
      <c r="X15" s="4">
        <v>-2904.3290000000002</v>
      </c>
      <c r="Y15" s="30">
        <f>I15-X15-W15-V15</f>
        <v>-21484.292000000001</v>
      </c>
      <c r="Z15" s="4">
        <v>-3518.9740000000002</v>
      </c>
      <c r="AA15" s="4">
        <v>-6682.4960000000001</v>
      </c>
      <c r="AB15" s="4">
        <v>-2800.2269999999999</v>
      </c>
      <c r="AC15" s="30">
        <f>J15-AB15-AA15-Z15</f>
        <v>-4428.559000000002</v>
      </c>
      <c r="AD15" s="4">
        <v>-3471.1379999999999</v>
      </c>
      <c r="AE15" s="4">
        <v>-1856.5519999999999</v>
      </c>
      <c r="AF15" s="4">
        <v>-3820.433</v>
      </c>
      <c r="AG15" s="30">
        <f>K15-AF15-AE15-AD15</f>
        <v>-6063.6670000000004</v>
      </c>
      <c r="AH15" s="4">
        <v>-4002.681</v>
      </c>
      <c r="AI15" s="4">
        <v>8727.7139999999999</v>
      </c>
      <c r="AJ15" s="4">
        <v>-1720.18</v>
      </c>
      <c r="AK15" s="30">
        <f>L15-AH15-AI15-AJ15</f>
        <v>-3891.1839999999993</v>
      </c>
      <c r="AL15" s="4">
        <v>-4571.0609999999997</v>
      </c>
      <c r="AM15" s="4">
        <v>-3671.7469999999998</v>
      </c>
      <c r="AN15" s="4">
        <v>-9070.9580000000005</v>
      </c>
      <c r="AO15" s="30">
        <f>M15-SUM(AL15:AN15)</f>
        <v>-9127.8169999999991</v>
      </c>
      <c r="AP15" s="4">
        <v>-9341.8690000000006</v>
      </c>
      <c r="AQ15" s="4">
        <v>-10122.596</v>
      </c>
      <c r="AR15" s="4">
        <v>-5176.4089999999997</v>
      </c>
      <c r="AS15" s="30">
        <f t="shared" si="56"/>
        <v>-12009.155000000002</v>
      </c>
      <c r="AT15" s="4">
        <v>-2948.7109999999998</v>
      </c>
      <c r="AU15" s="4">
        <v>-10277.296</v>
      </c>
      <c r="AV15" s="4">
        <v>-5382.0209999999997</v>
      </c>
      <c r="AW15" s="30">
        <f t="shared" si="57"/>
        <v>-11506.405000000002</v>
      </c>
      <c r="AX15" s="4">
        <v>-7535.7619999999997</v>
      </c>
      <c r="AY15" s="4"/>
      <c r="AZ15" s="4">
        <v>-24703.982</v>
      </c>
      <c r="BA15" s="4">
        <v>-18240.672999999999</v>
      </c>
      <c r="BC15" s="75">
        <f t="shared" si="58"/>
        <v>-3866.5373357407298</v>
      </c>
      <c r="BD15" s="75">
        <f>(CA15-BC15)</f>
        <v>8011.3725940026143</v>
      </c>
      <c r="BE15" s="75">
        <f>CB15-BC15-BD15</f>
        <v>-5031.1662582618846</v>
      </c>
      <c r="BF15" s="4">
        <v>0</v>
      </c>
      <c r="BG15" s="75">
        <f t="shared" si="59"/>
        <v>-4172.7233644850112</v>
      </c>
      <c r="BH15" s="75">
        <f>(CD15-BG15)</f>
        <v>-3443.8192082863652</v>
      </c>
      <c r="BI15" s="75">
        <f>CE15-BG15-BH15</f>
        <v>-18825.040427228621</v>
      </c>
      <c r="BJ15" s="4">
        <v>0</v>
      </c>
      <c r="BK15" s="75">
        <f t="shared" si="60"/>
        <v>-10072.16624142199</v>
      </c>
      <c r="BL15" s="75">
        <f t="shared" si="61"/>
        <v>-11015.114061295117</v>
      </c>
      <c r="BM15" s="75">
        <f>CH15-BK15-BL15</f>
        <v>-3616.7016972828933</v>
      </c>
      <c r="BN15" s="30">
        <f t="shared" si="62"/>
        <v>-11946.047000000002</v>
      </c>
      <c r="BP15" s="75">
        <f>AH15</f>
        <v>-4002.681</v>
      </c>
      <c r="BQ15" s="4">
        <v>4290.7780000000002</v>
      </c>
      <c r="BR15" s="4">
        <v>2288.9690000000001</v>
      </c>
      <c r="BS15" s="75">
        <f>AL15</f>
        <v>-4571.0609999999997</v>
      </c>
      <c r="BT15" s="4">
        <v>-8343.6350000000002</v>
      </c>
      <c r="BU15" s="4">
        <v>-17698.003000000001</v>
      </c>
      <c r="BV15" s="75">
        <f>AP15</f>
        <v>-9341.8690000000006</v>
      </c>
      <c r="BW15" s="4">
        <v>-19558.315999999999</v>
      </c>
      <c r="BX15" s="4">
        <v>-24703.982</v>
      </c>
      <c r="BY15" s="4"/>
      <c r="BZ15" s="30">
        <f t="shared" si="63"/>
        <v>-3866.5373357407298</v>
      </c>
      <c r="CA15" s="30">
        <f t="shared" si="63"/>
        <v>4144.8352582618845</v>
      </c>
      <c r="CB15" s="30">
        <f>L15-BF15</f>
        <v>-886.33100000000002</v>
      </c>
      <c r="CC15" s="30">
        <f t="shared" si="64"/>
        <v>-4172.7233644850112</v>
      </c>
      <c r="CD15" s="30">
        <f t="shared" si="64"/>
        <v>-7616.5425727713764</v>
      </c>
      <c r="CE15" s="30">
        <f>M15-BJ15</f>
        <v>-26441.582999999999</v>
      </c>
      <c r="CF15" s="30">
        <f>BV15*CF$6</f>
        <v>-10072.16624142199</v>
      </c>
      <c r="CG15" s="30">
        <f t="shared" si="65"/>
        <v>-21087.280302717107</v>
      </c>
      <c r="CH15" s="30">
        <f t="shared" si="66"/>
        <v>-24703.982</v>
      </c>
    </row>
    <row r="16" spans="1:87" ht="13.5" customHeight="1">
      <c r="B16" s="1" t="s">
        <v>218</v>
      </c>
      <c r="C16" s="4"/>
      <c r="D16" s="4">
        <v>-4392.1049999999996</v>
      </c>
      <c r="E16" s="4">
        <v>-6301.1210000000001</v>
      </c>
      <c r="F16" s="4">
        <v>-3387.377</v>
      </c>
      <c r="G16" s="4">
        <v>-2537.2689999999998</v>
      </c>
      <c r="H16" s="4">
        <v>-2707.8589999999999</v>
      </c>
      <c r="I16" s="4">
        <v>2.8759999999999999</v>
      </c>
      <c r="J16" s="4">
        <v>0.28699999999999998</v>
      </c>
      <c r="K16" s="4">
        <v>0</v>
      </c>
      <c r="L16" s="4">
        <v>-24983.899000000001</v>
      </c>
      <c r="M16" s="4">
        <v>-15909.117</v>
      </c>
      <c r="N16" s="4">
        <v>0</v>
      </c>
      <c r="O16" s="4">
        <v>-1817.0329999999999</v>
      </c>
      <c r="P16" s="75">
        <f t="shared" si="55"/>
        <v>-1817.0719999999999</v>
      </c>
      <c r="Q16" s="75"/>
      <c r="R16" s="4">
        <v>-796.59799999999996</v>
      </c>
      <c r="S16" s="4">
        <v>-896.65899999999999</v>
      </c>
      <c r="T16" s="4">
        <v>-937.97</v>
      </c>
      <c r="U16" s="30">
        <f>H16-T16-S16-R16</f>
        <v>-76.631999999999948</v>
      </c>
      <c r="V16" s="4">
        <v>0</v>
      </c>
      <c r="W16" s="4">
        <v>0</v>
      </c>
      <c r="X16" s="4">
        <v>2.9000000000000001E-2</v>
      </c>
      <c r="Y16" s="30">
        <f>I16-X16-W16-V16</f>
        <v>2.847</v>
      </c>
      <c r="Z16" s="4">
        <v>0.85499999999999998</v>
      </c>
      <c r="AA16" s="4">
        <v>-0.114</v>
      </c>
      <c r="AB16" s="4">
        <v>0</v>
      </c>
      <c r="AC16" s="30">
        <f>J16-AB16-AA16-Z16</f>
        <v>-0.45400000000000001</v>
      </c>
      <c r="AD16" s="4">
        <v>0</v>
      </c>
      <c r="AE16" s="4">
        <v>0</v>
      </c>
      <c r="AF16" s="4">
        <v>0</v>
      </c>
      <c r="AG16" s="30">
        <f>K16-AF16-AE16-AD16</f>
        <v>0</v>
      </c>
      <c r="AH16" s="4">
        <v>0</v>
      </c>
      <c r="AI16" s="4">
        <v>-24984.651000000002</v>
      </c>
      <c r="AJ16" s="4">
        <v>0.73699999999999999</v>
      </c>
      <c r="AK16" s="30">
        <f>L16-AH16-AI16-AJ16</f>
        <v>1.5000000000407465E-2</v>
      </c>
      <c r="AL16" s="4">
        <v>-1.7999999999999999E-2</v>
      </c>
      <c r="AM16" s="4">
        <v>-25763.411</v>
      </c>
      <c r="AN16" s="4">
        <v>103.542</v>
      </c>
      <c r="AO16" s="30">
        <f>M16-SUM(AL16:AN16)</f>
        <v>9750.7699999999986</v>
      </c>
      <c r="AP16" s="4">
        <v>0</v>
      </c>
      <c r="AQ16" s="4">
        <v>0</v>
      </c>
      <c r="AR16" s="4">
        <v>0</v>
      </c>
      <c r="AS16" s="30">
        <f t="shared" si="56"/>
        <v>0</v>
      </c>
      <c r="AT16" s="4">
        <v>3.9E-2</v>
      </c>
      <c r="AU16" s="4">
        <v>0</v>
      </c>
      <c r="AV16" s="4">
        <v>0</v>
      </c>
      <c r="AW16" s="30">
        <f t="shared" si="57"/>
        <v>-1817.0719999999999</v>
      </c>
      <c r="AX16" s="4">
        <v>0</v>
      </c>
      <c r="AY16" s="4"/>
      <c r="AZ16" s="4">
        <v>0</v>
      </c>
      <c r="BA16" s="4">
        <v>0</v>
      </c>
      <c r="BC16" s="75">
        <f t="shared" si="58"/>
        <v>0</v>
      </c>
      <c r="BD16" s="75">
        <f>(CA16-BC16)</f>
        <v>-24134.845098061014</v>
      </c>
      <c r="BE16" s="75">
        <f>CB16-BC16-BD16</f>
        <v>4398.9460980610129</v>
      </c>
      <c r="BF16" s="4">
        <v>-5248</v>
      </c>
      <c r="BG16" s="75">
        <f t="shared" si="59"/>
        <v>-1.6431419436478797E-2</v>
      </c>
      <c r="BH16" s="75">
        <f>(CD16-BG16)</f>
        <v>-23518.302506568361</v>
      </c>
      <c r="BI16" s="75">
        <f>CE16-BG16-BH16</f>
        <v>8891.2019379877984</v>
      </c>
      <c r="BJ16" s="4">
        <v>-1282</v>
      </c>
      <c r="BK16" s="75">
        <f t="shared" si="60"/>
        <v>0</v>
      </c>
      <c r="BL16" s="75">
        <f t="shared" si="61"/>
        <v>0</v>
      </c>
      <c r="BM16" s="75">
        <f>CH16-BK16-BL16</f>
        <v>0</v>
      </c>
      <c r="BN16" s="30">
        <f t="shared" si="62"/>
        <v>0</v>
      </c>
      <c r="BP16" s="75">
        <f>AH16</f>
        <v>0</v>
      </c>
      <c r="BQ16" s="4">
        <v>-24984.651000000002</v>
      </c>
      <c r="BR16" s="4">
        <v>-24984.038</v>
      </c>
      <c r="BS16" s="75">
        <f>AL16</f>
        <v>-1.7999999999999999E-2</v>
      </c>
      <c r="BT16" s="4">
        <v>-25763.431</v>
      </c>
      <c r="BU16" s="4">
        <v>-25659.887999999999</v>
      </c>
      <c r="BV16" s="75">
        <f>AP16</f>
        <v>0</v>
      </c>
      <c r="BW16" s="4">
        <v>0</v>
      </c>
      <c r="BX16" s="4">
        <v>0</v>
      </c>
      <c r="BY16" s="4"/>
      <c r="BZ16" s="30">
        <f t="shared" si="63"/>
        <v>0</v>
      </c>
      <c r="CA16" s="30">
        <f t="shared" si="63"/>
        <v>-24134.845098061014</v>
      </c>
      <c r="CB16" s="30">
        <f>L16-BF16</f>
        <v>-19735.899000000001</v>
      </c>
      <c r="CC16" s="30">
        <f t="shared" si="64"/>
        <v>-1.6431419436478797E-2</v>
      </c>
      <c r="CD16" s="30">
        <f t="shared" si="64"/>
        <v>-23518.318937987799</v>
      </c>
      <c r="CE16" s="30">
        <f>M16-BJ16</f>
        <v>-14627.117</v>
      </c>
      <c r="CF16" s="30">
        <f>BV16*CF$6</f>
        <v>0</v>
      </c>
      <c r="CG16" s="30">
        <f t="shared" si="65"/>
        <v>0</v>
      </c>
      <c r="CH16" s="30">
        <f t="shared" si="66"/>
        <v>0</v>
      </c>
    </row>
    <row r="17" spans="2:86" s="5" customFormat="1" ht="13.5" customHeight="1">
      <c r="B17" s="14" t="s">
        <v>219</v>
      </c>
      <c r="C17" s="7"/>
      <c r="D17" s="7">
        <f t="shared" ref="D17:H17" si="67">D10+SUM(D12:D16)</f>
        <v>167759.94100000011</v>
      </c>
      <c r="E17" s="7">
        <f t="shared" si="67"/>
        <v>187783.87200000009</v>
      </c>
      <c r="F17" s="7">
        <f t="shared" si="67"/>
        <v>189277.9580000001</v>
      </c>
      <c r="G17" s="7">
        <f t="shared" si="67"/>
        <v>220038.55300000007</v>
      </c>
      <c r="H17" s="7">
        <f t="shared" si="67"/>
        <v>209213.23400000017</v>
      </c>
      <c r="I17" s="7">
        <f t="shared" ref="I17:J17" si="68">I10+SUM(I12:I16)</f>
        <v>252548.43699999998</v>
      </c>
      <c r="J17" s="7">
        <f t="shared" si="68"/>
        <v>230537.95399999997</v>
      </c>
      <c r="K17" s="7">
        <f t="shared" ref="K17:L17" si="69">K10+SUM(K12:K16)</f>
        <v>278563.67199999979</v>
      </c>
      <c r="L17" s="7">
        <f t="shared" si="69"/>
        <v>321771.46999999997</v>
      </c>
      <c r="M17" s="7">
        <f t="shared" ref="M17:N17" si="70">M10+SUM(M12:M16)</f>
        <v>316296.89200000023</v>
      </c>
      <c r="N17" s="7">
        <f t="shared" si="70"/>
        <v>411911.20799999987</v>
      </c>
      <c r="O17" s="7">
        <f t="shared" ref="O17" si="71">O10+SUM(O12:O16)</f>
        <v>436817.50399999972</v>
      </c>
      <c r="P17" s="7">
        <f t="shared" ref="P17" si="72">P10+SUM(P12:P16)</f>
        <v>448413.38499999966</v>
      </c>
      <c r="Q17" s="314"/>
      <c r="R17" s="7">
        <f>R10+SUM(R12:R16)</f>
        <v>69643.219000000012</v>
      </c>
      <c r="S17" s="7">
        <f t="shared" ref="S17:X17" si="73">S10+SUM(S12:S16)</f>
        <v>29824.215999999971</v>
      </c>
      <c r="T17" s="7">
        <f t="shared" si="73"/>
        <v>31360.625999999989</v>
      </c>
      <c r="U17" s="7">
        <f t="shared" si="73"/>
        <v>78385.173000000214</v>
      </c>
      <c r="V17" s="7">
        <f t="shared" si="73"/>
        <v>65557.672999999981</v>
      </c>
      <c r="W17" s="7">
        <f t="shared" si="73"/>
        <v>35818.219999999987</v>
      </c>
      <c r="X17" s="7">
        <f t="shared" si="73"/>
        <v>36173.234999999971</v>
      </c>
      <c r="Y17" s="7">
        <f t="shared" ref="Y17:Z17" si="74">Y10+SUM(Y12:Y16)</f>
        <v>114999.30900000001</v>
      </c>
      <c r="Z17" s="7">
        <f t="shared" si="74"/>
        <v>73035.983000000037</v>
      </c>
      <c r="AA17" s="7">
        <f t="shared" ref="AA17:AD17" si="75">AA10+SUM(AA12:AA16)</f>
        <v>10890.5</v>
      </c>
      <c r="AB17" s="7">
        <f t="shared" si="75"/>
        <v>53605.880000000019</v>
      </c>
      <c r="AC17" s="7">
        <f t="shared" si="75"/>
        <v>93005.591000000015</v>
      </c>
      <c r="AD17" s="7">
        <f t="shared" si="75"/>
        <v>75864.316000000021</v>
      </c>
      <c r="AE17" s="7">
        <f t="shared" ref="AE17:AH17" si="76">AE10+SUM(AE12:AE16)</f>
        <v>43770.410000000047</v>
      </c>
      <c r="AF17" s="7">
        <f t="shared" si="76"/>
        <v>55444.857000000047</v>
      </c>
      <c r="AG17" s="7">
        <f t="shared" si="76"/>
        <v>103484.08899999966</v>
      </c>
      <c r="AH17" s="7">
        <f t="shared" si="76"/>
        <v>91590.161999999953</v>
      </c>
      <c r="AI17" s="7">
        <f t="shared" ref="AI17:AO17" si="77">AI10+SUM(AI12:AI16)</f>
        <v>47973.894000000058</v>
      </c>
      <c r="AJ17" s="7">
        <f t="shared" si="77"/>
        <v>70378.371000000072</v>
      </c>
      <c r="AK17" s="7">
        <f t="shared" si="77"/>
        <v>111829.04299999992</v>
      </c>
      <c r="AL17" s="7">
        <f t="shared" si="77"/>
        <v>93955.549999999959</v>
      </c>
      <c r="AM17" s="7">
        <f t="shared" si="77"/>
        <v>40792.076000000001</v>
      </c>
      <c r="AN17" s="7">
        <f t="shared" si="77"/>
        <v>69508.206999999937</v>
      </c>
      <c r="AO17" s="7">
        <f t="shared" si="77"/>
        <v>112041.05900000042</v>
      </c>
      <c r="AP17" s="7">
        <f t="shared" ref="AP17:AS17" si="78">AP10+SUM(AP12:AP16)</f>
        <v>115610.41100000002</v>
      </c>
      <c r="AQ17" s="7">
        <f t="shared" si="78"/>
        <v>63768.672999999952</v>
      </c>
      <c r="AR17" s="7">
        <f t="shared" si="78"/>
        <v>73649.928999999946</v>
      </c>
      <c r="AS17" s="7">
        <f t="shared" si="78"/>
        <v>158882.19499999969</v>
      </c>
      <c r="AT17" s="7">
        <f t="shared" ref="AT17:AW17" si="79">AT10+SUM(AT12:AT16)</f>
        <v>130154.71300000002</v>
      </c>
      <c r="AU17" s="7">
        <f t="shared" si="79"/>
        <v>73774.732999999978</v>
      </c>
      <c r="AV17" s="7">
        <f t="shared" si="79"/>
        <v>92161.558999999979</v>
      </c>
      <c r="AW17" s="7">
        <f t="shared" si="79"/>
        <v>140726.49899999992</v>
      </c>
      <c r="AX17" s="7">
        <f t="shared" ref="AX17" si="80">AX10+SUM(AX12:AX16)</f>
        <v>141750.59400000007</v>
      </c>
      <c r="AY17" s="7"/>
      <c r="AZ17" s="7">
        <f>AZ10+SUM(AZ12:AZ16)</f>
        <v>254407.08999999997</v>
      </c>
      <c r="BA17" s="7">
        <f>BA10+SUM(BA12:BA16)</f>
        <v>292084.05999999982</v>
      </c>
      <c r="BC17" s="7">
        <f>BC10+SUM(BC12:BC16)</f>
        <v>88474.894941550912</v>
      </c>
      <c r="BD17" s="7">
        <f>BD10+SUM(BD12:BD16)</f>
        <v>53129.298753266543</v>
      </c>
      <c r="BE17" s="7">
        <f>BE10+SUM(BE12:BE16)</f>
        <v>70373.276305182575</v>
      </c>
      <c r="BF17" s="7">
        <f t="shared" ref="BF17" si="81">BF10+SUM(BF12:BF16)</f>
        <v>109794</v>
      </c>
      <c r="BG17" s="7">
        <f>BG10+SUM(BG12:BG16)</f>
        <v>85767.947246391937</v>
      </c>
      <c r="BH17" s="7">
        <f>BH10+SUM(BH12:BH16)</f>
        <v>38834.431133086444</v>
      </c>
      <c r="BI17" s="7">
        <f>BI10+SUM(BI12:BI16)</f>
        <v>62839.513620521757</v>
      </c>
      <c r="BJ17" s="7">
        <f t="shared" ref="BJ17" si="82">BJ10+SUM(BJ12:BJ16)</f>
        <v>128855</v>
      </c>
      <c r="BK17" s="7">
        <f>BK10+SUM(BK12:BK16)</f>
        <v>124648.21320349502</v>
      </c>
      <c r="BL17" s="7">
        <f>BL10+SUM(BL12:BL16)</f>
        <v>70453.283004475292</v>
      </c>
      <c r="BM17" s="7">
        <f>BM10+SUM(BM12:BM16)</f>
        <v>59305.593792029598</v>
      </c>
      <c r="BN17" s="7">
        <f t="shared" ref="BN17" si="83">BN10+SUM(BN12:BN16)</f>
        <v>157504.1179999999</v>
      </c>
      <c r="BP17" s="74">
        <f t="shared" ref="BP17" si="84">BP10+SUM(BP12:BP16)</f>
        <v>91590.161999999953</v>
      </c>
      <c r="BQ17" s="7">
        <f>BQ10+SUM(BQ12:BQ16)</f>
        <v>146590.18299999996</v>
      </c>
      <c r="BR17" s="7">
        <f>BR10+SUM(BR12:BR16)</f>
        <v>220540.61399999994</v>
      </c>
      <c r="BS17" s="74">
        <f t="shared" ref="BS17" si="85">BS10+SUM(BS12:BS16)</f>
        <v>93955.549999999959</v>
      </c>
      <c r="BT17" s="7">
        <f>BT10+SUM(BT12:BT16)</f>
        <v>136497.20400000009</v>
      </c>
      <c r="BU17" s="7">
        <f>BU10+SUM(BU12:BU16)</f>
        <v>209688.45999999996</v>
      </c>
      <c r="BV17" s="74">
        <f t="shared" ref="BV17" si="86">BV10+SUM(BV12:BV16)</f>
        <v>115610.41100000002</v>
      </c>
      <c r="BW17" s="7">
        <f>BW10+SUM(BW12:BW16)</f>
        <v>180955.375</v>
      </c>
      <c r="BX17" s="7">
        <f>BX10+SUM(BX12:BX16)</f>
        <v>254407.08999999997</v>
      </c>
      <c r="BY17" s="7"/>
      <c r="BZ17" s="7">
        <f t="shared" ref="BZ17:CE17" si="87">BZ10+SUM(BZ12:BZ16)</f>
        <v>88474.894941550912</v>
      </c>
      <c r="CA17" s="7">
        <f t="shared" si="87"/>
        <v>141604.19369481748</v>
      </c>
      <c r="CB17" s="7">
        <f t="shared" si="87"/>
        <v>211977.46999999991</v>
      </c>
      <c r="CC17" s="7">
        <f t="shared" si="87"/>
        <v>85767.947246391937</v>
      </c>
      <c r="CD17" s="7">
        <f t="shared" si="87"/>
        <v>124602.37837947841</v>
      </c>
      <c r="CE17" s="7">
        <f t="shared" si="87"/>
        <v>187441.89200000023</v>
      </c>
      <c r="CF17" s="7">
        <f t="shared" ref="CF17:CG17" si="88">CF10+SUM(CF12:CF16)</f>
        <v>124648.21320349502</v>
      </c>
      <c r="CG17" s="7">
        <f t="shared" si="88"/>
        <v>195101.49620797031</v>
      </c>
      <c r="CH17" s="7">
        <f t="shared" ref="CH17" si="89">CH10+SUM(CH12:CH16)</f>
        <v>254407.08999999997</v>
      </c>
    </row>
    <row r="18" spans="2:86" ht="13.5" customHeight="1">
      <c r="B18" s="6" t="s">
        <v>220</v>
      </c>
      <c r="C18" s="4"/>
      <c r="D18" s="4">
        <v>8655.6229999999996</v>
      </c>
      <c r="E18" s="4">
        <v>10118.375</v>
      </c>
      <c r="F18" s="4">
        <v>9661.6919999999991</v>
      </c>
      <c r="G18" s="4">
        <v>11194.375</v>
      </c>
      <c r="H18" s="4">
        <v>3940.2440000000001</v>
      </c>
      <c r="I18" s="4">
        <v>45155.790999999997</v>
      </c>
      <c r="J18" s="4">
        <v>14945.879000000001</v>
      </c>
      <c r="K18" s="4">
        <v>7791.8689999999997</v>
      </c>
      <c r="L18" s="4">
        <v>39722.410000000003</v>
      </c>
      <c r="M18" s="4">
        <v>31396.167000000001</v>
      </c>
      <c r="N18" s="4">
        <v>28959.918000000001</v>
      </c>
      <c r="O18" s="4">
        <v>18439.612000000001</v>
      </c>
      <c r="P18" s="75">
        <f t="shared" ref="P18:P22" si="90">SUM(AU18:AX18)</f>
        <v>20546.169000000002</v>
      </c>
      <c r="Q18" s="4"/>
      <c r="R18" s="4">
        <v>976.97</v>
      </c>
      <c r="S18" s="4">
        <v>1107.8340000000001</v>
      </c>
      <c r="T18" s="4">
        <v>835.14499999999998</v>
      </c>
      <c r="U18" s="30">
        <f>H18-T18-S18-R18</f>
        <v>1020.2950000000001</v>
      </c>
      <c r="V18" s="4">
        <v>1034.336</v>
      </c>
      <c r="W18" s="4">
        <v>1489.405</v>
      </c>
      <c r="X18" s="4">
        <v>1706.0119999999999</v>
      </c>
      <c r="Y18" s="30">
        <f>I18-X18-W18-V18</f>
        <v>40926.037999999993</v>
      </c>
      <c r="Z18" s="4">
        <v>2111.748</v>
      </c>
      <c r="AA18" s="4">
        <v>6558.5879999999997</v>
      </c>
      <c r="AB18" s="4">
        <v>1661.5540000000001</v>
      </c>
      <c r="AC18" s="30">
        <f>J18-AB18-AA18-Z18</f>
        <v>4613.9890000000014</v>
      </c>
      <c r="AD18" s="4">
        <v>3814.4670000000001</v>
      </c>
      <c r="AE18" s="4">
        <v>-3261.9560000000001</v>
      </c>
      <c r="AF18" s="4">
        <v>450.267</v>
      </c>
      <c r="AG18" s="30">
        <f>K18-AF18-AE18-AD18</f>
        <v>6789.0910000000003</v>
      </c>
      <c r="AH18" s="4">
        <v>11305.46</v>
      </c>
      <c r="AI18" s="4">
        <v>13023.549000000001</v>
      </c>
      <c r="AJ18" s="4">
        <v>6147.2809999999999</v>
      </c>
      <c r="AK18" s="30">
        <f>L18-AH18-AI18-AJ18</f>
        <v>9246.1200000000026</v>
      </c>
      <c r="AL18" s="4">
        <v>11628.985000000001</v>
      </c>
      <c r="AM18" s="4">
        <v>8522.3619999999992</v>
      </c>
      <c r="AN18" s="4">
        <v>5942.2039999999997</v>
      </c>
      <c r="AO18" s="30">
        <f>M18-SUM(AL18:AN18)</f>
        <v>5302.6160000000018</v>
      </c>
      <c r="AP18" s="4">
        <v>3958.79</v>
      </c>
      <c r="AQ18" s="4">
        <v>6152.4589999999998</v>
      </c>
      <c r="AR18" s="4">
        <v>6154.5119999999997</v>
      </c>
      <c r="AS18" s="30">
        <f t="shared" ref="AS18:AS22" si="91">N18-SUM(AP18:AR18)</f>
        <v>12694.157000000003</v>
      </c>
      <c r="AT18" s="4">
        <v>3723.2820000000002</v>
      </c>
      <c r="AU18" s="4">
        <v>3804.21</v>
      </c>
      <c r="AV18" s="4">
        <v>4599.6059999999998</v>
      </c>
      <c r="AW18" s="30">
        <f t="shared" ref="AW18:AW22" si="92">O18-SUM(AT18:AV18)</f>
        <v>6312.514000000001</v>
      </c>
      <c r="AX18" s="4">
        <v>5829.8389999999999</v>
      </c>
      <c r="AY18" s="4"/>
      <c r="AZ18" s="4">
        <v>16158.245000000001</v>
      </c>
      <c r="BA18" s="4">
        <v>12053.217000000001</v>
      </c>
      <c r="BC18" s="75">
        <f t="shared" ref="BC18:BC22" si="93">BZ18</f>
        <v>10920.926046248349</v>
      </c>
      <c r="BD18" s="75">
        <f>(CA18-BC18)</f>
        <v>13277.011518973193</v>
      </c>
      <c r="BE18" s="75">
        <f>CB18-BC18-BD18</f>
        <v>15524.47243477846</v>
      </c>
      <c r="BF18" s="4">
        <v>0</v>
      </c>
      <c r="BG18" s="75">
        <f t="shared" ref="BG18:BG22" si="94">CC18</f>
        <v>10615.596119751133</v>
      </c>
      <c r="BH18" s="75">
        <f>(CD18-BG18)</f>
        <v>8012.2531442070122</v>
      </c>
      <c r="BI18" s="75">
        <f>CE18-BG18-BH18</f>
        <v>12768.317736041854</v>
      </c>
      <c r="BJ18" s="4">
        <v>0</v>
      </c>
      <c r="BK18" s="75">
        <f t="shared" ref="BK18:BK22" si="95">CF18</f>
        <v>4268.2669811446676</v>
      </c>
      <c r="BL18" s="75">
        <f t="shared" ref="BL18:BL22" si="96">(CG18-BK18)</f>
        <v>6500.037810721723</v>
      </c>
      <c r="BM18" s="75">
        <f>CH18-BK18-BL18</f>
        <v>5389.9402081336111</v>
      </c>
      <c r="BN18" s="30">
        <f t="shared" ref="BN18:BN22" si="97">N18-AZ18</f>
        <v>12801.673000000001</v>
      </c>
      <c r="BP18" s="75">
        <f>AH18</f>
        <v>11305.46</v>
      </c>
      <c r="BQ18" s="4">
        <v>25049.965</v>
      </c>
      <c r="BR18" s="4">
        <v>31773.86</v>
      </c>
      <c r="BS18" s="75">
        <f>AL18</f>
        <v>11628.985000000001</v>
      </c>
      <c r="BT18" s="4">
        <v>20406.106</v>
      </c>
      <c r="BU18" s="4">
        <v>27043.9</v>
      </c>
      <c r="BV18" s="75">
        <f>AP18</f>
        <v>3958.79</v>
      </c>
      <c r="BW18" s="4">
        <v>9987.5329999999994</v>
      </c>
      <c r="BX18" s="4">
        <v>16158.245000000001</v>
      </c>
      <c r="BY18" s="4"/>
      <c r="BZ18" s="30">
        <f t="shared" ref="BZ18:CA22" si="98">BP18*BZ$6</f>
        <v>10920.926046248349</v>
      </c>
      <c r="CA18" s="30">
        <f t="shared" si="98"/>
        <v>24197.937565221542</v>
      </c>
      <c r="CB18" s="30">
        <f>L18-BF18</f>
        <v>39722.410000000003</v>
      </c>
      <c r="CC18" s="30">
        <f t="shared" ref="CC18:CD22" si="99">BS18*CC$6</f>
        <v>10615.596119751133</v>
      </c>
      <c r="CD18" s="30">
        <f t="shared" si="99"/>
        <v>18627.849263958145</v>
      </c>
      <c r="CE18" s="30">
        <f>M18-BJ18</f>
        <v>31396.167000000001</v>
      </c>
      <c r="CF18" s="30">
        <f>BV18*CF$6</f>
        <v>4268.2669811446676</v>
      </c>
      <c r="CG18" s="30">
        <f t="shared" ref="CG18:CG22" si="100">BW18*CG$6</f>
        <v>10768.304791866391</v>
      </c>
      <c r="CH18" s="30">
        <f t="shared" ref="CH18:CH22" si="101">BX18</f>
        <v>16158.245000000001</v>
      </c>
    </row>
    <row r="19" spans="2:86" ht="13.5" customHeight="1">
      <c r="B19" s="6" t="s">
        <v>221</v>
      </c>
      <c r="C19" s="4"/>
      <c r="D19" s="4">
        <v>-65081.430999999997</v>
      </c>
      <c r="E19" s="4">
        <v>-55669.216999999997</v>
      </c>
      <c r="F19" s="4">
        <v>-51374.970999999998</v>
      </c>
      <c r="G19" s="4">
        <v>-55220.368999999999</v>
      </c>
      <c r="H19" s="4">
        <v>-55014.66</v>
      </c>
      <c r="I19" s="4">
        <v>-46209.02</v>
      </c>
      <c r="J19" s="4">
        <v>-54772.837</v>
      </c>
      <c r="K19" s="4">
        <v>-52992.455999999998</v>
      </c>
      <c r="L19" s="4">
        <v>-59547.953000000001</v>
      </c>
      <c r="M19" s="4">
        <v>-65288.351999999999</v>
      </c>
      <c r="N19" s="4">
        <v>-70413.883000000002</v>
      </c>
      <c r="O19" s="4">
        <v>-68218.413</v>
      </c>
      <c r="P19" s="75">
        <f t="shared" si="90"/>
        <v>-67157.682000000001</v>
      </c>
      <c r="Q19" s="75"/>
      <c r="R19" s="4">
        <v>-11103.406000000001</v>
      </c>
      <c r="S19" s="4">
        <v>-10810.241</v>
      </c>
      <c r="T19" s="4">
        <v>-10738.539000000001</v>
      </c>
      <c r="U19" s="30">
        <f>H19-T19-S19-R19</f>
        <v>-22362.473999999995</v>
      </c>
      <c r="V19" s="4">
        <v>-11025.787</v>
      </c>
      <c r="W19" s="4">
        <v>-11046.152</v>
      </c>
      <c r="X19" s="4">
        <v>-11412.031999999999</v>
      </c>
      <c r="Y19" s="30">
        <f>I19-X19-W19-V19</f>
        <v>-12725.048999999995</v>
      </c>
      <c r="Z19" s="4">
        <v>-12394.064</v>
      </c>
      <c r="AA19" s="4">
        <v>-11106.064</v>
      </c>
      <c r="AB19" s="4">
        <v>-14051.536</v>
      </c>
      <c r="AC19" s="30">
        <f>J19-AB19-AA19-Z19</f>
        <v>-17221.173000000003</v>
      </c>
      <c r="AD19" s="4">
        <v>-12887.290999999999</v>
      </c>
      <c r="AE19" s="4">
        <v>-13150.883</v>
      </c>
      <c r="AF19" s="4">
        <v>-13547.048000000001</v>
      </c>
      <c r="AG19" s="30">
        <f>K19-AF19-AE19-AD19</f>
        <v>-13407.233999999995</v>
      </c>
      <c r="AH19" s="4">
        <v>-13614.476000000001</v>
      </c>
      <c r="AI19" s="4">
        <v>-14487.217000000001</v>
      </c>
      <c r="AJ19" s="4">
        <v>-16082.121999999999</v>
      </c>
      <c r="AK19" s="30">
        <f>L19-AH19-AI19-AJ19</f>
        <v>-15364.137999999999</v>
      </c>
      <c r="AL19" s="4">
        <v>-13916.563</v>
      </c>
      <c r="AM19" s="4">
        <v>-15713.971</v>
      </c>
      <c r="AN19" s="4">
        <v>-21981.178</v>
      </c>
      <c r="AO19" s="30">
        <f>M19-SUM(AL19:AN19)</f>
        <v>-13676.64</v>
      </c>
      <c r="AP19" s="4">
        <v>-15561.409</v>
      </c>
      <c r="AQ19" s="4">
        <v>-15719.6</v>
      </c>
      <c r="AR19" s="4">
        <v>-18917.084999999999</v>
      </c>
      <c r="AS19" s="30">
        <f t="shared" si="91"/>
        <v>-20215.789000000004</v>
      </c>
      <c r="AT19" s="4">
        <v>-17448.907999999999</v>
      </c>
      <c r="AU19" s="4">
        <v>-16452.803</v>
      </c>
      <c r="AV19" s="4">
        <v>-17663.862000000001</v>
      </c>
      <c r="AW19" s="30">
        <f t="shared" si="92"/>
        <v>-16652.840000000004</v>
      </c>
      <c r="AX19" s="4">
        <v>-16388.177</v>
      </c>
      <c r="AY19" s="4"/>
      <c r="AZ19" s="4">
        <v>-50239.798000000003</v>
      </c>
      <c r="BA19" s="4">
        <v>-51372.724000000002</v>
      </c>
      <c r="BC19" s="75">
        <f t="shared" si="93"/>
        <v>-13151.405210793993</v>
      </c>
      <c r="BD19" s="75">
        <f>(CA19-BC19)</f>
        <v>-14007.170090913267</v>
      </c>
      <c r="BE19" s="75">
        <f>CB19-BC19-BD19</f>
        <v>-25919.377698292741</v>
      </c>
      <c r="BF19" s="4">
        <v>-6470</v>
      </c>
      <c r="BG19" s="75">
        <f t="shared" si="94"/>
        <v>-12703.826875954539</v>
      </c>
      <c r="BH19" s="75">
        <f>(CD19-BG19)</f>
        <v>-14355.399050629967</v>
      </c>
      <c r="BI19" s="75">
        <f>CE19-BG19-BH19</f>
        <v>-29982.126073415493</v>
      </c>
      <c r="BJ19" s="4">
        <v>-8247</v>
      </c>
      <c r="BK19" s="75">
        <f t="shared" si="95"/>
        <v>-16777.916538838246</v>
      </c>
      <c r="BL19" s="75">
        <f t="shared" si="96"/>
        <v>-17012.492838807098</v>
      </c>
      <c r="BM19" s="75">
        <f>CH19-BK19-BL19</f>
        <v>-16449.388622354658</v>
      </c>
      <c r="BN19" s="30">
        <f t="shared" si="97"/>
        <v>-20174.084999999999</v>
      </c>
      <c r="BP19" s="75">
        <f>AH19</f>
        <v>-13614.476000000001</v>
      </c>
      <c r="BQ19" s="4">
        <v>-28114.848999999998</v>
      </c>
      <c r="BR19" s="4">
        <v>-44214.01</v>
      </c>
      <c r="BS19" s="75">
        <f>AL19</f>
        <v>-13916.563</v>
      </c>
      <c r="BT19" s="4">
        <v>-29642.361000000001</v>
      </c>
      <c r="BU19" s="4">
        <v>-51726.114000000001</v>
      </c>
      <c r="BV19" s="75">
        <f>AP19</f>
        <v>-15561.409</v>
      </c>
      <c r="BW19" s="4">
        <v>-31340.385999999999</v>
      </c>
      <c r="BX19" s="4">
        <v>-50239.798000000003</v>
      </c>
      <c r="BY19" s="4"/>
      <c r="BZ19" s="30">
        <f t="shared" si="98"/>
        <v>-13151.405210793993</v>
      </c>
      <c r="CA19" s="30">
        <f t="shared" si="98"/>
        <v>-27158.57530170726</v>
      </c>
      <c r="CB19" s="30">
        <f>L19-BF19</f>
        <v>-53077.953000000001</v>
      </c>
      <c r="CC19" s="30">
        <f t="shared" si="99"/>
        <v>-12703.826875954539</v>
      </c>
      <c r="CD19" s="30">
        <f t="shared" si="99"/>
        <v>-27059.225926584506</v>
      </c>
      <c r="CE19" s="30">
        <f>M19-BJ19</f>
        <v>-57041.351999999999</v>
      </c>
      <c r="CF19" s="30">
        <f>BV19*CF$6</f>
        <v>-16777.916538838246</v>
      </c>
      <c r="CG19" s="30">
        <f t="shared" si="100"/>
        <v>-33790.409377645345</v>
      </c>
      <c r="CH19" s="30">
        <f t="shared" si="101"/>
        <v>-50239.798000000003</v>
      </c>
    </row>
    <row r="20" spans="2:86" ht="13.5" customHeight="1">
      <c r="B20" s="6" t="s">
        <v>222</v>
      </c>
      <c r="C20" s="4"/>
      <c r="D20" s="4">
        <v>1629.316</v>
      </c>
      <c r="E20" s="4">
        <v>-2327.8290000000002</v>
      </c>
      <c r="F20" s="4">
        <v>-262.58199999999999</v>
      </c>
      <c r="G20" s="4">
        <v>-80.36</v>
      </c>
      <c r="H20" s="4">
        <v>1411.1790000000001</v>
      </c>
      <c r="I20" s="4">
        <v>-3415.0830000000001</v>
      </c>
      <c r="J20" s="4">
        <v>2228.7629999999999</v>
      </c>
      <c r="K20" s="4">
        <v>3093.1019999999999</v>
      </c>
      <c r="L20" s="4">
        <v>1409.069</v>
      </c>
      <c r="M20" s="4">
        <v>2716.1689999999999</v>
      </c>
      <c r="N20" s="4">
        <v>997.64400000000001</v>
      </c>
      <c r="O20" s="4">
        <v>2913.8960000000002</v>
      </c>
      <c r="P20" s="75">
        <f t="shared" si="90"/>
        <v>2519.6810000000005</v>
      </c>
      <c r="Q20" s="75"/>
      <c r="R20" s="4">
        <v>946.66700000000003</v>
      </c>
      <c r="S20" s="4">
        <v>-163.13499999999999</v>
      </c>
      <c r="T20" s="4">
        <v>70.238</v>
      </c>
      <c r="U20" s="30">
        <f>H20-T20-S20-R20</f>
        <v>557.40899999999999</v>
      </c>
      <c r="V20" s="4">
        <v>616.43200000000002</v>
      </c>
      <c r="W20" s="4">
        <v>-608.54700000000003</v>
      </c>
      <c r="X20" s="4">
        <v>452.45400000000001</v>
      </c>
      <c r="Y20" s="30">
        <f>I20-X20-W20-V20</f>
        <v>-3875.4220000000005</v>
      </c>
      <c r="Z20" s="4">
        <v>1035.394</v>
      </c>
      <c r="AA20" s="4">
        <v>239.245</v>
      </c>
      <c r="AB20" s="4">
        <v>60.116999999999997</v>
      </c>
      <c r="AC20" s="30">
        <f>J20-AB20-AA20-Z20</f>
        <v>894.00699999999983</v>
      </c>
      <c r="AD20" s="4">
        <v>668.10699999999997</v>
      </c>
      <c r="AE20" s="4">
        <v>319.45999999999998</v>
      </c>
      <c r="AF20" s="4">
        <v>537.83399999999995</v>
      </c>
      <c r="AG20" s="30">
        <f>K20-AF20-AE20-AD20</f>
        <v>1567.701</v>
      </c>
      <c r="AH20" s="4">
        <v>-512.99800000000005</v>
      </c>
      <c r="AI20" s="4">
        <v>546.39200000000005</v>
      </c>
      <c r="AJ20" s="4">
        <v>251.667</v>
      </c>
      <c r="AK20" s="30">
        <f>L20-AH20-AI20-AJ20</f>
        <v>1124.008</v>
      </c>
      <c r="AL20" s="4">
        <v>1070.261</v>
      </c>
      <c r="AM20" s="4">
        <v>-230.04900000000001</v>
      </c>
      <c r="AN20" s="4">
        <v>-845.51300000000003</v>
      </c>
      <c r="AO20" s="30">
        <f>M20-SUM(AL20:AN20)</f>
        <v>2721.47</v>
      </c>
      <c r="AP20" s="4">
        <v>1175.694</v>
      </c>
      <c r="AQ20" s="4">
        <v>-75.936000000000007</v>
      </c>
      <c r="AR20" s="4">
        <v>760.37599999999998</v>
      </c>
      <c r="AS20" s="30">
        <f t="shared" si="91"/>
        <v>-862.49</v>
      </c>
      <c r="AT20" s="4">
        <v>1379.877</v>
      </c>
      <c r="AU20" s="4">
        <v>139.416</v>
      </c>
      <c r="AV20" s="4">
        <v>-384.77800000000002</v>
      </c>
      <c r="AW20" s="30">
        <f t="shared" si="92"/>
        <v>1779.3810000000003</v>
      </c>
      <c r="AX20" s="4">
        <v>985.66200000000003</v>
      </c>
      <c r="AY20" s="4"/>
      <c r="AZ20" s="4">
        <v>1860.133</v>
      </c>
      <c r="BA20" s="4">
        <v>1134.5150000000001</v>
      </c>
      <c r="BC20" s="75">
        <f t="shared" si="93"/>
        <v>-495.54933809622179</v>
      </c>
      <c r="BD20" s="75">
        <f>(CA20-BC20)</f>
        <v>527.80653802106974</v>
      </c>
      <c r="BE20" s="75">
        <f>CB20-BC20-BD20</f>
        <v>252.81180007515206</v>
      </c>
      <c r="BF20" s="4">
        <v>1124</v>
      </c>
      <c r="BG20" s="75">
        <f t="shared" si="94"/>
        <v>976.99485541695742</v>
      </c>
      <c r="BH20" s="75">
        <f>(CD20-BG20)</f>
        <v>-210.00175610791723</v>
      </c>
      <c r="BI20" s="75">
        <f>CE20-BG20-BH20</f>
        <v>-771.82409930904032</v>
      </c>
      <c r="BJ20" s="4">
        <v>2721</v>
      </c>
      <c r="BK20" s="75">
        <f t="shared" si="95"/>
        <v>1267.6034546237358</v>
      </c>
      <c r="BL20" s="75">
        <f t="shared" si="96"/>
        <v>-81.872269425809691</v>
      </c>
      <c r="BM20" s="75">
        <f>CH20-BK20-BL20</f>
        <v>674.40181480207389</v>
      </c>
      <c r="BN20" s="30">
        <f t="shared" si="97"/>
        <v>-862.48900000000003</v>
      </c>
      <c r="BP20" s="75">
        <f>AH20</f>
        <v>-512.99800000000005</v>
      </c>
      <c r="BQ20" s="4">
        <v>33.393000000000001</v>
      </c>
      <c r="BR20" s="4">
        <v>285.06</v>
      </c>
      <c r="BS20" s="75">
        <f>AL20</f>
        <v>1070.261</v>
      </c>
      <c r="BT20" s="4">
        <v>840.21199999999999</v>
      </c>
      <c r="BU20" s="4">
        <v>-5.3010000000000002</v>
      </c>
      <c r="BV20" s="75">
        <f>AP20</f>
        <v>1175.694</v>
      </c>
      <c r="BW20" s="4">
        <v>1099.758</v>
      </c>
      <c r="BX20" s="4">
        <v>1860.133</v>
      </c>
      <c r="BY20" s="4"/>
      <c r="BZ20" s="30">
        <f t="shared" si="98"/>
        <v>-495.54933809622179</v>
      </c>
      <c r="CA20" s="30">
        <f t="shared" si="98"/>
        <v>32.257199924847917</v>
      </c>
      <c r="CB20" s="30">
        <f>L20-BF20</f>
        <v>285.06899999999996</v>
      </c>
      <c r="CC20" s="30">
        <f t="shared" si="99"/>
        <v>976.99485541695742</v>
      </c>
      <c r="CD20" s="30">
        <f t="shared" si="99"/>
        <v>766.99309930904019</v>
      </c>
      <c r="CE20" s="30">
        <f>M20-BJ20</f>
        <v>-4.831000000000131</v>
      </c>
      <c r="CF20" s="30">
        <f>BV20*CF$6</f>
        <v>1267.6034546237358</v>
      </c>
      <c r="CG20" s="30">
        <f t="shared" si="100"/>
        <v>1185.7311851979262</v>
      </c>
      <c r="CH20" s="30">
        <f t="shared" si="101"/>
        <v>1860.133</v>
      </c>
    </row>
    <row r="21" spans="2:86" ht="13.5" customHeight="1">
      <c r="B21" s="6" t="s">
        <v>223</v>
      </c>
      <c r="C21" s="4"/>
      <c r="D21" s="4">
        <v>-2675.027</v>
      </c>
      <c r="E21" s="4">
        <v>-2856.37</v>
      </c>
      <c r="F21" s="4">
        <v>-67.518000000000001</v>
      </c>
      <c r="G21" s="4">
        <v>-1370.91</v>
      </c>
      <c r="H21" s="4">
        <v>-1449.2560000000001</v>
      </c>
      <c r="I21" s="4">
        <v>-4130.5429999999997</v>
      </c>
      <c r="J21" s="4">
        <v>-3088.2779999999998</v>
      </c>
      <c r="K21" s="4">
        <v>-5508.3109999999997</v>
      </c>
      <c r="L21" s="4">
        <v>-11607.727999999999</v>
      </c>
      <c r="M21" s="4">
        <v>-17216.13</v>
      </c>
      <c r="N21" s="4">
        <v>-7406.7039999999997</v>
      </c>
      <c r="O21" s="4">
        <v>-3424.89</v>
      </c>
      <c r="P21" s="75">
        <f t="shared" si="90"/>
        <v>5834.0990000000002</v>
      </c>
      <c r="Q21" s="75"/>
      <c r="R21" s="4">
        <v>-3.6659999999999999</v>
      </c>
      <c r="S21" s="4">
        <v>1028.915</v>
      </c>
      <c r="T21" s="4">
        <v>-2190.402</v>
      </c>
      <c r="U21" s="30">
        <f>H21-T21-S21-R21</f>
        <v>-284.10300000000001</v>
      </c>
      <c r="V21" s="4">
        <v>-776.601</v>
      </c>
      <c r="W21" s="4">
        <v>319.03699999999998</v>
      </c>
      <c r="X21" s="4">
        <v>-248.309</v>
      </c>
      <c r="Y21" s="30">
        <f>I21-X21-W21-V21</f>
        <v>-3424.6699999999996</v>
      </c>
      <c r="Z21" s="4">
        <v>-799.50099999999998</v>
      </c>
      <c r="AA21" s="4">
        <v>-2328.268</v>
      </c>
      <c r="AB21" s="4">
        <v>772.02700000000004</v>
      </c>
      <c r="AC21" s="30">
        <f>J21-AB21-AA21-Z21</f>
        <v>-732.53599999999983</v>
      </c>
      <c r="AD21" s="4">
        <v>121.65900000000001</v>
      </c>
      <c r="AE21" s="4">
        <v>-8193.7080000000005</v>
      </c>
      <c r="AF21" s="4">
        <v>2940.6019999999999</v>
      </c>
      <c r="AG21" s="30">
        <f>K21-AF21-AE21-AD21</f>
        <v>-376.86399999999992</v>
      </c>
      <c r="AH21" s="4">
        <v>-2233.683</v>
      </c>
      <c r="AI21" s="4">
        <v>5559.6989999999996</v>
      </c>
      <c r="AJ21" s="4">
        <v>-4526.1589999999997</v>
      </c>
      <c r="AK21" s="30">
        <f>L21-AH21-AI21-AJ21</f>
        <v>-10407.584999999999</v>
      </c>
      <c r="AL21" s="4">
        <v>-4502.9709999999995</v>
      </c>
      <c r="AM21" s="4">
        <v>-4242.335</v>
      </c>
      <c r="AN21" s="4">
        <v>3171.779</v>
      </c>
      <c r="AO21" s="30">
        <f>M21-SUM(AL21:AN21)</f>
        <v>-11642.603000000001</v>
      </c>
      <c r="AP21" s="4">
        <v>-307.48099999999999</v>
      </c>
      <c r="AQ21" s="4">
        <v>-7988.58</v>
      </c>
      <c r="AR21" s="4">
        <v>-950.64499999999998</v>
      </c>
      <c r="AS21" s="30">
        <f t="shared" si="91"/>
        <v>1840.0020000000004</v>
      </c>
      <c r="AT21" s="4">
        <v>-898.29300000000001</v>
      </c>
      <c r="AU21" s="4">
        <v>-2606.7730000000001</v>
      </c>
      <c r="AV21" s="4">
        <v>3974.6379999999999</v>
      </c>
      <c r="AW21" s="30">
        <f t="shared" si="92"/>
        <v>-3894.4619999999995</v>
      </c>
      <c r="AX21" s="4">
        <v>8360.6959999999999</v>
      </c>
      <c r="AY21" s="4"/>
      <c r="AZ21" s="4">
        <v>-9308.5490000000009</v>
      </c>
      <c r="BA21" s="4">
        <v>695.42100000000005</v>
      </c>
      <c r="BC21" s="75">
        <f t="shared" si="93"/>
        <v>-2157.7084748220905</v>
      </c>
      <c r="BD21" s="75">
        <f>(CA21-BC21)</f>
        <v>5045.6025692169314</v>
      </c>
      <c r="BE21" s="75">
        <f>CB21-BC21-BD21</f>
        <v>1353.3779056051599</v>
      </c>
      <c r="BF21" s="4">
        <v>-15849</v>
      </c>
      <c r="BG21" s="75">
        <f t="shared" si="94"/>
        <v>-4110.5669561833538</v>
      </c>
      <c r="BH21" s="75">
        <f>(CD21-BG21)</f>
        <v>-4102.2763922210152</v>
      </c>
      <c r="BI21" s="75">
        <f>CE21-BG21-BH21</f>
        <v>1661.7133484043679</v>
      </c>
      <c r="BJ21" s="4">
        <v>-10665</v>
      </c>
      <c r="BK21" s="75">
        <f t="shared" si="95"/>
        <v>-331.51821633108693</v>
      </c>
      <c r="BL21" s="75">
        <f t="shared" si="96"/>
        <v>-8707.9108994140443</v>
      </c>
      <c r="BM21" s="75">
        <f>CH21-BK21-BL21</f>
        <v>-269.11988425486925</v>
      </c>
      <c r="BN21" s="30">
        <f t="shared" si="97"/>
        <v>1901.8450000000012</v>
      </c>
      <c r="BP21" s="75">
        <f>AH21</f>
        <v>-2233.683</v>
      </c>
      <c r="BQ21" s="4">
        <v>2989.5790000000002</v>
      </c>
      <c r="BR21" s="4">
        <v>-1797.463</v>
      </c>
      <c r="BS21" s="75">
        <f>AL21</f>
        <v>-4502.9709999999995</v>
      </c>
      <c r="BT21" s="4">
        <v>-8996.86</v>
      </c>
      <c r="BU21" s="4">
        <v>-6580.808</v>
      </c>
      <c r="BV21" s="75">
        <f>AP21</f>
        <v>-307.48099999999999</v>
      </c>
      <c r="BW21" s="4">
        <v>-8384.0120000000006</v>
      </c>
      <c r="BX21" s="4">
        <v>-9308.5490000000009</v>
      </c>
      <c r="BY21" s="4"/>
      <c r="BZ21" s="30">
        <f t="shared" si="98"/>
        <v>-2157.7084748220905</v>
      </c>
      <c r="CA21" s="30">
        <f t="shared" si="98"/>
        <v>2887.894094394841</v>
      </c>
      <c r="CB21" s="30">
        <f>L21-BF21</f>
        <v>4241.2720000000008</v>
      </c>
      <c r="CC21" s="30">
        <f t="shared" si="99"/>
        <v>-4110.5669561833538</v>
      </c>
      <c r="CD21" s="30">
        <f t="shared" si="99"/>
        <v>-8212.843348404369</v>
      </c>
      <c r="CE21" s="30">
        <f>M21-BJ21</f>
        <v>-6551.130000000001</v>
      </c>
      <c r="CF21" s="30">
        <f>BV21*CF$6</f>
        <v>-331.51821633108693</v>
      </c>
      <c r="CG21" s="30">
        <f t="shared" si="100"/>
        <v>-9039.4291157451316</v>
      </c>
      <c r="CH21" s="30">
        <f t="shared" si="101"/>
        <v>-9308.5490000000009</v>
      </c>
    </row>
    <row r="22" spans="2:86" ht="13.5" customHeight="1">
      <c r="B22" s="6" t="s">
        <v>224</v>
      </c>
      <c r="C22" s="4"/>
      <c r="D22" s="4">
        <v>-12461.548000000001</v>
      </c>
      <c r="E22" s="4">
        <v>-7308.3429999999998</v>
      </c>
      <c r="F22" s="4">
        <v>-6378.375</v>
      </c>
      <c r="G22" s="4">
        <v>-3762.93</v>
      </c>
      <c r="H22" s="4">
        <v>-5085.1400000000003</v>
      </c>
      <c r="I22" s="4">
        <v>-7536.4660000000003</v>
      </c>
      <c r="J22" s="4">
        <v>-11828.762000000001</v>
      </c>
      <c r="K22" s="4">
        <v>-27738.887999999999</v>
      </c>
      <c r="L22" s="4">
        <v>-58943.642999999996</v>
      </c>
      <c r="M22" s="4">
        <v>-7398.9520000000002</v>
      </c>
      <c r="N22" s="4">
        <v>3988.5880000000002</v>
      </c>
      <c r="O22" s="4">
        <v>-5893.3670000000002</v>
      </c>
      <c r="P22" s="75">
        <f t="shared" si="90"/>
        <v>-6071.1180000000004</v>
      </c>
      <c r="Q22" s="75"/>
      <c r="R22" s="4">
        <v>-275.42099999999999</v>
      </c>
      <c r="S22" s="4">
        <v>-102.999</v>
      </c>
      <c r="T22" s="4">
        <v>44.887</v>
      </c>
      <c r="U22" s="30">
        <f>H22-T22-S22-R22</f>
        <v>-4751.607</v>
      </c>
      <c r="V22" s="4">
        <v>1204.9169999999999</v>
      </c>
      <c r="W22" s="4">
        <v>-3110.1610000000001</v>
      </c>
      <c r="X22" s="4">
        <v>204.88900000000001</v>
      </c>
      <c r="Y22" s="30">
        <f>I22-X22-W22-V22</f>
        <v>-5836.1110000000008</v>
      </c>
      <c r="Z22" s="4">
        <v>-6378.3310000000001</v>
      </c>
      <c r="AA22" s="4">
        <v>-1475.2090000000001</v>
      </c>
      <c r="AB22" s="4">
        <v>-1329.192</v>
      </c>
      <c r="AC22" s="30">
        <f>J22-AB22-AA22-Z22</f>
        <v>-2646.0299999999988</v>
      </c>
      <c r="AD22" s="4">
        <v>-4860.3530000000001</v>
      </c>
      <c r="AE22" s="4">
        <v>-4360.2569999999996</v>
      </c>
      <c r="AF22" s="4">
        <v>-3914.7750000000001</v>
      </c>
      <c r="AG22" s="30">
        <f>K22-AF22-AE22-AD22</f>
        <v>-14603.503000000001</v>
      </c>
      <c r="AH22" s="4">
        <v>-11894.713</v>
      </c>
      <c r="AI22" s="4">
        <v>-20983.249</v>
      </c>
      <c r="AJ22" s="4">
        <v>-7057.2470000000003</v>
      </c>
      <c r="AK22" s="30">
        <f>L22-AH22-AI22-AJ22</f>
        <v>-19008.433999999994</v>
      </c>
      <c r="AL22" s="4">
        <v>-7132.2389999999996</v>
      </c>
      <c r="AM22" s="4">
        <v>-521.26700000000005</v>
      </c>
      <c r="AN22" s="4">
        <v>17295.849999999999</v>
      </c>
      <c r="AO22" s="30">
        <f>M22-SUM(AL22:AN22)</f>
        <v>-17041.295999999998</v>
      </c>
      <c r="AP22" s="4">
        <v>6713.7879999999996</v>
      </c>
      <c r="AQ22" s="4">
        <v>2689.04</v>
      </c>
      <c r="AR22" s="4">
        <v>-2675.46</v>
      </c>
      <c r="AS22" s="30">
        <f t="shared" si="91"/>
        <v>-2738.7799999999993</v>
      </c>
      <c r="AT22" s="4">
        <v>-1229.8109999999999</v>
      </c>
      <c r="AU22" s="4">
        <v>158.80099999999999</v>
      </c>
      <c r="AV22" s="4">
        <v>188.988</v>
      </c>
      <c r="AW22" s="30">
        <f t="shared" si="92"/>
        <v>-5011.3450000000003</v>
      </c>
      <c r="AX22" s="4">
        <v>-1407.5619999999999</v>
      </c>
      <c r="AY22" s="4"/>
      <c r="AZ22" s="4">
        <v>1963.18</v>
      </c>
      <c r="BA22" s="4">
        <v>-4057.2649999999999</v>
      </c>
      <c r="BC22" s="75">
        <f t="shared" si="93"/>
        <v>-11490.136713972615</v>
      </c>
      <c r="BD22" s="75">
        <f>(CA22-BC22)</f>
        <v>-23782.802771040035</v>
      </c>
      <c r="BE22" s="75">
        <f>CB22-BC22-BD22</f>
        <v>-23670.703514987348</v>
      </c>
      <c r="BF22" s="4">
        <v>0</v>
      </c>
      <c r="BG22" s="75">
        <f t="shared" si="94"/>
        <v>-6510.711696122894</v>
      </c>
      <c r="BH22" s="75">
        <f>(CD22-BG22)</f>
        <v>-3661.545557242699</v>
      </c>
      <c r="BI22" s="75">
        <f>CE22-BG22-BH22</f>
        <v>2773.3052533655928</v>
      </c>
      <c r="BJ22" s="4">
        <v>0</v>
      </c>
      <c r="BK22" s="75">
        <f t="shared" si="95"/>
        <v>7238.6359566446554</v>
      </c>
      <c r="BL22" s="75">
        <f t="shared" si="96"/>
        <v>460.55631353688932</v>
      </c>
      <c r="BM22" s="75">
        <f>CH22-BK22-BL22</f>
        <v>-5736.0122701815444</v>
      </c>
      <c r="BN22" s="30">
        <f t="shared" si="97"/>
        <v>2025.4080000000001</v>
      </c>
      <c r="BP22" s="75">
        <f>AH22</f>
        <v>-11894.713</v>
      </c>
      <c r="BQ22" s="4">
        <v>-36514.925999999999</v>
      </c>
      <c r="BR22" s="4">
        <v>-48999.898999999998</v>
      </c>
      <c r="BS22" s="75">
        <f>AL22</f>
        <v>-7132.2389999999996</v>
      </c>
      <c r="BT22" s="4">
        <v>-11143.324000000001</v>
      </c>
      <c r="BU22" s="4">
        <v>-169.71299999999999</v>
      </c>
      <c r="BV22" s="75">
        <f>AP22</f>
        <v>6713.7879999999996</v>
      </c>
      <c r="BW22" s="4">
        <v>7140.951</v>
      </c>
      <c r="BX22" s="4">
        <v>1963.18</v>
      </c>
      <c r="BY22" s="4"/>
      <c r="BZ22" s="30">
        <f t="shared" si="98"/>
        <v>-11490.136713972615</v>
      </c>
      <c r="CA22" s="30">
        <f t="shared" si="98"/>
        <v>-35272.939485012648</v>
      </c>
      <c r="CB22" s="30">
        <f>L22-BF22</f>
        <v>-58943.642999999996</v>
      </c>
      <c r="CC22" s="30">
        <f t="shared" si="99"/>
        <v>-6510.711696122894</v>
      </c>
      <c r="CD22" s="30">
        <f t="shared" si="99"/>
        <v>-10172.257253365593</v>
      </c>
      <c r="CE22" s="30">
        <f>M22-BJ22</f>
        <v>-7398.9520000000002</v>
      </c>
      <c r="CF22" s="30">
        <f>BV22*CF$6</f>
        <v>7238.6359566446554</v>
      </c>
      <c r="CG22" s="30">
        <f t="shared" si="100"/>
        <v>7699.1922701815447</v>
      </c>
      <c r="CH22" s="30">
        <f t="shared" si="101"/>
        <v>1963.18</v>
      </c>
    </row>
    <row r="23" spans="2:86" s="5" customFormat="1" ht="13.5" customHeight="1">
      <c r="B23" s="5" t="s">
        <v>225</v>
      </c>
      <c r="C23" s="7"/>
      <c r="D23" s="7">
        <f>SUM(D17,D18,D19,D20,D21,D22)</f>
        <v>97826.874000000113</v>
      </c>
      <c r="E23" s="7">
        <f t="shared" ref="E23:X23" si="102">SUM(E17,E18,E19,E20,E21,E22)</f>
        <v>129740.4880000001</v>
      </c>
      <c r="F23" s="7">
        <f t="shared" si="102"/>
        <v>140856.20400000011</v>
      </c>
      <c r="G23" s="7">
        <f t="shared" si="102"/>
        <v>170798.35900000008</v>
      </c>
      <c r="H23" s="7">
        <f t="shared" si="102"/>
        <v>153015.60100000017</v>
      </c>
      <c r="I23" s="7">
        <f t="shared" ref="I23:J23" si="103">SUM(I17,I18,I19,I20,I21,I22)</f>
        <v>236413.11599999998</v>
      </c>
      <c r="J23" s="7">
        <f t="shared" si="103"/>
        <v>178022.71900000001</v>
      </c>
      <c r="K23" s="7">
        <f t="shared" ref="K23:L23" si="104">SUM(K17,K18,K19,K20,K21,K22)</f>
        <v>203208.98799999981</v>
      </c>
      <c r="L23" s="7">
        <f t="shared" si="104"/>
        <v>232803.62500000006</v>
      </c>
      <c r="M23" s="7">
        <f t="shared" ref="M23:N23" si="105">SUM(M17,M18,M19,M20,M21,M22)</f>
        <v>260505.79400000023</v>
      </c>
      <c r="N23" s="7">
        <f t="shared" si="105"/>
        <v>368036.77099999983</v>
      </c>
      <c r="O23" s="7">
        <f t="shared" ref="O23" si="106">SUM(O17,O18,O19,O20,O21,O22)</f>
        <v>380634.34199999971</v>
      </c>
      <c r="P23" s="7">
        <f t="shared" ref="P23" si="107">SUM(P17,P18,P19,P20,P21,P22)</f>
        <v>404084.53399999958</v>
      </c>
      <c r="Q23" s="7"/>
      <c r="R23" s="7">
        <f t="shared" si="102"/>
        <v>60184.363000000012</v>
      </c>
      <c r="S23" s="7">
        <f t="shared" si="102"/>
        <v>20884.589999999975</v>
      </c>
      <c r="T23" s="7">
        <f t="shared" si="102"/>
        <v>19381.954999999991</v>
      </c>
      <c r="U23" s="7">
        <f t="shared" si="102"/>
        <v>52564.693000000218</v>
      </c>
      <c r="V23" s="7">
        <f t="shared" si="102"/>
        <v>56610.969999999979</v>
      </c>
      <c r="W23" s="7">
        <f t="shared" si="102"/>
        <v>22861.801999999985</v>
      </c>
      <c r="X23" s="7">
        <f t="shared" si="102"/>
        <v>26876.248999999974</v>
      </c>
      <c r="Y23" s="7">
        <f t="shared" ref="Y23:Z23" si="108">SUM(Y17,Y18,Y19,Y20,Y21,Y22)</f>
        <v>130064.095</v>
      </c>
      <c r="Z23" s="7">
        <f t="shared" si="108"/>
        <v>56611.22900000005</v>
      </c>
      <c r="AA23" s="7">
        <f t="shared" ref="AA23:AD23" si="109">SUM(AA17,AA18,AA19,AA20,AA21,AA22)</f>
        <v>2778.7919999999995</v>
      </c>
      <c r="AB23" s="7">
        <f t="shared" si="109"/>
        <v>40718.85000000002</v>
      </c>
      <c r="AC23" s="7">
        <f t="shared" si="109"/>
        <v>77913.848000000013</v>
      </c>
      <c r="AD23" s="7">
        <f t="shared" si="109"/>
        <v>62720.905000000028</v>
      </c>
      <c r="AE23" s="7">
        <f t="shared" ref="AE23:AH23" si="110">SUM(AE17,AE18,AE19,AE20,AE21,AE22)</f>
        <v>15123.066000000048</v>
      </c>
      <c r="AF23" s="7">
        <f t="shared" si="110"/>
        <v>41911.737000000045</v>
      </c>
      <c r="AG23" s="7">
        <f t="shared" si="110"/>
        <v>83453.279999999664</v>
      </c>
      <c r="AH23" s="7">
        <f t="shared" si="110"/>
        <v>74639.751999999935</v>
      </c>
      <c r="AI23" s="7">
        <f t="shared" ref="AI23:AO23" si="111">SUM(AI17,AI18,AI19,AI20,AI21,AI22)</f>
        <v>31633.068000000054</v>
      </c>
      <c r="AJ23" s="7">
        <f t="shared" si="111"/>
        <v>49111.79100000007</v>
      </c>
      <c r="AK23" s="7">
        <f t="shared" si="111"/>
        <v>77419.013999999923</v>
      </c>
      <c r="AL23" s="7">
        <f t="shared" si="111"/>
        <v>81103.022999999957</v>
      </c>
      <c r="AM23" s="7">
        <f t="shared" si="111"/>
        <v>28606.816000000006</v>
      </c>
      <c r="AN23" s="7">
        <f t="shared" si="111"/>
        <v>73091.348999999929</v>
      </c>
      <c r="AO23" s="7">
        <f t="shared" si="111"/>
        <v>77704.606000000422</v>
      </c>
      <c r="AP23" s="7">
        <f t="shared" ref="AP23:AS23" si="112">SUM(AP17,AP18,AP19,AP20,AP21,AP22)</f>
        <v>111589.79300000002</v>
      </c>
      <c r="AQ23" s="7">
        <f t="shared" si="112"/>
        <v>48826.055999999953</v>
      </c>
      <c r="AR23" s="7">
        <f t="shared" si="112"/>
        <v>58021.626999999949</v>
      </c>
      <c r="AS23" s="7">
        <f t="shared" si="112"/>
        <v>149599.29499999969</v>
      </c>
      <c r="AT23" s="7">
        <f t="shared" ref="AT23:AW23" si="113">SUM(AT17,AT18,AT19,AT20,AT21,AT22)</f>
        <v>115680.86000000002</v>
      </c>
      <c r="AU23" s="7">
        <f t="shared" si="113"/>
        <v>58817.583999999981</v>
      </c>
      <c r="AV23" s="7">
        <f t="shared" si="113"/>
        <v>82876.150999999983</v>
      </c>
      <c r="AW23" s="7">
        <f t="shared" si="113"/>
        <v>123259.74699999992</v>
      </c>
      <c r="AX23" s="7">
        <f t="shared" ref="AX23" si="114">SUM(AX17,AX18,AX19,AX20,AX21,AX22)</f>
        <v>139131.05200000008</v>
      </c>
      <c r="AY23" s="7"/>
      <c r="AZ23" s="7">
        <f>SUM(AZ17,AZ18,AZ19,AZ20,AZ21,AZ22)</f>
        <v>214840.30099999995</v>
      </c>
      <c r="BA23" s="7">
        <f>SUM(BA17,BA18,BA19,BA20,BA21,BA22)</f>
        <v>250537.22399999984</v>
      </c>
      <c r="BC23" s="7">
        <f>SUM(BC17,BC18,BC19,BC20,BC21,BC22)</f>
        <v>72101.021250114325</v>
      </c>
      <c r="BD23" s="7">
        <f>SUM(BD17,BD18,BD19,BD20,BD21,BD22)</f>
        <v>34189.746517524429</v>
      </c>
      <c r="BE23" s="7">
        <f>SUM(BE17,BE18,BE19,BE20,BE21,BE22)</f>
        <v>37913.857232361261</v>
      </c>
      <c r="BF23" s="7">
        <f t="shared" ref="BF23" si="115">SUM(BF17,BF18,BF19,BF20,BF21,BF22)</f>
        <v>88599</v>
      </c>
      <c r="BG23" s="7">
        <f>SUM(BG17,BG18,BG19,BG20,BG21,BG22)</f>
        <v>74035.432693299241</v>
      </c>
      <c r="BH23" s="7">
        <f>SUM(BH17,BH18,BH19,BH20,BH21,BH22)</f>
        <v>24517.461521091856</v>
      </c>
      <c r="BI23" s="7">
        <f>SUM(BI17,BI18,BI19,BI20,BI21,BI22)</f>
        <v>49288.899785609028</v>
      </c>
      <c r="BJ23" s="7">
        <f t="shared" ref="BJ23" si="116">SUM(BJ17,BJ18,BJ19,BJ20,BJ21,BJ22)</f>
        <v>112664</v>
      </c>
      <c r="BK23" s="7">
        <f>SUM(BK17,BK18,BK19,BK20,BK21,BK22)</f>
        <v>120313.28484073875</v>
      </c>
      <c r="BL23" s="7">
        <f>SUM(BL17,BL18,BL19,BL20,BL21,BL22)</f>
        <v>51611.601121086947</v>
      </c>
      <c r="BM23" s="7">
        <f>SUM(BM17,BM18,BM19,BM20,BM21,BM22)</f>
        <v>42915.415038174215</v>
      </c>
      <c r="BN23" s="7">
        <f t="shared" ref="BN23" si="117">SUM(BN17,BN18,BN19,BN20,BN21,BN22)</f>
        <v>153196.46999999991</v>
      </c>
      <c r="BP23" s="74">
        <f t="shared" ref="BP23" si="118">SUM(BP17,BP18,BP19,BP20,BP21,BP22)</f>
        <v>74639.751999999935</v>
      </c>
      <c r="BQ23" s="7">
        <f>SUM(BQ17,BQ18,BQ19,BQ20,BQ21,BQ22)</f>
        <v>110033.34499999997</v>
      </c>
      <c r="BR23" s="7">
        <f>SUM(BR17,BR18,BR19,BR20,BR21,BR22)</f>
        <v>157588.16199999992</v>
      </c>
      <c r="BS23" s="74">
        <f t="shared" ref="BS23" si="119">SUM(BS17,BS18,BS19,BS20,BS21,BS22)</f>
        <v>81103.022999999957</v>
      </c>
      <c r="BT23" s="7">
        <f>SUM(BT17,BT18,BT19,BT20,BT21,BT22)</f>
        <v>107960.97700000007</v>
      </c>
      <c r="BU23" s="7">
        <f>SUM(BU17,BU18,BU19,BU20,BU21,BU22)</f>
        <v>178250.42399999997</v>
      </c>
      <c r="BV23" s="74">
        <f t="shared" ref="BV23" si="120">SUM(BV17,BV18,BV19,BV20,BV21,BV22)</f>
        <v>111589.79300000002</v>
      </c>
      <c r="BW23" s="7">
        <f>SUM(BW17,BW18,BW19,BW20,BW21,BW22)</f>
        <v>159459.21900000001</v>
      </c>
      <c r="BX23" s="7">
        <f>SUM(BX17,BX18,BX19,BX20,BX21,BX22)</f>
        <v>214840.30099999995</v>
      </c>
      <c r="BY23" s="7"/>
      <c r="BZ23" s="7">
        <f t="shared" ref="BZ23:CE23" si="121">SUM(BZ17,BZ18,BZ19,BZ20,BZ21,BZ22)</f>
        <v>72101.021250114325</v>
      </c>
      <c r="CA23" s="7">
        <f t="shared" si="121"/>
        <v>106290.76776763881</v>
      </c>
      <c r="CB23" s="7">
        <f t="shared" si="121"/>
        <v>144204.62499999988</v>
      </c>
      <c r="CC23" s="7">
        <f t="shared" si="121"/>
        <v>74035.432693299241</v>
      </c>
      <c r="CD23" s="7">
        <f t="shared" si="121"/>
        <v>98552.894214391126</v>
      </c>
      <c r="CE23" s="7">
        <f t="shared" si="121"/>
        <v>147841.79400000023</v>
      </c>
      <c r="CF23" s="7">
        <f t="shared" ref="CF23:CG23" si="122">SUM(CF17,CF18,CF19,CF20,CF21,CF22)</f>
        <v>120313.28484073875</v>
      </c>
      <c r="CG23" s="7">
        <f t="shared" si="122"/>
        <v>171924.8859618257</v>
      </c>
      <c r="CH23" s="7">
        <f t="shared" ref="CH23" si="123">SUM(CH17,CH18,CH19,CH20,CH21,CH22)</f>
        <v>214840.30099999995</v>
      </c>
    </row>
    <row r="24" spans="2:86" s="5" customFormat="1" ht="13.5" customHeight="1">
      <c r="B24" s="6" t="s">
        <v>226</v>
      </c>
      <c r="C24" s="4"/>
      <c r="D24" s="4">
        <v>-22019.436000000002</v>
      </c>
      <c r="E24" s="4">
        <v>-41642.561999999998</v>
      </c>
      <c r="F24" s="4">
        <v>-48807.093000000001</v>
      </c>
      <c r="G24" s="4">
        <v>-51797.633999999998</v>
      </c>
      <c r="H24" s="4">
        <v>-55564.855000000003</v>
      </c>
      <c r="I24" s="4">
        <v>-61166.891000000003</v>
      </c>
      <c r="J24" s="4">
        <v>-54905.398999999998</v>
      </c>
      <c r="K24" s="4">
        <v>-46177.32</v>
      </c>
      <c r="L24" s="4">
        <v>-104344.63800000001</v>
      </c>
      <c r="M24" s="4">
        <v>-85994.307000000001</v>
      </c>
      <c r="N24" s="4">
        <v>-133392.64600000001</v>
      </c>
      <c r="O24" s="4">
        <v>-110156.927</v>
      </c>
      <c r="P24" s="75">
        <f>SUM(AU24:AX24)</f>
        <v>-112929.42600000001</v>
      </c>
      <c r="Q24" s="75"/>
      <c r="R24" s="4">
        <v>-17601.088</v>
      </c>
      <c r="S24" s="4">
        <v>-12272.842000000001</v>
      </c>
      <c r="T24" s="4">
        <v>-8729.1149999999998</v>
      </c>
      <c r="U24" s="30">
        <f>H24-T24-S24-R24</f>
        <v>-16961.810000000001</v>
      </c>
      <c r="V24" s="4">
        <v>-9959.9159999999993</v>
      </c>
      <c r="W24" s="4">
        <v>-7829.5339999999997</v>
      </c>
      <c r="X24" s="4">
        <v>-1461.97</v>
      </c>
      <c r="Y24" s="30">
        <f>I24-X24-W24-V24</f>
        <v>-41915.471000000005</v>
      </c>
      <c r="Z24" s="4">
        <v>-7622.4920000000002</v>
      </c>
      <c r="AA24" s="4">
        <v>-2198.7080000000001</v>
      </c>
      <c r="AB24" s="4">
        <v>-14412.458000000001</v>
      </c>
      <c r="AC24" s="30">
        <f>J24-AB24-AA24-Z24</f>
        <v>-30671.741000000002</v>
      </c>
      <c r="AD24" s="4">
        <v>-19382.007000000001</v>
      </c>
      <c r="AE24" s="4">
        <v>-13351.47</v>
      </c>
      <c r="AF24" s="4">
        <v>-2005.2180000000001</v>
      </c>
      <c r="AG24" s="30">
        <f>K24-AF24-AE24-AD24</f>
        <v>-11438.624999999996</v>
      </c>
      <c r="AH24" s="4">
        <v>-40426.355000000003</v>
      </c>
      <c r="AI24" s="4">
        <v>-6482.6409999999996</v>
      </c>
      <c r="AJ24" s="4">
        <v>-14576.748</v>
      </c>
      <c r="AK24" s="30">
        <f>L24-AH24-AI24-AJ24</f>
        <v>-42858.894000000008</v>
      </c>
      <c r="AL24" s="4">
        <v>-36005.56</v>
      </c>
      <c r="AM24" s="4">
        <v>-16611.370999999999</v>
      </c>
      <c r="AN24" s="4">
        <v>-9541.3179999999993</v>
      </c>
      <c r="AO24" s="30">
        <f>M24-SUM(AL24:AN24)</f>
        <v>-23836.058000000005</v>
      </c>
      <c r="AP24" s="4">
        <v>-40263.885999999999</v>
      </c>
      <c r="AQ24" s="4">
        <v>-23950.698</v>
      </c>
      <c r="AR24" s="4">
        <v>-15724.815000000001</v>
      </c>
      <c r="AS24" s="30">
        <f>N24-SUM(AP24:AR24)</f>
        <v>-53453.247000000003</v>
      </c>
      <c r="AT24" s="4">
        <v>-35999.828999999998</v>
      </c>
      <c r="AU24" s="4">
        <v>-22084.752</v>
      </c>
      <c r="AV24" s="4">
        <v>-25296.216</v>
      </c>
      <c r="AW24" s="30">
        <f>O24-SUM(AT24:AV24)</f>
        <v>-26776.130000000005</v>
      </c>
      <c r="AX24" s="4">
        <v>-38772.328000000001</v>
      </c>
      <c r="AY24" s="4"/>
      <c r="AZ24" s="4">
        <v>-80712.903999999995</v>
      </c>
      <c r="BA24" s="4">
        <v>-81790.53</v>
      </c>
      <c r="BC24" s="75">
        <f>BZ24</f>
        <v>-39051.328585867559</v>
      </c>
      <c r="BD24" s="75">
        <f>(CA24-BC24)</f>
        <v>-9128.8175243252772</v>
      </c>
      <c r="BE24" s="75">
        <f>CB24-BC24-BD24</f>
        <v>-14358.49188980717</v>
      </c>
      <c r="BF24" s="4">
        <v>-41806</v>
      </c>
      <c r="BG24" s="75">
        <f>CC24</f>
        <v>-32867.914355850196</v>
      </c>
      <c r="BH24" s="75">
        <f>(CD24-BG24)</f>
        <v>-15940.395678031957</v>
      </c>
      <c r="BI24" s="75">
        <f>CE24-BG24-BH24</f>
        <v>-6930.9969661178475</v>
      </c>
      <c r="BJ24" s="4">
        <v>-30255</v>
      </c>
      <c r="BK24" s="75">
        <f>CF24</f>
        <v>-43411.50077331029</v>
      </c>
      <c r="BL24" s="75">
        <f>(CG24-BK24)</f>
        <v>-26761.670303471161</v>
      </c>
      <c r="BM24" s="75">
        <f>CH24-BK24-BL24</f>
        <v>-10539.732923218544</v>
      </c>
      <c r="BN24" s="30">
        <f>N24-AZ24</f>
        <v>-52679.742000000013</v>
      </c>
      <c r="BP24" s="75">
        <f>AH24</f>
        <v>-40426.355000000003</v>
      </c>
      <c r="BQ24" s="4">
        <v>-49876.605000000003</v>
      </c>
      <c r="BR24" s="4">
        <v>-66039.467999999993</v>
      </c>
      <c r="BS24" s="75">
        <f>AL24</f>
        <v>-36005.56</v>
      </c>
      <c r="BT24" s="4">
        <v>-53467.661999999997</v>
      </c>
      <c r="BU24" s="4">
        <v>-64696.923000000003</v>
      </c>
      <c r="BV24" s="75">
        <f>AP24</f>
        <v>-40263.885999999999</v>
      </c>
      <c r="BW24" s="4">
        <v>-65085.161999999997</v>
      </c>
      <c r="BX24" s="4">
        <v>-80712.903999999995</v>
      </c>
      <c r="BY24" s="4"/>
      <c r="BZ24" s="30">
        <f>BP24*BZ$6</f>
        <v>-39051.328585867559</v>
      </c>
      <c r="CA24" s="30">
        <f>BQ24*CA$6</f>
        <v>-48180.146110192836</v>
      </c>
      <c r="CB24" s="30">
        <f>L24-BF24</f>
        <v>-62538.638000000006</v>
      </c>
      <c r="CC24" s="30">
        <f>BS24*CC$6</f>
        <v>-32867.914355850196</v>
      </c>
      <c r="CD24" s="30">
        <f>BT24*CD$6</f>
        <v>-48808.310033882153</v>
      </c>
      <c r="CE24" s="30">
        <f>M24-BJ24</f>
        <v>-55739.307000000001</v>
      </c>
      <c r="CF24" s="30">
        <f>BV24*CF$6</f>
        <v>-43411.50077331029</v>
      </c>
      <c r="CG24" s="30">
        <f>BW24*CG$6</f>
        <v>-70173.171076781451</v>
      </c>
      <c r="CH24" s="30">
        <f>BX24</f>
        <v>-80712.903999999995</v>
      </c>
    </row>
    <row r="25" spans="2:86" s="5" customFormat="1" ht="13.5" customHeight="1">
      <c r="B25" s="14" t="s">
        <v>227</v>
      </c>
      <c r="C25" s="74"/>
      <c r="D25" s="74">
        <f t="shared" ref="D25:H25" si="124">D23+D24</f>
        <v>75807.438000000111</v>
      </c>
      <c r="E25" s="74">
        <f t="shared" si="124"/>
        <v>88097.926000000094</v>
      </c>
      <c r="F25" s="74">
        <f t="shared" si="124"/>
        <v>92049.111000000121</v>
      </c>
      <c r="G25" s="74">
        <f t="shared" si="124"/>
        <v>119000.72500000009</v>
      </c>
      <c r="H25" s="74">
        <f t="shared" si="124"/>
        <v>97450.746000000159</v>
      </c>
      <c r="I25" s="74">
        <f t="shared" ref="I25:J25" si="125">I23+I24</f>
        <v>175246.22499999998</v>
      </c>
      <c r="J25" s="74">
        <f t="shared" si="125"/>
        <v>123117.32</v>
      </c>
      <c r="K25" s="74">
        <f t="shared" ref="K25:L25" si="126">K23+K24</f>
        <v>157031.6679999998</v>
      </c>
      <c r="L25" s="74">
        <f t="shared" si="126"/>
        <v>128458.98700000005</v>
      </c>
      <c r="M25" s="74">
        <f t="shared" ref="M25:N25" si="127">M23+M24</f>
        <v>174511.48700000023</v>
      </c>
      <c r="N25" s="74">
        <f t="shared" si="127"/>
        <v>234644.12499999983</v>
      </c>
      <c r="O25" s="74">
        <f t="shared" ref="O25" si="128">O23+O24</f>
        <v>270477.41499999969</v>
      </c>
      <c r="P25" s="74">
        <f t="shared" ref="P25" si="129">P23+P24</f>
        <v>291155.10799999954</v>
      </c>
      <c r="Q25" s="74"/>
      <c r="R25" s="74">
        <f t="shared" ref="R25:X25" si="130">R23+R24</f>
        <v>42583.275000000009</v>
      </c>
      <c r="S25" s="74">
        <f t="shared" si="130"/>
        <v>8611.7479999999741</v>
      </c>
      <c r="T25" s="74">
        <f t="shared" si="130"/>
        <v>10652.839999999991</v>
      </c>
      <c r="U25" s="74">
        <f t="shared" si="130"/>
        <v>35602.88300000022</v>
      </c>
      <c r="V25" s="74">
        <f t="shared" si="130"/>
        <v>46651.053999999982</v>
      </c>
      <c r="W25" s="74">
        <f t="shared" si="130"/>
        <v>15032.267999999985</v>
      </c>
      <c r="X25" s="74">
        <f t="shared" si="130"/>
        <v>25414.278999999973</v>
      </c>
      <c r="Y25" s="74">
        <f t="shared" ref="Y25:Z25" si="131">Y23+Y24</f>
        <v>88148.623999999996</v>
      </c>
      <c r="Z25" s="74">
        <f t="shared" si="131"/>
        <v>48988.737000000052</v>
      </c>
      <c r="AA25" s="74">
        <f t="shared" ref="AA25" si="132">AA23+AA24</f>
        <v>580.08399999999938</v>
      </c>
      <c r="AB25" s="74">
        <f>AB23+AB24</f>
        <v>26306.392000000022</v>
      </c>
      <c r="AC25" s="74">
        <f t="shared" ref="AC25:AE25" si="133">AC23+AC24</f>
        <v>47242.107000000011</v>
      </c>
      <c r="AD25" s="74">
        <f t="shared" si="133"/>
        <v>43338.89800000003</v>
      </c>
      <c r="AE25" s="74">
        <f t="shared" si="133"/>
        <v>1771.5960000000487</v>
      </c>
      <c r="AF25" s="74">
        <f>AF23+AF24</f>
        <v>39906.519000000044</v>
      </c>
      <c r="AG25" s="74">
        <f t="shared" ref="AG25:AI25" si="134">AG23+AG24</f>
        <v>72014.654999999664</v>
      </c>
      <c r="AH25" s="74">
        <f t="shared" si="134"/>
        <v>34213.396999999932</v>
      </c>
      <c r="AI25" s="74">
        <f t="shared" si="134"/>
        <v>25150.427000000054</v>
      </c>
      <c r="AJ25" s="74">
        <f>AJ23+AJ24</f>
        <v>34535.043000000071</v>
      </c>
      <c r="AK25" s="74">
        <f>AK23+AK24</f>
        <v>34560.119999999915</v>
      </c>
      <c r="AL25" s="74">
        <f t="shared" ref="AL25:AM25" si="135">AL23+AL24</f>
        <v>45097.46299999996</v>
      </c>
      <c r="AM25" s="74">
        <f t="shared" si="135"/>
        <v>11995.445000000007</v>
      </c>
      <c r="AN25" s="74">
        <f>AN23+AN24</f>
        <v>63550.03099999993</v>
      </c>
      <c r="AO25" s="74">
        <f>AO23+AO24</f>
        <v>53868.548000000417</v>
      </c>
      <c r="AP25" s="74">
        <f t="shared" ref="AP25:AQ25" si="136">AP23+AP24</f>
        <v>71325.907000000021</v>
      </c>
      <c r="AQ25" s="74">
        <f t="shared" si="136"/>
        <v>24875.357999999953</v>
      </c>
      <c r="AR25" s="74">
        <f>AR23+AR24</f>
        <v>42296.811999999947</v>
      </c>
      <c r="AS25" s="74">
        <f>AS23+AS24</f>
        <v>96146.04799999969</v>
      </c>
      <c r="AT25" s="74">
        <f t="shared" ref="AT25:AU25" si="137">AT23+AT24</f>
        <v>79681.031000000017</v>
      </c>
      <c r="AU25" s="74">
        <f t="shared" si="137"/>
        <v>36732.83199999998</v>
      </c>
      <c r="AV25" s="74">
        <f>AV23+AV24</f>
        <v>57579.934999999983</v>
      </c>
      <c r="AW25" s="74">
        <f>AW23+AW24</f>
        <v>96483.616999999911</v>
      </c>
      <c r="AX25" s="74">
        <f t="shared" ref="AX25" si="138">AX23+AX24</f>
        <v>100358.72400000007</v>
      </c>
      <c r="AY25" s="74"/>
      <c r="AZ25" s="74">
        <f>AZ23+AZ24</f>
        <v>134127.39699999994</v>
      </c>
      <c r="BA25" s="74">
        <f>BA23+BA24</f>
        <v>168746.69399999984</v>
      </c>
      <c r="BC25" s="74">
        <f t="shared" ref="BC25:BJ25" si="139">BC23+BC24</f>
        <v>33049.692664246766</v>
      </c>
      <c r="BD25" s="74">
        <f t="shared" si="139"/>
        <v>25060.928993199152</v>
      </c>
      <c r="BE25" s="74">
        <f t="shared" si="139"/>
        <v>23555.365342554091</v>
      </c>
      <c r="BF25" s="74">
        <f t="shared" si="139"/>
        <v>46793</v>
      </c>
      <c r="BG25" s="74">
        <f t="shared" si="139"/>
        <v>41167.518337449044</v>
      </c>
      <c r="BH25" s="74">
        <f t="shared" si="139"/>
        <v>8577.0658430598996</v>
      </c>
      <c r="BI25" s="74">
        <f t="shared" si="139"/>
        <v>42357.902819491181</v>
      </c>
      <c r="BJ25" s="74">
        <f t="shared" si="139"/>
        <v>82409</v>
      </c>
      <c r="BK25" s="74">
        <f t="shared" ref="BK25:BN25" si="140">BK23+BK24</f>
        <v>76901.784067428467</v>
      </c>
      <c r="BL25" s="74">
        <f t="shared" si="140"/>
        <v>24849.930817615787</v>
      </c>
      <c r="BM25" s="74">
        <f t="shared" si="140"/>
        <v>32375.682114955671</v>
      </c>
      <c r="BN25" s="74">
        <f t="shared" si="140"/>
        <v>100516.7279999999</v>
      </c>
      <c r="BP25" s="74">
        <f t="shared" ref="BP25" si="141">BP23+BP24</f>
        <v>34213.396999999932</v>
      </c>
      <c r="BQ25" s="74">
        <f>BQ23+BQ24</f>
        <v>60156.739999999969</v>
      </c>
      <c r="BR25" s="74">
        <f>BR23+BR24</f>
        <v>91548.69399999993</v>
      </c>
      <c r="BS25" s="74">
        <f t="shared" ref="BS25" si="142">BS23+BS24</f>
        <v>45097.46299999996</v>
      </c>
      <c r="BT25" s="74">
        <f>BT23+BT24</f>
        <v>54493.315000000075</v>
      </c>
      <c r="BU25" s="74">
        <f>BU23+BU24</f>
        <v>113553.50099999996</v>
      </c>
      <c r="BV25" s="74">
        <f t="shared" ref="BV25" si="143">BV23+BV24</f>
        <v>71325.907000000021</v>
      </c>
      <c r="BW25" s="74">
        <f>BW23+BW24</f>
        <v>94374.057000000015</v>
      </c>
      <c r="BX25" s="74">
        <f>BX23+BX24</f>
        <v>134127.39699999994</v>
      </c>
      <c r="BY25" s="74"/>
      <c r="BZ25" s="74">
        <f t="shared" ref="BZ25:CE25" si="144">BZ23+BZ24</f>
        <v>33049.692664246766</v>
      </c>
      <c r="CA25" s="74">
        <f t="shared" si="144"/>
        <v>58110.621657445976</v>
      </c>
      <c r="CB25" s="74">
        <f t="shared" si="144"/>
        <v>81665.986999999877</v>
      </c>
      <c r="CC25" s="74">
        <f t="shared" si="144"/>
        <v>41167.518337449044</v>
      </c>
      <c r="CD25" s="74">
        <f t="shared" si="144"/>
        <v>49744.584180508973</v>
      </c>
      <c r="CE25" s="74">
        <f t="shared" si="144"/>
        <v>92102.487000000227</v>
      </c>
      <c r="CF25" s="74">
        <f t="shared" ref="CF25:CG25" si="145">CF23+CF24</f>
        <v>76901.784067428467</v>
      </c>
      <c r="CG25" s="74">
        <f t="shared" si="145"/>
        <v>101751.71488504425</v>
      </c>
      <c r="CH25" s="74">
        <f t="shared" ref="CH25" si="146">CH23+CH24</f>
        <v>134127.39699999994</v>
      </c>
    </row>
    <row r="26" spans="2:86" s="5" customFormat="1" ht="13.5" customHeight="1">
      <c r="B26" s="6" t="s">
        <v>228</v>
      </c>
      <c r="C26" s="4"/>
      <c r="D26" s="4">
        <v>0</v>
      </c>
      <c r="E26" s="4">
        <v>0</v>
      </c>
      <c r="F26" s="4">
        <v>0</v>
      </c>
      <c r="G26" s="4">
        <v>0</v>
      </c>
      <c r="H26" s="4">
        <v>0</v>
      </c>
      <c r="I26" s="4">
        <v>0</v>
      </c>
      <c r="J26" s="4">
        <v>0</v>
      </c>
      <c r="K26" s="4">
        <v>0</v>
      </c>
      <c r="L26" s="4">
        <v>0</v>
      </c>
      <c r="M26" s="4">
        <v>0</v>
      </c>
      <c r="N26" s="4">
        <v>0</v>
      </c>
      <c r="O26" s="4">
        <v>0</v>
      </c>
      <c r="P26" s="75">
        <f>SUM(AU26:AX26)</f>
        <v>0</v>
      </c>
      <c r="Q26" s="75"/>
      <c r="R26" s="4">
        <v>0</v>
      </c>
      <c r="S26" s="4">
        <v>0</v>
      </c>
      <c r="T26" s="4">
        <v>0</v>
      </c>
      <c r="U26" s="30">
        <f>H26-T26-S26-R26</f>
        <v>0</v>
      </c>
      <c r="V26" s="4">
        <v>0</v>
      </c>
      <c r="W26" s="4">
        <v>0</v>
      </c>
      <c r="X26" s="4">
        <v>0</v>
      </c>
      <c r="Y26" s="30">
        <f>I26-X26-W26-V26</f>
        <v>0</v>
      </c>
      <c r="Z26" s="4">
        <v>0</v>
      </c>
      <c r="AA26" s="4">
        <v>0</v>
      </c>
      <c r="AB26" s="4">
        <v>0</v>
      </c>
      <c r="AC26" s="30">
        <f>J26-AB26-AA26-Z26</f>
        <v>0</v>
      </c>
      <c r="AD26" s="4">
        <v>0</v>
      </c>
      <c r="AE26" s="4">
        <v>0</v>
      </c>
      <c r="AF26" s="4">
        <v>0</v>
      </c>
      <c r="AG26" s="30">
        <f>K26-AF26-AE26-AD26</f>
        <v>0</v>
      </c>
      <c r="AH26" s="4">
        <v>0</v>
      </c>
      <c r="AI26" s="4">
        <v>0</v>
      </c>
      <c r="AJ26" s="4">
        <v>0</v>
      </c>
      <c r="AK26" s="30">
        <f>L26-AH26-AI26-AJ26</f>
        <v>0</v>
      </c>
      <c r="AL26" s="4">
        <v>0</v>
      </c>
      <c r="AM26" s="4">
        <v>0</v>
      </c>
      <c r="AN26" s="4">
        <v>0</v>
      </c>
      <c r="AO26" s="30">
        <f>M26-SUM(AL26:AN26)</f>
        <v>0</v>
      </c>
      <c r="AP26" s="4">
        <v>0</v>
      </c>
      <c r="AQ26" s="4">
        <v>0</v>
      </c>
      <c r="AR26" s="4">
        <v>0</v>
      </c>
      <c r="AS26" s="30">
        <f>N26-SUM(AP26:AR26)</f>
        <v>0</v>
      </c>
      <c r="AT26" s="4">
        <v>0</v>
      </c>
      <c r="AU26" s="4">
        <v>0</v>
      </c>
      <c r="AV26" s="4">
        <v>0</v>
      </c>
      <c r="AW26" s="30">
        <f>O26-SUM(AT26:AV26)</f>
        <v>0</v>
      </c>
      <c r="AX26" s="4">
        <v>0</v>
      </c>
      <c r="AY26" s="4"/>
      <c r="AZ26" s="4">
        <v>0</v>
      </c>
      <c r="BA26" s="4">
        <v>0</v>
      </c>
      <c r="BC26" s="75">
        <f>BZ26</f>
        <v>0</v>
      </c>
      <c r="BD26" s="75">
        <f>(CA26-BC26)</f>
        <v>0</v>
      </c>
      <c r="BE26" s="75">
        <f>CB26-BC26-BD26</f>
        <v>0</v>
      </c>
      <c r="BF26" s="4">
        <v>0</v>
      </c>
      <c r="BG26" s="75">
        <f>CC26</f>
        <v>0</v>
      </c>
      <c r="BH26" s="75">
        <f>(CD26-BG26)</f>
        <v>0</v>
      </c>
      <c r="BI26" s="75">
        <f>CE26-BG26-BH26</f>
        <v>0</v>
      </c>
      <c r="BJ26" s="4">
        <v>0</v>
      </c>
      <c r="BK26" s="75">
        <f>CF26</f>
        <v>0</v>
      </c>
      <c r="BL26" s="75">
        <f>(CG26-BK26)</f>
        <v>0</v>
      </c>
      <c r="BM26" s="75">
        <f>CH26-BK26-BL26</f>
        <v>0</v>
      </c>
      <c r="BN26" s="30">
        <f>N26-AZ26</f>
        <v>0</v>
      </c>
      <c r="BP26" s="75">
        <f>AH26</f>
        <v>0</v>
      </c>
      <c r="BQ26" s="4">
        <v>0</v>
      </c>
      <c r="BR26" s="4">
        <v>0</v>
      </c>
      <c r="BS26" s="75">
        <f>AL26</f>
        <v>0</v>
      </c>
      <c r="BT26" s="4">
        <v>0</v>
      </c>
      <c r="BU26" s="4">
        <v>0</v>
      </c>
      <c r="BV26" s="75">
        <f>AP26</f>
        <v>0</v>
      </c>
      <c r="BW26" s="4">
        <v>0</v>
      </c>
      <c r="BX26" s="4">
        <v>0</v>
      </c>
      <c r="BY26" s="4"/>
      <c r="BZ26" s="30">
        <f>BP26*BZ$6</f>
        <v>0</v>
      </c>
      <c r="CA26" s="30">
        <f>BQ26*CA$6</f>
        <v>0</v>
      </c>
      <c r="CB26" s="30">
        <f>L26-BF26</f>
        <v>0</v>
      </c>
      <c r="CC26" s="30">
        <f>BS26*CC$6</f>
        <v>0</v>
      </c>
      <c r="CD26" s="30">
        <f>BT26*CD$6</f>
        <v>0</v>
      </c>
      <c r="CE26" s="30">
        <f>M26-BJ26</f>
        <v>0</v>
      </c>
      <c r="CF26" s="30">
        <f>BV26*CF$6</f>
        <v>0</v>
      </c>
      <c r="CG26" s="30">
        <f>BW26</f>
        <v>0</v>
      </c>
      <c r="CH26" s="30">
        <f>BX26</f>
        <v>0</v>
      </c>
    </row>
    <row r="27" spans="2:86" s="5" customFormat="1" ht="13.5" customHeight="1">
      <c r="B27" s="5" t="s">
        <v>229</v>
      </c>
      <c r="C27" s="7"/>
      <c r="D27" s="7">
        <f t="shared" ref="D27:H27" si="147">D25+D26</f>
        <v>75807.438000000111</v>
      </c>
      <c r="E27" s="7">
        <f t="shared" si="147"/>
        <v>88097.926000000094</v>
      </c>
      <c r="F27" s="7">
        <f t="shared" si="147"/>
        <v>92049.111000000121</v>
      </c>
      <c r="G27" s="7">
        <f t="shared" si="147"/>
        <v>119000.72500000009</v>
      </c>
      <c r="H27" s="7">
        <f t="shared" si="147"/>
        <v>97450.746000000159</v>
      </c>
      <c r="I27" s="7">
        <f t="shared" ref="I27:J27" si="148">I25+I26</f>
        <v>175246.22499999998</v>
      </c>
      <c r="J27" s="7">
        <f t="shared" si="148"/>
        <v>123117.32</v>
      </c>
      <c r="K27" s="7">
        <f t="shared" ref="K27:L27" si="149">K25+K26</f>
        <v>157031.6679999998</v>
      </c>
      <c r="L27" s="7">
        <f t="shared" si="149"/>
        <v>128458.98700000005</v>
      </c>
      <c r="M27" s="7">
        <f t="shared" ref="M27:N27" si="150">M25+M26</f>
        <v>174511.48700000023</v>
      </c>
      <c r="N27" s="7">
        <f t="shared" si="150"/>
        <v>234644.12499999983</v>
      </c>
      <c r="O27" s="7">
        <f t="shared" ref="O27" si="151">O25+O26</f>
        <v>270477.41499999969</v>
      </c>
      <c r="P27" s="7">
        <f t="shared" ref="P27" si="152">P25+P26</f>
        <v>291155.10799999954</v>
      </c>
      <c r="Q27" s="74"/>
      <c r="R27" s="7">
        <f t="shared" ref="R27:X27" si="153">R25+R26</f>
        <v>42583.275000000009</v>
      </c>
      <c r="S27" s="7">
        <f t="shared" si="153"/>
        <v>8611.7479999999741</v>
      </c>
      <c r="T27" s="7">
        <f t="shared" si="153"/>
        <v>10652.839999999991</v>
      </c>
      <c r="U27" s="7">
        <f t="shared" si="153"/>
        <v>35602.88300000022</v>
      </c>
      <c r="V27" s="7">
        <f t="shared" si="153"/>
        <v>46651.053999999982</v>
      </c>
      <c r="W27" s="7">
        <f t="shared" si="153"/>
        <v>15032.267999999985</v>
      </c>
      <c r="X27" s="7">
        <f t="shared" si="153"/>
        <v>25414.278999999973</v>
      </c>
      <c r="Y27" s="7">
        <f t="shared" ref="Y27:Z27" si="154">Y25+Y26</f>
        <v>88148.623999999996</v>
      </c>
      <c r="Z27" s="7">
        <f t="shared" si="154"/>
        <v>48988.737000000052</v>
      </c>
      <c r="AA27" s="7">
        <f t="shared" ref="AA27:AD27" si="155">AA25+AA26</f>
        <v>580.08399999999938</v>
      </c>
      <c r="AB27" s="7">
        <f t="shared" si="155"/>
        <v>26306.392000000022</v>
      </c>
      <c r="AC27" s="7">
        <f t="shared" si="155"/>
        <v>47242.107000000011</v>
      </c>
      <c r="AD27" s="7">
        <f t="shared" si="155"/>
        <v>43338.89800000003</v>
      </c>
      <c r="AE27" s="7">
        <f t="shared" ref="AE27:AH27" si="156">AE25+AE26</f>
        <v>1771.5960000000487</v>
      </c>
      <c r="AF27" s="7">
        <f t="shared" si="156"/>
        <v>39906.519000000044</v>
      </c>
      <c r="AG27" s="7">
        <f t="shared" si="156"/>
        <v>72014.654999999664</v>
      </c>
      <c r="AH27" s="7">
        <f t="shared" si="156"/>
        <v>34213.396999999932</v>
      </c>
      <c r="AI27" s="7">
        <f t="shared" ref="AI27:AO27" si="157">AI25+AI26</f>
        <v>25150.427000000054</v>
      </c>
      <c r="AJ27" s="7">
        <f t="shared" si="157"/>
        <v>34535.043000000071</v>
      </c>
      <c r="AK27" s="7">
        <f t="shared" si="157"/>
        <v>34560.119999999915</v>
      </c>
      <c r="AL27" s="7">
        <f t="shared" si="157"/>
        <v>45097.46299999996</v>
      </c>
      <c r="AM27" s="7">
        <f t="shared" si="157"/>
        <v>11995.445000000007</v>
      </c>
      <c r="AN27" s="7">
        <f t="shared" si="157"/>
        <v>63550.03099999993</v>
      </c>
      <c r="AO27" s="7">
        <f t="shared" si="157"/>
        <v>53868.548000000417</v>
      </c>
      <c r="AP27" s="7">
        <f t="shared" ref="AP27:AS27" si="158">AP25+AP26</f>
        <v>71325.907000000021</v>
      </c>
      <c r="AQ27" s="7">
        <f t="shared" si="158"/>
        <v>24875.357999999953</v>
      </c>
      <c r="AR27" s="7">
        <f t="shared" si="158"/>
        <v>42296.811999999947</v>
      </c>
      <c r="AS27" s="7">
        <f t="shared" si="158"/>
        <v>96146.04799999969</v>
      </c>
      <c r="AT27" s="7">
        <f t="shared" ref="AT27:AW27" si="159">AT25+AT26</f>
        <v>79681.031000000017</v>
      </c>
      <c r="AU27" s="7">
        <f t="shared" si="159"/>
        <v>36732.83199999998</v>
      </c>
      <c r="AV27" s="7">
        <f t="shared" si="159"/>
        <v>57579.934999999983</v>
      </c>
      <c r="AW27" s="7">
        <f t="shared" si="159"/>
        <v>96483.616999999911</v>
      </c>
      <c r="AX27" s="7">
        <f t="shared" ref="AX27" si="160">AX25+AX26</f>
        <v>100358.72400000007</v>
      </c>
      <c r="AY27" s="7"/>
      <c r="AZ27" s="7">
        <f>AZ25+AZ26</f>
        <v>134127.39699999994</v>
      </c>
      <c r="BA27" s="7">
        <f>BA25+BA26</f>
        <v>168746.69399999984</v>
      </c>
      <c r="BC27" s="7">
        <f>BC25+BC26</f>
        <v>33049.692664246766</v>
      </c>
      <c r="BD27" s="7">
        <f>BD25+BD26</f>
        <v>25060.928993199152</v>
      </c>
      <c r="BE27" s="7">
        <f>BE25+BE26</f>
        <v>23555.365342554091</v>
      </c>
      <c r="BF27" s="7">
        <f t="shared" ref="BF27" si="161">BF25+BF26</f>
        <v>46793</v>
      </c>
      <c r="BG27" s="7">
        <f>BG25+BG26</f>
        <v>41167.518337449044</v>
      </c>
      <c r="BH27" s="7">
        <f>BH25+BH26</f>
        <v>8577.0658430598996</v>
      </c>
      <c r="BI27" s="7">
        <f>BI25+BI26</f>
        <v>42357.902819491181</v>
      </c>
      <c r="BJ27" s="7">
        <f t="shared" ref="BJ27" si="162">BJ25+BJ26</f>
        <v>82409</v>
      </c>
      <c r="BK27" s="7">
        <f>BK25+BK26</f>
        <v>76901.784067428467</v>
      </c>
      <c r="BL27" s="7">
        <f>BL25+BL26</f>
        <v>24849.930817615787</v>
      </c>
      <c r="BM27" s="7">
        <f>BM25+BM26</f>
        <v>32375.682114955671</v>
      </c>
      <c r="BN27" s="7">
        <f t="shared" ref="BN27" si="163">BN25+BN26</f>
        <v>100516.7279999999</v>
      </c>
      <c r="BP27" s="74">
        <f t="shared" ref="BP27" si="164">BP25+BP26</f>
        <v>34213.396999999932</v>
      </c>
      <c r="BQ27" s="7">
        <f>BQ25+BQ26</f>
        <v>60156.739999999969</v>
      </c>
      <c r="BR27" s="7">
        <f>BR25+BR26</f>
        <v>91548.69399999993</v>
      </c>
      <c r="BS27" s="74">
        <f t="shared" ref="BS27" si="165">BS25+BS26</f>
        <v>45097.46299999996</v>
      </c>
      <c r="BT27" s="7">
        <f>BT25+BT26</f>
        <v>54493.315000000075</v>
      </c>
      <c r="BU27" s="7">
        <f>BU25+BU26</f>
        <v>113553.50099999996</v>
      </c>
      <c r="BV27" s="74">
        <f t="shared" ref="BV27" si="166">BV25+BV26</f>
        <v>71325.907000000021</v>
      </c>
      <c r="BW27" s="7">
        <f>BW25+BW26</f>
        <v>94374.057000000015</v>
      </c>
      <c r="BX27" s="7">
        <f>BX25+BX26</f>
        <v>134127.39699999994</v>
      </c>
      <c r="BY27" s="7"/>
      <c r="BZ27" s="7">
        <f t="shared" ref="BZ27:CE27" si="167">BZ25+BZ26</f>
        <v>33049.692664246766</v>
      </c>
      <c r="CA27" s="7">
        <f t="shared" si="167"/>
        <v>58110.621657445976</v>
      </c>
      <c r="CB27" s="7">
        <f t="shared" si="167"/>
        <v>81665.986999999877</v>
      </c>
      <c r="CC27" s="7">
        <f t="shared" si="167"/>
        <v>41167.518337449044</v>
      </c>
      <c r="CD27" s="7">
        <f t="shared" si="167"/>
        <v>49744.584180508973</v>
      </c>
      <c r="CE27" s="7">
        <f t="shared" si="167"/>
        <v>92102.487000000227</v>
      </c>
      <c r="CF27" s="7">
        <f t="shared" ref="CF27:CG27" si="168">CF25+CF26</f>
        <v>76901.784067428467</v>
      </c>
      <c r="CG27" s="7">
        <f t="shared" si="168"/>
        <v>101751.71488504425</v>
      </c>
      <c r="CH27" s="7">
        <f t="shared" ref="CH27" si="169">CH25+CH26</f>
        <v>134127.39699999994</v>
      </c>
    </row>
    <row r="28" spans="2:86" s="34" customFormat="1" ht="13.5" customHeight="1">
      <c r="B28" s="44"/>
      <c r="C28" s="55"/>
      <c r="D28" s="55"/>
      <c r="E28" s="55"/>
      <c r="F28" s="55"/>
      <c r="G28" s="55"/>
      <c r="H28" s="55"/>
      <c r="I28" s="55"/>
      <c r="J28" s="55"/>
      <c r="K28" s="55"/>
      <c r="L28" s="55"/>
      <c r="M28" s="55"/>
      <c r="N28" s="55"/>
      <c r="O28" s="55"/>
      <c r="P28" s="55"/>
      <c r="Q28" s="55"/>
      <c r="R28" s="55"/>
      <c r="S28" s="55"/>
      <c r="T28" s="55"/>
      <c r="U28" s="55"/>
      <c r="V28" s="55"/>
      <c r="W28" s="55"/>
      <c r="X28" s="55"/>
      <c r="Y28" s="55"/>
      <c r="Z28" s="55"/>
      <c r="AA28" s="55"/>
      <c r="AB28" s="55"/>
      <c r="AC28" s="55"/>
      <c r="AD28" s="55"/>
      <c r="AE28" s="55"/>
      <c r="AF28" s="55"/>
      <c r="AG28" s="55"/>
      <c r="AH28" s="55"/>
      <c r="AI28" s="55"/>
      <c r="AJ28" s="55"/>
      <c r="AK28" s="55"/>
      <c r="AL28" s="55"/>
      <c r="AM28" s="55"/>
      <c r="AN28" s="55"/>
      <c r="AO28" s="55"/>
      <c r="AP28" s="55"/>
      <c r="AQ28" s="55"/>
      <c r="AR28" s="55"/>
      <c r="AS28" s="55"/>
      <c r="AT28" s="55"/>
      <c r="AU28" s="55"/>
      <c r="AV28" s="55"/>
      <c r="AW28" s="55"/>
      <c r="AX28" s="55"/>
      <c r="AY28" s="55"/>
      <c r="AZ28" s="55"/>
      <c r="BA28" s="55"/>
      <c r="BC28" s="55"/>
      <c r="BD28" s="55"/>
      <c r="BE28" s="55"/>
      <c r="BF28" s="55"/>
      <c r="BG28" s="55"/>
      <c r="BH28" s="55"/>
      <c r="BI28" s="55"/>
      <c r="BJ28" s="55"/>
      <c r="BK28" s="55"/>
      <c r="BL28" s="55"/>
      <c r="BM28" s="55"/>
      <c r="BN28" s="55"/>
      <c r="BP28" s="75"/>
      <c r="BQ28" s="55"/>
      <c r="BR28" s="55"/>
      <c r="BS28" s="75"/>
      <c r="BT28" s="55"/>
      <c r="BU28" s="55"/>
      <c r="BV28" s="75"/>
      <c r="BW28" s="55"/>
      <c r="BX28" s="55"/>
      <c r="BY28" s="55"/>
    </row>
    <row r="29" spans="2:86" s="5" customFormat="1" ht="13.5" customHeight="1">
      <c r="B29" s="6" t="s">
        <v>230</v>
      </c>
      <c r="C29" s="4"/>
      <c r="D29" s="4">
        <v>75490.235000000001</v>
      </c>
      <c r="E29" s="4">
        <v>87863.483999999997</v>
      </c>
      <c r="F29" s="4">
        <v>90525.990999999995</v>
      </c>
      <c r="G29" s="4">
        <v>117835.79</v>
      </c>
      <c r="H29" s="4">
        <v>96603.370999999999</v>
      </c>
      <c r="I29" s="4">
        <v>173721.92800000001</v>
      </c>
      <c r="J29" s="4">
        <v>121999.80499999999</v>
      </c>
      <c r="K29" s="4">
        <v>154698.15</v>
      </c>
      <c r="L29" s="4">
        <v>125497.64200000001</v>
      </c>
      <c r="M29" s="4">
        <v>171441.41</v>
      </c>
      <c r="N29" s="4">
        <v>232662.88399999999</v>
      </c>
      <c r="O29" s="4">
        <v>268696.93599999999</v>
      </c>
      <c r="P29" s="75">
        <f>SUM(AU29:AX29)</f>
        <v>288736.60399999999</v>
      </c>
      <c r="Q29" s="75"/>
      <c r="R29" s="4">
        <v>42002.231</v>
      </c>
      <c r="S29" s="4">
        <v>8786.5049999999992</v>
      </c>
      <c r="T29" s="4">
        <v>10805.36</v>
      </c>
      <c r="U29" s="30">
        <f>H29-T29-S29-R29</f>
        <v>35009.274999999994</v>
      </c>
      <c r="V29" s="4">
        <v>46114.635999999999</v>
      </c>
      <c r="W29" s="4">
        <v>15199.739</v>
      </c>
      <c r="X29" s="4">
        <v>25320.330999999998</v>
      </c>
      <c r="Y29" s="30">
        <f>I29-X29-W29-V29</f>
        <v>87087.222000000009</v>
      </c>
      <c r="Z29" s="4">
        <v>47990.517999999996</v>
      </c>
      <c r="AA29" s="4">
        <v>1302.415</v>
      </c>
      <c r="AB29" s="4">
        <v>25925.316999999999</v>
      </c>
      <c r="AC29" s="30">
        <f>J29-AB29-AA29-Z29</f>
        <v>46781.555000000008</v>
      </c>
      <c r="AD29" s="4">
        <v>42119.137000000002</v>
      </c>
      <c r="AE29" s="4">
        <v>1485.664</v>
      </c>
      <c r="AF29" s="4">
        <v>39620.588000000003</v>
      </c>
      <c r="AG29" s="30">
        <f>K29-AF29-AE29-AD29</f>
        <v>71472.760999999984</v>
      </c>
      <c r="AH29" s="4">
        <v>32997.633999999998</v>
      </c>
      <c r="AI29" s="4">
        <v>25537.164000000001</v>
      </c>
      <c r="AJ29" s="4">
        <v>33999.497000000003</v>
      </c>
      <c r="AK29" s="30">
        <f>L29-AH29-AI29-AJ29</f>
        <v>32963.346999999994</v>
      </c>
      <c r="AL29" s="4">
        <v>43338.720999999998</v>
      </c>
      <c r="AM29" s="4">
        <v>12191.866</v>
      </c>
      <c r="AN29" s="4">
        <v>63707.714999999997</v>
      </c>
      <c r="AO29" s="30">
        <f>M29-SUM(AL29:AN29)</f>
        <v>52203.108000000007</v>
      </c>
      <c r="AP29" s="4">
        <v>70813.801999999996</v>
      </c>
      <c r="AQ29" s="4">
        <v>24601.56</v>
      </c>
      <c r="AR29" s="4">
        <v>41942.358</v>
      </c>
      <c r="AS29" s="30">
        <f t="shared" ref="AS29:AS30" si="170">N29-SUM(AP29:AR29)</f>
        <v>95305.16399999999</v>
      </c>
      <c r="AT29" s="4">
        <v>79219.05</v>
      </c>
      <c r="AU29" s="4">
        <v>37233.31</v>
      </c>
      <c r="AV29" s="4">
        <v>57178.362999999998</v>
      </c>
      <c r="AW29" s="30">
        <f>O29-SUM(AT29:AV29)</f>
        <v>95066.212999999989</v>
      </c>
      <c r="AX29" s="4">
        <v>99258.717999999993</v>
      </c>
      <c r="AY29" s="4"/>
      <c r="AZ29" s="4">
        <v>132987.772</v>
      </c>
      <c r="BA29" s="4">
        <v>168384.26800000001</v>
      </c>
      <c r="BC29" s="75">
        <f t="shared" ref="BC29:BC30" si="171">BZ29</f>
        <v>31875.28155556431</v>
      </c>
      <c r="BD29" s="75">
        <f>(CA29-BC29)</f>
        <v>25434.388215363979</v>
      </c>
      <c r="BE29" s="75">
        <f>CB29-BC29-BD29</f>
        <v>22993.972229071718</v>
      </c>
      <c r="BF29" s="4">
        <v>45194</v>
      </c>
      <c r="BG29" s="75">
        <f t="shared" ref="BG29:BG30" si="172">CC29</f>
        <v>39562.039032862878</v>
      </c>
      <c r="BH29" s="75">
        <f>(CD29-BG29)</f>
        <v>8756.7132903288293</v>
      </c>
      <c r="BI29" s="75">
        <f>CE29-BG29-BH29</f>
        <v>42382.657676808296</v>
      </c>
      <c r="BJ29" s="4">
        <v>80740</v>
      </c>
      <c r="BK29" s="75">
        <f t="shared" ref="BK29:BK30" si="173">CF29</f>
        <v>76349.64544366239</v>
      </c>
      <c r="BL29" s="75">
        <f t="shared" ref="BL29:BL30" si="174">(CG29-BK29)</f>
        <v>24555.058679107082</v>
      </c>
      <c r="BM29" s="75">
        <f>CH29-BK29-BL29</f>
        <v>32083.067877230525</v>
      </c>
      <c r="BN29" s="30">
        <f>N29-AZ29</f>
        <v>99675.111999999994</v>
      </c>
      <c r="BP29" s="75">
        <f>AH29</f>
        <v>32997.633999999998</v>
      </c>
      <c r="BQ29" s="4">
        <v>59327.586000000003</v>
      </c>
      <c r="BR29" s="4">
        <v>90185.365999999995</v>
      </c>
      <c r="BS29" s="75">
        <f>AL29</f>
        <v>43338.720999999998</v>
      </c>
      <c r="BT29" s="4">
        <v>52931.37</v>
      </c>
      <c r="BU29" s="4">
        <v>112149.967</v>
      </c>
      <c r="BV29" s="75">
        <f>AP29</f>
        <v>70813.801999999996</v>
      </c>
      <c r="BW29" s="4">
        <v>93588.46</v>
      </c>
      <c r="BX29" s="4">
        <v>132987.772</v>
      </c>
      <c r="BY29" s="4"/>
      <c r="BZ29" s="30">
        <f>BP29*BZ$6</f>
        <v>31875.28155556431</v>
      </c>
      <c r="CA29" s="30">
        <f>BQ29*CA$6</f>
        <v>57309.669770928289</v>
      </c>
      <c r="CB29" s="30">
        <f>L29-BF29</f>
        <v>80303.642000000007</v>
      </c>
      <c r="CC29" s="30">
        <f>BS29*CC$6</f>
        <v>39562.039032862878</v>
      </c>
      <c r="CD29" s="30">
        <f>BT29*CD$6</f>
        <v>48318.752323191708</v>
      </c>
      <c r="CE29" s="30">
        <f>M29-BJ29</f>
        <v>90701.41</v>
      </c>
      <c r="CF29" s="30">
        <f>BV29*CF$6</f>
        <v>76349.64544366239</v>
      </c>
      <c r="CG29" s="30">
        <f t="shared" ref="CG29:CG30" si="175">BW29*CG$6</f>
        <v>100904.70412276947</v>
      </c>
      <c r="CH29" s="30">
        <f t="shared" ref="CH29:CH30" si="176">BX29</f>
        <v>132987.772</v>
      </c>
    </row>
    <row r="30" spans="2:86" s="5" customFormat="1" ht="13.5" customHeight="1">
      <c r="B30" s="6" t="s">
        <v>231</v>
      </c>
      <c r="C30" s="4"/>
      <c r="D30" s="4">
        <v>317.20299999999997</v>
      </c>
      <c r="E30" s="4">
        <v>234.44200000000001</v>
      </c>
      <c r="F30" s="4">
        <v>1523.12</v>
      </c>
      <c r="G30" s="4">
        <v>1164.9349999999999</v>
      </c>
      <c r="H30" s="4">
        <v>847.375</v>
      </c>
      <c r="I30" s="4">
        <v>1524.297</v>
      </c>
      <c r="J30" s="4">
        <v>1117.5150000000001</v>
      </c>
      <c r="K30" s="4">
        <v>2333.518</v>
      </c>
      <c r="L30" s="4">
        <v>2961.3449999999998</v>
      </c>
      <c r="M30" s="4">
        <v>3070.0770000000002</v>
      </c>
      <c r="N30" s="4">
        <v>1981.241</v>
      </c>
      <c r="O30" s="4">
        <v>1780.479</v>
      </c>
      <c r="P30" s="75">
        <f>SUM(AU30:AX30)</f>
        <v>2418.5039999999999</v>
      </c>
      <c r="Q30" s="75"/>
      <c r="R30" s="4">
        <v>581.04399999999998</v>
      </c>
      <c r="S30" s="4">
        <v>-174.75700000000001</v>
      </c>
      <c r="T30" s="4">
        <v>-152.52000000000001</v>
      </c>
      <c r="U30" s="30">
        <f>H30-T30-S30-R30</f>
        <v>593.60800000000006</v>
      </c>
      <c r="V30" s="4">
        <v>536.41800000000001</v>
      </c>
      <c r="W30" s="4">
        <v>-167.471</v>
      </c>
      <c r="X30" s="4">
        <v>93.947999999999993</v>
      </c>
      <c r="Y30" s="30">
        <f>I30-X30-W30-V30</f>
        <v>1061.402</v>
      </c>
      <c r="Z30" s="4">
        <v>998.21900000000005</v>
      </c>
      <c r="AA30" s="4">
        <v>-722.33100000000002</v>
      </c>
      <c r="AB30" s="4">
        <v>381.07499999999999</v>
      </c>
      <c r="AC30" s="30">
        <f>J30-AB30-AA30-Z30</f>
        <v>460.55200000000013</v>
      </c>
      <c r="AD30" s="4">
        <v>1219.761</v>
      </c>
      <c r="AE30" s="4">
        <v>285.93200000000002</v>
      </c>
      <c r="AF30" s="4">
        <v>285.93099999999998</v>
      </c>
      <c r="AG30" s="30">
        <f>K30-AF30-AE30-AD30</f>
        <v>541.89400000000001</v>
      </c>
      <c r="AH30" s="4">
        <v>1215.7629999999999</v>
      </c>
      <c r="AI30" s="4">
        <v>-386.73700000000002</v>
      </c>
      <c r="AJ30" s="4">
        <v>535.54600000000005</v>
      </c>
      <c r="AK30" s="30">
        <f>L30-AH30-AI30-AJ30</f>
        <v>1596.7729999999999</v>
      </c>
      <c r="AL30" s="4">
        <v>1758.742</v>
      </c>
      <c r="AM30" s="4">
        <v>-196.42099999999999</v>
      </c>
      <c r="AN30" s="4">
        <v>-157.684</v>
      </c>
      <c r="AO30" s="30">
        <f>M30-SUM(AL30:AN30)</f>
        <v>1665.4400000000003</v>
      </c>
      <c r="AP30" s="4">
        <v>512.10500000000002</v>
      </c>
      <c r="AQ30" s="4">
        <v>273.798</v>
      </c>
      <c r="AR30" s="4">
        <v>354.45400000000001</v>
      </c>
      <c r="AS30" s="30">
        <f t="shared" si="170"/>
        <v>840.88400000000001</v>
      </c>
      <c r="AT30" s="4">
        <v>461.98099999999999</v>
      </c>
      <c r="AU30" s="4">
        <v>-500.47800000000001</v>
      </c>
      <c r="AV30" s="4">
        <v>401.572</v>
      </c>
      <c r="AW30" s="30">
        <f>O30-SUM(AT30:AV30)</f>
        <v>1417.404</v>
      </c>
      <c r="AX30" s="4">
        <v>1100.0060000000001</v>
      </c>
      <c r="AY30" s="4"/>
      <c r="AZ30" s="4">
        <v>1139.625</v>
      </c>
      <c r="BA30" s="4">
        <v>362.42599999999999</v>
      </c>
      <c r="BC30" s="75">
        <f t="shared" si="171"/>
        <v>1174.4111086824446</v>
      </c>
      <c r="BD30" s="75">
        <f>(CA30-BC30)</f>
        <v>-373.45922216469091</v>
      </c>
      <c r="BE30" s="75">
        <f>CB30-BC30-BD30</f>
        <v>561.39311348224612</v>
      </c>
      <c r="BF30" s="4">
        <v>1599</v>
      </c>
      <c r="BG30" s="75">
        <f t="shared" si="172"/>
        <v>1605.4793045861995</v>
      </c>
      <c r="BH30" s="75">
        <f>(CD30-BG30)</f>
        <v>-179.64744726892877</v>
      </c>
      <c r="BI30" s="75">
        <f>CE30-BG30-BH30</f>
        <v>-25.754857317270535</v>
      </c>
      <c r="BJ30" s="4">
        <v>1670</v>
      </c>
      <c r="BK30" s="75">
        <f t="shared" si="173"/>
        <v>552.13862376612303</v>
      </c>
      <c r="BL30" s="75">
        <f t="shared" si="174"/>
        <v>294.87213850879118</v>
      </c>
      <c r="BM30" s="75">
        <f>CH30-BK30-BL30</f>
        <v>292.61423772508579</v>
      </c>
      <c r="BN30" s="30">
        <f>N30-AZ30</f>
        <v>841.61599999999999</v>
      </c>
      <c r="BP30" s="75">
        <f>AH30</f>
        <v>1215.7629999999999</v>
      </c>
      <c r="BQ30" s="4">
        <v>829.154</v>
      </c>
      <c r="BR30" s="4">
        <v>1363.328</v>
      </c>
      <c r="BS30" s="75">
        <f>AL30</f>
        <v>1758.742</v>
      </c>
      <c r="BT30" s="4">
        <v>1561.9449999999999</v>
      </c>
      <c r="BU30" s="4">
        <v>1403.5340000000001</v>
      </c>
      <c r="BV30" s="75">
        <f>AP30</f>
        <v>512.10500000000002</v>
      </c>
      <c r="BW30" s="4">
        <v>785.59699999999998</v>
      </c>
      <c r="BX30" s="4">
        <v>1139.625</v>
      </c>
      <c r="BY30" s="4"/>
      <c r="BZ30" s="30">
        <f>BP30*BZ$6</f>
        <v>1174.4111086824446</v>
      </c>
      <c r="CA30" s="30">
        <f>BQ30*CA$6</f>
        <v>800.95188651775368</v>
      </c>
      <c r="CB30" s="30">
        <f>L30-BF30</f>
        <v>1362.3449999999998</v>
      </c>
      <c r="CC30" s="30">
        <f>BS30*CC$6</f>
        <v>1605.4793045861995</v>
      </c>
      <c r="CD30" s="30">
        <f>BT30*CD$6</f>
        <v>1425.8318573172708</v>
      </c>
      <c r="CE30" s="30">
        <f>M30-BJ30</f>
        <v>1400.0770000000002</v>
      </c>
      <c r="CF30" s="30">
        <f>BV30*CF$6</f>
        <v>552.13862376612303</v>
      </c>
      <c r="CG30" s="30">
        <f t="shared" si="175"/>
        <v>847.01076227491421</v>
      </c>
      <c r="CH30" s="30">
        <f t="shared" si="176"/>
        <v>1139.625</v>
      </c>
    </row>
    <row r="31" spans="2:86" s="5" customFormat="1" ht="13.5" customHeight="1">
      <c r="B31" s="6"/>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c r="AQ31" s="4"/>
      <c r="AR31" s="4"/>
      <c r="AS31" s="4"/>
      <c r="AT31" s="4"/>
      <c r="AU31" s="4"/>
      <c r="AV31" s="4"/>
      <c r="AW31" s="4"/>
      <c r="AX31" s="4"/>
      <c r="AY31" s="4"/>
      <c r="AZ31" s="4"/>
      <c r="BA31" s="4"/>
      <c r="BC31" s="4"/>
      <c r="BD31" s="4"/>
      <c r="BE31" s="4"/>
      <c r="BF31" s="4"/>
      <c r="BG31" s="4"/>
      <c r="BH31" s="4"/>
      <c r="BI31" s="4"/>
      <c r="BJ31" s="4"/>
      <c r="BK31" s="4"/>
      <c r="BL31" s="4"/>
      <c r="BM31" s="4"/>
      <c r="BN31" s="4"/>
      <c r="BP31" s="4"/>
      <c r="BQ31" s="4"/>
      <c r="BR31" s="4"/>
      <c r="BS31" s="4"/>
      <c r="BT31" s="4"/>
      <c r="BU31" s="4"/>
      <c r="BV31" s="4"/>
      <c r="BW31" s="4"/>
      <c r="BX31" s="4"/>
      <c r="BY31" s="4"/>
    </row>
    <row r="32" spans="2:86" s="301" customFormat="1" ht="13.5" customHeight="1">
      <c r="B32" s="299" t="s">
        <v>25</v>
      </c>
      <c r="C32" s="300"/>
      <c r="D32" s="300">
        <f t="shared" ref="D32:H32" si="177">D27-D29-D30</f>
        <v>1.1050360626541078E-10</v>
      </c>
      <c r="E32" s="300">
        <f t="shared" si="177"/>
        <v>9.7315933089703321E-11</v>
      </c>
      <c r="F32" s="300">
        <f t="shared" si="177"/>
        <v>1.2641976354643703E-10</v>
      </c>
      <c r="G32" s="300">
        <f t="shared" si="177"/>
        <v>9.9589669844135642E-11</v>
      </c>
      <c r="H32" s="300">
        <f t="shared" si="177"/>
        <v>1.6007106751203537E-10</v>
      </c>
      <c r="I32" s="300">
        <f t="shared" ref="I32:J32" si="178">I27-I29-I30</f>
        <v>-3.7744030123576522E-11</v>
      </c>
      <c r="J32" s="300">
        <f t="shared" si="178"/>
        <v>1.3869794202037156E-11</v>
      </c>
      <c r="K32" s="300">
        <f t="shared" ref="K32:L32" si="179">K27-K29-K30</f>
        <v>-1.9281287677586079E-10</v>
      </c>
      <c r="L32" s="300">
        <f t="shared" si="179"/>
        <v>4.5019987737759948E-11</v>
      </c>
      <c r="M32" s="300">
        <f t="shared" ref="M32:N32" si="180">M27-M29-M30</f>
        <v>2.2282620193436742E-10</v>
      </c>
      <c r="N32" s="300">
        <f t="shared" si="180"/>
        <v>-1.6552803572267294E-10</v>
      </c>
      <c r="O32" s="300">
        <f t="shared" ref="O32" si="181">O27-O29-O30</f>
        <v>-2.9899638320785016E-10</v>
      </c>
      <c r="P32" s="300">
        <f>P27-P29-P30</f>
        <v>-4.5019987737759948E-10</v>
      </c>
      <c r="Q32" s="315"/>
      <c r="R32" s="300">
        <f t="shared" ref="R32:X32" si="182">R27-R29-R30</f>
        <v>8.9812601800076663E-12</v>
      </c>
      <c r="S32" s="300">
        <f t="shared" si="182"/>
        <v>-2.5067947717616335E-11</v>
      </c>
      <c r="T32" s="300">
        <f t="shared" si="182"/>
        <v>-9.5212726591853425E-12</v>
      </c>
      <c r="U32" s="300">
        <f t="shared" si="182"/>
        <v>2.2566837287740782E-10</v>
      </c>
      <c r="V32" s="300">
        <f t="shared" si="182"/>
        <v>-1.6711965145077556E-11</v>
      </c>
      <c r="W32" s="300">
        <f t="shared" si="182"/>
        <v>-1.4097167877480388E-11</v>
      </c>
      <c r="X32" s="300">
        <f t="shared" si="182"/>
        <v>-2.5139001991192345E-11</v>
      </c>
      <c r="Y32" s="300">
        <f t="shared" ref="Y32:Z32" si="183">Y27-Y29-Y30</f>
        <v>-1.2732925824820995E-11</v>
      </c>
      <c r="Z32" s="300">
        <f t="shared" si="183"/>
        <v>5.5479176808148623E-11</v>
      </c>
      <c r="AA32" s="300">
        <f t="shared" ref="AA32:AD32" si="184">AA27-AA29-AA30</f>
        <v>0</v>
      </c>
      <c r="AB32" s="300">
        <f t="shared" si="184"/>
        <v>2.2566837287740782E-11</v>
      </c>
      <c r="AC32" s="300">
        <f t="shared" si="184"/>
        <v>3.1832314562052488E-12</v>
      </c>
      <c r="AD32" s="300">
        <f t="shared" si="184"/>
        <v>2.7739588404074311E-11</v>
      </c>
      <c r="AE32" s="300">
        <f t="shared" ref="AE32:AH32" si="185">AE27-AE29-AE30</f>
        <v>4.8657966544851661E-11</v>
      </c>
      <c r="AF32" s="300">
        <f t="shared" si="185"/>
        <v>4.0529357647756115E-11</v>
      </c>
      <c r="AG32" s="300">
        <f t="shared" si="185"/>
        <v>-3.1991476134862751E-10</v>
      </c>
      <c r="AH32" s="300">
        <f t="shared" si="185"/>
        <v>-6.6393113229423761E-11</v>
      </c>
      <c r="AI32" s="300">
        <f t="shared" ref="AI32" si="186">AI27-AI29-AI30</f>
        <v>5.3603343985741958E-11</v>
      </c>
      <c r="AJ32" s="300">
        <f>AJ27-AJ29-AJ30</f>
        <v>6.7529981606639922E-11</v>
      </c>
      <c r="AK32" s="300">
        <f>AK27-AK29-AK30</f>
        <v>-7.8898665378801525E-11</v>
      </c>
      <c r="AL32" s="300">
        <f t="shared" ref="AL32:AM32" si="187">AL27-AL29-AL30</f>
        <v>-3.7971403799019754E-11</v>
      </c>
      <c r="AM32" s="300">
        <f t="shared" si="187"/>
        <v>6.9917405198793858E-12</v>
      </c>
      <c r="AN32" s="300">
        <f>AN27-AN29-AN30</f>
        <v>-6.6592065195436589E-11</v>
      </c>
      <c r="AO32" s="300">
        <f>AO27-AO29-AO30</f>
        <v>4.0949998947326094E-10</v>
      </c>
      <c r="AP32" s="300">
        <f t="shared" ref="AP32:AQ32" si="188">AP27-AP29-AP30</f>
        <v>2.5011104298755527E-11</v>
      </c>
      <c r="AQ32" s="300">
        <f t="shared" si="188"/>
        <v>-4.8430592869408429E-11</v>
      </c>
      <c r="AR32" s="300">
        <f>AR27-AR29-AR30</f>
        <v>-5.3034909797133878E-11</v>
      </c>
      <c r="AS32" s="300">
        <f>AS27-AS29-AS30</f>
        <v>-3.0013325158506632E-10</v>
      </c>
      <c r="AT32" s="300">
        <f t="shared" ref="AT32:AU32" si="189">AT27-AT29-AT30</f>
        <v>1.432454155292362E-11</v>
      </c>
      <c r="AU32" s="300">
        <f t="shared" si="189"/>
        <v>-1.7337242752546445E-11</v>
      </c>
      <c r="AV32" s="300">
        <f>AV27-AV29-AV30</f>
        <v>-1.4438228390645236E-11</v>
      </c>
      <c r="AW32" s="300">
        <f>AW27-AW29-AW30</f>
        <v>-7.7761797001585364E-11</v>
      </c>
      <c r="AX32" s="300">
        <f t="shared" ref="AX32" si="190">AX27-AX29-AX30</f>
        <v>8.1172402133233845E-11</v>
      </c>
      <c r="AY32" s="300"/>
      <c r="AZ32" s="300">
        <f>AZ27-AZ29-AZ30</f>
        <v>-5.8207660913467407E-11</v>
      </c>
      <c r="BA32" s="300">
        <f>BA27-BA29-BA30</f>
        <v>-1.6785861589596607E-10</v>
      </c>
      <c r="BC32" s="300">
        <f t="shared" ref="BC32:BJ32" si="191">BC27-BC29-BC30</f>
        <v>1.1368683772161603E-11</v>
      </c>
      <c r="BD32" s="300">
        <f t="shared" si="191"/>
        <v>-1.3631051842821762E-10</v>
      </c>
      <c r="BE32" s="300">
        <f t="shared" si="191"/>
        <v>1.2630607670871541E-10</v>
      </c>
      <c r="BF32" s="300">
        <f t="shared" si="191"/>
        <v>0</v>
      </c>
      <c r="BG32" s="300">
        <f t="shared" si="191"/>
        <v>-3.3423930290155113E-11</v>
      </c>
      <c r="BH32" s="300">
        <f t="shared" si="191"/>
        <v>-9.0949470177292824E-13</v>
      </c>
      <c r="BI32" s="300">
        <f t="shared" si="191"/>
        <v>1.0000000001552962</v>
      </c>
      <c r="BJ32" s="300">
        <f t="shared" si="191"/>
        <v>-1</v>
      </c>
      <c r="BK32" s="300">
        <f t="shared" ref="BK32:BN32" si="192">BK27-BK29-BK30</f>
        <v>-4.581579560181126E-11</v>
      </c>
      <c r="BL32" s="300">
        <f t="shared" si="192"/>
        <v>-8.6515683506149799E-11</v>
      </c>
      <c r="BM32" s="300">
        <f t="shared" si="192"/>
        <v>5.95719029661268E-11</v>
      </c>
      <c r="BN32" s="300">
        <f t="shared" si="192"/>
        <v>-9.276845958083868E-11</v>
      </c>
      <c r="BP32" s="300">
        <f t="shared" ref="BP32" si="193">BP27-BP29-BP30</f>
        <v>-6.6393113229423761E-11</v>
      </c>
      <c r="BQ32" s="300">
        <f>BQ27-BQ29-BQ30</f>
        <v>-3.4106051316484809E-11</v>
      </c>
      <c r="BR32" s="300">
        <f>BR27-BR29-BR30</f>
        <v>-6.4119376474991441E-11</v>
      </c>
      <c r="BS32" s="300">
        <f t="shared" ref="BS32" si="194">BS27-BS29-BS30</f>
        <v>-3.7971403799019754E-11</v>
      </c>
      <c r="BT32" s="300">
        <f>BT27-BT29-BT30</f>
        <v>7.2532202466391027E-11</v>
      </c>
      <c r="BU32" s="300">
        <f>BU27-BU29-BU30</f>
        <v>-4.411049303598702E-11</v>
      </c>
      <c r="BV32" s="300">
        <f t="shared" ref="BV32" si="195">BV27-BV29-BV30</f>
        <v>2.5011104298755527E-11</v>
      </c>
      <c r="BW32" s="300">
        <f>BW27-BW29-BW30</f>
        <v>8.8675733422860503E-12</v>
      </c>
      <c r="BX32" s="300">
        <f>BX27-BX29-BX30</f>
        <v>-5.8207660913467407E-11</v>
      </c>
      <c r="BY32" s="300"/>
    </row>
    <row r="33" spans="2:66" s="5" customFormat="1" ht="13.5" customHeight="1">
      <c r="B33" s="6"/>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c r="AQ33" s="4"/>
      <c r="AR33" s="4"/>
      <c r="AS33" s="4"/>
      <c r="AT33" s="4"/>
      <c r="AU33" s="4"/>
      <c r="AV33" s="4"/>
      <c r="AW33" s="4"/>
      <c r="AX33" s="4"/>
      <c r="AY33" s="4"/>
      <c r="AZ33" s="4"/>
      <c r="BA33" s="4"/>
    </row>
    <row r="34" spans="2:66" s="5" customFormat="1" ht="13.5" customHeight="1">
      <c r="B34" s="284" t="s">
        <v>232</v>
      </c>
      <c r="C34" s="285"/>
      <c r="D34" s="285"/>
      <c r="E34" s="285"/>
      <c r="F34" s="285"/>
      <c r="G34" s="285"/>
      <c r="H34" s="285"/>
      <c r="I34" s="285"/>
      <c r="J34" s="285"/>
      <c r="K34" s="285"/>
      <c r="L34" s="285"/>
      <c r="M34" s="285"/>
      <c r="N34" s="285"/>
      <c r="O34" s="285"/>
      <c r="P34" s="285"/>
      <c r="Q34" s="4"/>
      <c r="R34" s="285"/>
      <c r="S34" s="285"/>
      <c r="T34" s="285"/>
      <c r="U34" s="285"/>
      <c r="V34" s="285"/>
      <c r="W34" s="285"/>
      <c r="X34" s="285"/>
      <c r="Y34" s="285"/>
      <c r="Z34" s="285"/>
      <c r="AA34" s="285"/>
      <c r="AB34" s="285"/>
      <c r="AC34" s="285"/>
      <c r="AD34" s="285"/>
      <c r="AE34" s="285"/>
      <c r="AF34" s="285"/>
      <c r="AG34" s="285"/>
      <c r="AH34" s="285"/>
      <c r="AI34" s="285"/>
      <c r="AJ34" s="285"/>
      <c r="AK34" s="285"/>
      <c r="AL34" s="285"/>
      <c r="AM34" s="285"/>
      <c r="AN34" s="285"/>
      <c r="AO34" s="285"/>
      <c r="AP34" s="285"/>
      <c r="AQ34" s="285"/>
      <c r="AR34" s="285"/>
      <c r="AS34" s="285"/>
      <c r="AT34" s="285"/>
      <c r="AU34" s="285"/>
      <c r="AV34" s="285"/>
      <c r="AW34" s="285"/>
      <c r="AX34" s="285"/>
      <c r="AY34" s="4"/>
      <c r="AZ34" s="4"/>
      <c r="BA34" s="4"/>
      <c r="BC34" s="285"/>
      <c r="BD34" s="285"/>
      <c r="BE34" s="285"/>
      <c r="BF34" s="285"/>
      <c r="BG34" s="285"/>
      <c r="BH34" s="285"/>
      <c r="BI34" s="285"/>
      <c r="BJ34" s="285"/>
      <c r="BK34" s="285"/>
      <c r="BL34" s="285"/>
      <c r="BM34" s="285"/>
      <c r="BN34" s="285"/>
    </row>
    <row r="35" spans="2:66" s="34" customFormat="1" ht="13.5" customHeight="1">
      <c r="B35" s="289" t="str">
        <f>B9</f>
        <v>Cost of sales</v>
      </c>
      <c r="C35" s="24"/>
      <c r="D35" s="24">
        <f t="shared" ref="D35:H35" si="196">-D9/D7</f>
        <v>0.60162668706881961</v>
      </c>
      <c r="E35" s="24">
        <f t="shared" si="196"/>
        <v>0.58949053586536593</v>
      </c>
      <c r="F35" s="24">
        <f t="shared" si="196"/>
        <v>0.581678587727116</v>
      </c>
      <c r="G35" s="24">
        <f t="shared" si="196"/>
        <v>0.57820181001292648</v>
      </c>
      <c r="H35" s="24">
        <f t="shared" si="196"/>
        <v>0.57864703924647432</v>
      </c>
      <c r="I35" s="24">
        <f t="shared" ref="I35:J35" si="197">-I9/I7</f>
        <v>0.58927991412869962</v>
      </c>
      <c r="J35" s="24">
        <f t="shared" si="197"/>
        <v>0.60207852311095167</v>
      </c>
      <c r="K35" s="24">
        <f t="shared" ref="K35:L35" si="198">-K9/K7</f>
        <v>0.62045948949513197</v>
      </c>
      <c r="L35" s="24">
        <f t="shared" si="198"/>
        <v>0.61301331143535465</v>
      </c>
      <c r="M35" s="24">
        <f t="shared" ref="M35:N35" si="199">-M9/M7</f>
        <v>0.61181430875963627</v>
      </c>
      <c r="N35" s="24">
        <f t="shared" si="199"/>
        <v>0.60335695496672093</v>
      </c>
      <c r="O35" s="24">
        <f t="shared" ref="O35" si="200">-O9/O7</f>
        <v>0.60920153178542336</v>
      </c>
      <c r="P35" s="24">
        <f t="shared" ref="P35" si="201">-P9/P7</f>
        <v>0.60714979222703724</v>
      </c>
      <c r="Q35" s="4"/>
      <c r="R35" s="24">
        <f t="shared" ref="R35:X35" si="202">-R9/R7</f>
        <v>0.56022037045540019</v>
      </c>
      <c r="S35" s="24">
        <f t="shared" si="202"/>
        <v>0.59286990475079226</v>
      </c>
      <c r="T35" s="24">
        <f t="shared" si="202"/>
        <v>0.59671962735984263</v>
      </c>
      <c r="U35" s="24">
        <f t="shared" si="202"/>
        <v>0.57335389591372143</v>
      </c>
      <c r="V35" s="24">
        <f t="shared" si="202"/>
        <v>0.58451275605395914</v>
      </c>
      <c r="W35" s="24">
        <f t="shared" si="202"/>
        <v>0.601315936799108</v>
      </c>
      <c r="X35" s="24">
        <f t="shared" si="202"/>
        <v>0.61089897642120827</v>
      </c>
      <c r="Y35" s="24">
        <f t="shared" ref="Y35:Z35" si="203">-Y9/Y7</f>
        <v>0.56871010222188911</v>
      </c>
      <c r="Z35" s="24">
        <f t="shared" si="203"/>
        <v>0.57991016320391442</v>
      </c>
      <c r="AA35" s="24">
        <f t="shared" ref="AA35" si="204">-AA9/AA7</f>
        <v>0.63117419536283603</v>
      </c>
      <c r="AB35" s="24">
        <f>-AB9/AB7</f>
        <v>0.60653147047653233</v>
      </c>
      <c r="AC35" s="24">
        <f t="shared" ref="AC35:AE35" si="205">-AC9/AC7</f>
        <v>0.60278670686942859</v>
      </c>
      <c r="AD35" s="24">
        <f t="shared" si="205"/>
        <v>0.6069683216668883</v>
      </c>
      <c r="AE35" s="24">
        <f t="shared" si="205"/>
        <v>0.64287161448882191</v>
      </c>
      <c r="AF35" s="24">
        <f>-AF9/AF7</f>
        <v>0.64532821203671575</v>
      </c>
      <c r="AG35" s="24">
        <f t="shared" ref="AG35:AI35" si="206">-AG9/AG7</f>
        <v>0.59792121251783659</v>
      </c>
      <c r="AH35" s="24">
        <f t="shared" si="206"/>
        <v>0.60557913293937604</v>
      </c>
      <c r="AI35" s="24">
        <f t="shared" si="206"/>
        <v>0.61568443150936336</v>
      </c>
      <c r="AJ35" s="24">
        <f>-AJ9/AJ7</f>
        <v>0.62301252947336538</v>
      </c>
      <c r="AK35" s="24">
        <f>-AK9/AK7</f>
        <v>0.60860101717630744</v>
      </c>
      <c r="AL35" s="24">
        <f t="shared" ref="AL35:AM35" si="207">-AL9/AL7</f>
        <v>0.60591387800984731</v>
      </c>
      <c r="AM35" s="24">
        <f t="shared" si="207"/>
        <v>0.61489562610964865</v>
      </c>
      <c r="AN35" s="24">
        <f>-AN9/AN7</f>
        <v>0.61496299016956868</v>
      </c>
      <c r="AO35" s="24">
        <f>-AO9/AO7</f>
        <v>0.61203167734204633</v>
      </c>
      <c r="AP35" s="24">
        <f t="shared" ref="AP35:AQ35" si="208">-AP9/AP7</f>
        <v>0.59373420514978392</v>
      </c>
      <c r="AQ35" s="24">
        <f t="shared" si="208"/>
        <v>0.61261507620439271</v>
      </c>
      <c r="AR35" s="24">
        <f>-AR9/AR7</f>
        <v>0.62126886351991017</v>
      </c>
      <c r="AS35" s="24">
        <f>-AS9/AS7</f>
        <v>0.59209011931308408</v>
      </c>
      <c r="AT35" s="24">
        <f t="shared" ref="AT35:AU35" si="209">-AT9/AT7</f>
        <v>0.5969267281175531</v>
      </c>
      <c r="AU35" s="24">
        <f t="shared" si="209"/>
        <v>0.62089023927368747</v>
      </c>
      <c r="AV35" s="24">
        <f>-AV9/AV7</f>
        <v>0.6227723168496746</v>
      </c>
      <c r="AW35" s="24">
        <f>-AW9/AW7</f>
        <v>0.59984853141009986</v>
      </c>
      <c r="AX35" s="24">
        <f t="shared" ref="AX35" si="210">-AX9/AX7</f>
        <v>0.58990075985528967</v>
      </c>
      <c r="AY35" s="42"/>
      <c r="AZ35" s="42"/>
      <c r="BA35" s="42"/>
      <c r="BB35" s="5"/>
      <c r="BG35" s="24">
        <f t="shared" ref="BG35:BH35" si="211">-BG9/BG7</f>
        <v>0.60591387800984731</v>
      </c>
      <c r="BH35" s="24">
        <f t="shared" si="211"/>
        <v>0.61302803428969321</v>
      </c>
      <c r="BI35" s="24">
        <f>-BI9/BI7</f>
        <v>0.63699356886290515</v>
      </c>
      <c r="BJ35" s="24">
        <f>-BJ9/BJ7</f>
        <v>0.595155852483091</v>
      </c>
      <c r="BK35" s="24">
        <f t="shared" ref="BK35:BL35" si="212">-BK9/BK7</f>
        <v>0.59373420514978392</v>
      </c>
      <c r="BL35" s="24">
        <f t="shared" si="212"/>
        <v>0.61099203273756197</v>
      </c>
      <c r="BM35" s="24">
        <f>-BM9/BM7</f>
        <v>0.6253284787327773</v>
      </c>
      <c r="BN35" s="24">
        <f>-BN9/BN7</f>
        <v>0.59287076785296566</v>
      </c>
    </row>
    <row r="36" spans="2:66" s="34" customFormat="1" ht="13.5" customHeight="1">
      <c r="B36" s="289" t="str">
        <f>B12</f>
        <v>Other income</v>
      </c>
      <c r="C36" s="24"/>
      <c r="D36" s="24">
        <f t="shared" ref="D36:H36" si="213">-D12/D7</f>
        <v>-2.2093385665193878E-3</v>
      </c>
      <c r="E36" s="24">
        <f t="shared" si="213"/>
        <v>-2.5118272227205534E-4</v>
      </c>
      <c r="F36" s="24">
        <f t="shared" si="213"/>
        <v>-9.9068315104955526E-4</v>
      </c>
      <c r="G36" s="24">
        <f t="shared" si="213"/>
        <v>-2.9792869815214188E-4</v>
      </c>
      <c r="H36" s="24">
        <f t="shared" si="213"/>
        <v>-1.5596529135295709E-3</v>
      </c>
      <c r="I36" s="24">
        <f t="shared" ref="I36:J36" si="214">-I12/I7</f>
        <v>-2.301662728353332E-2</v>
      </c>
      <c r="J36" s="24">
        <f t="shared" si="214"/>
        <v>-4.9204441631595323E-3</v>
      </c>
      <c r="K36" s="24">
        <f t="shared" ref="K36:L36" si="215">-K12/K7</f>
        <v>-6.0353603507466453E-4</v>
      </c>
      <c r="L36" s="24">
        <f t="shared" si="215"/>
        <v>-9.4002044079251129E-4</v>
      </c>
      <c r="M36" s="24">
        <f t="shared" ref="M36:N36" si="216">-M12/M7</f>
        <v>-5.0048520318601115E-4</v>
      </c>
      <c r="N36" s="24">
        <f t="shared" si="216"/>
        <v>-6.662006426548568E-3</v>
      </c>
      <c r="O36" s="24">
        <f t="shared" ref="O36" si="217">-O12/O7</f>
        <v>-4.0009308666071226E-3</v>
      </c>
      <c r="P36" s="24">
        <f>-P12/P7</f>
        <v>-3.9655816456522558E-3</v>
      </c>
      <c r="Q36" s="316"/>
      <c r="R36" s="24">
        <f t="shared" ref="R36:X36" si="218">-R12/R7</f>
        <v>-1.7496559708780418E-4</v>
      </c>
      <c r="S36" s="24">
        <f t="shared" si="218"/>
        <v>-4.2827899993391202E-4</v>
      </c>
      <c r="T36" s="24">
        <f t="shared" si="218"/>
        <v>-1.05586605678936E-3</v>
      </c>
      <c r="U36" s="24">
        <f t="shared" si="218"/>
        <v>-4.1385096262538694E-3</v>
      </c>
      <c r="V36" s="24">
        <f t="shared" si="218"/>
        <v>-1.8953286227531101E-4</v>
      </c>
      <c r="W36" s="24">
        <f t="shared" si="218"/>
        <v>-4.7034123213333002E-4</v>
      </c>
      <c r="X36" s="24">
        <f t="shared" si="218"/>
        <v>-4.0729073045717477E-4</v>
      </c>
      <c r="Y36" s="24">
        <f t="shared" ref="Y36:Z36" si="219">-Y12/Y7</f>
        <v>-7.4256665002589053E-2</v>
      </c>
      <c r="Z36" s="24">
        <f t="shared" si="219"/>
        <v>-1.1841551667156243E-3</v>
      </c>
      <c r="AA36" s="24">
        <f t="shared" ref="AA36:AD36" si="220">-AA12/AA7</f>
        <v>-4.2687149040494385E-3</v>
      </c>
      <c r="AB36" s="24">
        <f t="shared" si="220"/>
        <v>-1.6309406023723192E-2</v>
      </c>
      <c r="AC36" s="24">
        <f t="shared" si="220"/>
        <v>2.4112020614459341E-6</v>
      </c>
      <c r="AD36" s="24">
        <f t="shared" si="220"/>
        <v>-4.5115860954457969E-4</v>
      </c>
      <c r="AE36" s="24">
        <f t="shared" ref="AE36:AH36" si="221">-AE12/AE7</f>
        <v>-8.3227037982840709E-4</v>
      </c>
      <c r="AF36" s="24">
        <f t="shared" si="221"/>
        <v>-2.1206151766083107E-4</v>
      </c>
      <c r="AG36" s="24">
        <f t="shared" si="221"/>
        <v>-8.606078360381107E-4</v>
      </c>
      <c r="AH36" s="24">
        <f t="shared" si="221"/>
        <v>-2.7953262271077957E-4</v>
      </c>
      <c r="AI36" s="24">
        <f t="shared" ref="AI36:AJ36" si="222">-AI12/AI7</f>
        <v>-5.6667024546526608E-4</v>
      </c>
      <c r="AJ36" s="24">
        <f t="shared" si="222"/>
        <v>-5.0994669771971439E-3</v>
      </c>
      <c r="AK36" s="24">
        <f t="shared" ref="AK36:AN36" si="223">-AK12/AK7</f>
        <v>1.7077884065842979E-3</v>
      </c>
      <c r="AL36" s="24">
        <f t="shared" si="223"/>
        <v>-2.7110418550832635E-4</v>
      </c>
      <c r="AM36" s="24">
        <f t="shared" si="223"/>
        <v>-8.8791181123920441E-4</v>
      </c>
      <c r="AN36" s="24">
        <f t="shared" si="223"/>
        <v>-5.0094218342846631E-4</v>
      </c>
      <c r="AO36" s="24">
        <f t="shared" ref="AO36:AR36" si="224">-AO12/AO7</f>
        <v>-3.78045702776368E-4</v>
      </c>
      <c r="AP36" s="24">
        <f t="shared" si="224"/>
        <v>-4.4378382378166279E-4</v>
      </c>
      <c r="AQ36" s="24">
        <f t="shared" si="224"/>
        <v>-4.601416947633739E-4</v>
      </c>
      <c r="AR36" s="24">
        <f t="shared" si="224"/>
        <v>-3.2998499995385292E-4</v>
      </c>
      <c r="AS36" s="24">
        <f t="shared" ref="AS36:AV36" si="225">-AS12/AS7</f>
        <v>-2.0158432989690892E-2</v>
      </c>
      <c r="AT36" s="24">
        <f t="shared" si="225"/>
        <v>-3.2657385155790132E-4</v>
      </c>
      <c r="AU36" s="24">
        <f t="shared" si="225"/>
        <v>-5.6617206584050088E-3</v>
      </c>
      <c r="AV36" s="24">
        <f t="shared" si="225"/>
        <v>-7.0152320400045671E-3</v>
      </c>
      <c r="AW36" s="24">
        <f t="shared" ref="AW36:AX36" si="226">-AW12/AW7</f>
        <v>-3.5925377084927387E-3</v>
      </c>
      <c r="AX36" s="24">
        <f t="shared" si="226"/>
        <v>-3.4071797019679555E-4</v>
      </c>
      <c r="AY36" s="42"/>
      <c r="AZ36" s="42"/>
      <c r="BA36" s="42"/>
      <c r="BG36" s="24">
        <f t="shared" ref="BG36:BJ36" si="227">-BG12/BG7</f>
        <v>-2.7110418550832635E-4</v>
      </c>
      <c r="BH36" s="24">
        <f t="shared" si="227"/>
        <v>-8.7411932792550958E-4</v>
      </c>
      <c r="BI36" s="24">
        <f t="shared" si="227"/>
        <v>-6.3421212370283744E-3</v>
      </c>
      <c r="BJ36" s="24">
        <f t="shared" si="227"/>
        <v>4.3759178439199947E-3</v>
      </c>
      <c r="BK36" s="24">
        <f t="shared" ref="BK36:BN36" si="228">-BK12/BK7</f>
        <v>-4.4378382378166279E-4</v>
      </c>
      <c r="BL36" s="24">
        <f t="shared" si="228"/>
        <v>-4.5560533959773702E-4</v>
      </c>
      <c r="BM36" s="24">
        <f t="shared" si="228"/>
        <v>-3.0805312999626091E-4</v>
      </c>
      <c r="BN36" s="24">
        <f t="shared" si="228"/>
        <v>-2.0293692281326482E-2</v>
      </c>
    </row>
    <row r="37" spans="2:66" s="34" customFormat="1" ht="13.5" customHeight="1">
      <c r="B37" s="289" t="str">
        <f>B13</f>
        <v>Distribution expenses</v>
      </c>
      <c r="C37" s="24"/>
      <c r="D37" s="24">
        <f t="shared" ref="D37:H37" si="229">-D13/D7</f>
        <v>0.1040745914762824</v>
      </c>
      <c r="E37" s="24">
        <f t="shared" si="229"/>
        <v>0.10785736206066243</v>
      </c>
      <c r="F37" s="24">
        <f t="shared" si="229"/>
        <v>0.10333676441045074</v>
      </c>
      <c r="G37" s="24">
        <f t="shared" si="229"/>
        <v>0.10434858893243548</v>
      </c>
      <c r="H37" s="24">
        <f t="shared" si="229"/>
        <v>9.9093740461470764E-2</v>
      </c>
      <c r="I37" s="24">
        <f t="shared" ref="I37:J37" si="230">-I13/I7</f>
        <v>9.3869551133346413E-2</v>
      </c>
      <c r="J37" s="24">
        <f t="shared" si="230"/>
        <v>8.9815523293095195E-2</v>
      </c>
      <c r="K37" s="24">
        <f t="shared" ref="K37:L37" si="231">-K13/K7</f>
        <v>9.0201395347102198E-2</v>
      </c>
      <c r="L37" s="24">
        <f t="shared" si="231"/>
        <v>9.5418245892281414E-2</v>
      </c>
      <c r="M37" s="24">
        <f t="shared" ref="M37:N37" si="232">-M13/M7</f>
        <v>8.7001205099048531E-2</v>
      </c>
      <c r="N37" s="24">
        <f t="shared" si="232"/>
        <v>8.9939842297470679E-2</v>
      </c>
      <c r="O37" s="24">
        <f t="shared" ref="O37" si="233">-O13/O7</f>
        <v>8.8693318660557505E-2</v>
      </c>
      <c r="P37" s="24">
        <f t="shared" ref="P37" si="234">-P13/P7</f>
        <v>8.7735678330210662E-2</v>
      </c>
      <c r="Q37" s="316"/>
      <c r="R37" s="24">
        <f t="shared" ref="R37:X37" si="235">-R13/R7</f>
        <v>9.9402735717176963E-2</v>
      </c>
      <c r="S37" s="24">
        <f t="shared" si="235"/>
        <v>9.8483561157395497E-2</v>
      </c>
      <c r="T37" s="24">
        <f t="shared" si="235"/>
        <v>9.9229214590892373E-2</v>
      </c>
      <c r="U37" s="24">
        <f t="shared" si="235"/>
        <v>9.9149003155013987E-2</v>
      </c>
      <c r="V37" s="24">
        <f t="shared" si="235"/>
        <v>9.3429691326871275E-2</v>
      </c>
      <c r="W37" s="24">
        <f t="shared" si="235"/>
        <v>9.6422636158252348E-2</v>
      </c>
      <c r="X37" s="24">
        <f t="shared" si="235"/>
        <v>9.3048835147772693E-2</v>
      </c>
      <c r="Y37" s="24">
        <f t="shared" ref="Y37:Z37" si="236">-Y13/Y7</f>
        <v>9.306466723513436E-2</v>
      </c>
      <c r="Z37" s="24">
        <f t="shared" si="236"/>
        <v>9.1088424526240233E-2</v>
      </c>
      <c r="AA37" s="24">
        <f t="shared" ref="AA37:AD37" si="237">-AA13/AA7</f>
        <v>0.10214058889785553</v>
      </c>
      <c r="AB37" s="24">
        <f t="shared" si="237"/>
        <v>8.7881909611258177E-2</v>
      </c>
      <c r="AC37" s="24">
        <f t="shared" si="237"/>
        <v>8.2162200692588769E-2</v>
      </c>
      <c r="AD37" s="24">
        <f t="shared" si="237"/>
        <v>8.4581933935270151E-2</v>
      </c>
      <c r="AE37" s="24">
        <f t="shared" ref="AE37:AH37" si="238">-AE13/AE7</f>
        <v>8.5809163329648899E-2</v>
      </c>
      <c r="AF37" s="24">
        <f t="shared" si="238"/>
        <v>8.5805741475538766E-2</v>
      </c>
      <c r="AG37" s="24">
        <f t="shared" si="238"/>
        <v>0.10004199248398446</v>
      </c>
      <c r="AH37" s="24">
        <f t="shared" si="238"/>
        <v>9.2535989729055246E-2</v>
      </c>
      <c r="AI37" s="24">
        <f t="shared" ref="AI37:AJ37" si="239">-AI13/AI7</f>
        <v>9.6880284664408484E-2</v>
      </c>
      <c r="AJ37" s="24">
        <f t="shared" si="239"/>
        <v>9.3820694883435501E-2</v>
      </c>
      <c r="AK37" s="24">
        <f t="shared" ref="AK37:AN37" si="240">-AK13/AK7</f>
        <v>9.7930284001584808E-2</v>
      </c>
      <c r="AL37" s="24">
        <f t="shared" si="240"/>
        <v>9.4448648395404927E-2</v>
      </c>
      <c r="AM37" s="24">
        <f t="shared" si="240"/>
        <v>9.1850503910109835E-2</v>
      </c>
      <c r="AN37" s="24">
        <f t="shared" si="240"/>
        <v>8.9169270560897948E-2</v>
      </c>
      <c r="AO37" s="24">
        <f t="shared" ref="AO37:AR37" si="241">-AO13/AO7</f>
        <v>7.1712207395938685E-2</v>
      </c>
      <c r="AP37" s="24">
        <f t="shared" si="241"/>
        <v>8.4744106928381621E-2</v>
      </c>
      <c r="AQ37" s="24">
        <f t="shared" si="241"/>
        <v>8.9829839228169339E-2</v>
      </c>
      <c r="AR37" s="24">
        <f t="shared" si="241"/>
        <v>9.0915101768510462E-2</v>
      </c>
      <c r="AS37" s="24">
        <f t="shared" ref="AS37:AV37" si="242">-AS13/AS7</f>
        <v>9.3414084550772533E-2</v>
      </c>
      <c r="AT37" s="24">
        <f t="shared" si="242"/>
        <v>9.2641631324884219E-2</v>
      </c>
      <c r="AU37" s="24">
        <f t="shared" si="242"/>
        <v>9.0822646769920024E-2</v>
      </c>
      <c r="AV37" s="24">
        <f t="shared" si="242"/>
        <v>8.8493784437325362E-2</v>
      </c>
      <c r="AW37" s="24">
        <f t="shared" ref="AW37:AX37" si="243">-AW13/AW7</f>
        <v>8.3335886770508946E-2</v>
      </c>
      <c r="AX37" s="24">
        <f t="shared" si="243"/>
        <v>8.8984472461187375E-2</v>
      </c>
      <c r="AY37" s="42"/>
      <c r="AZ37" s="42"/>
      <c r="BA37" s="42"/>
      <c r="BG37" s="24">
        <f t="shared" ref="BG37:BJ37" si="244">-BG13/BG7</f>
        <v>9.4448648395404927E-2</v>
      </c>
      <c r="BH37" s="24">
        <f t="shared" si="244"/>
        <v>9.2558830621947072E-2</v>
      </c>
      <c r="BI37" s="24">
        <f t="shared" si="244"/>
        <v>0.18056539639329708</v>
      </c>
      <c r="BJ37" s="24">
        <f t="shared" si="244"/>
        <v>0</v>
      </c>
      <c r="BK37" s="24">
        <f t="shared" ref="BK37:BN37" si="245">-BK13/BK7</f>
        <v>8.4744106928381621E-2</v>
      </c>
      <c r="BL37" s="24">
        <f t="shared" si="245"/>
        <v>9.0211388585700616E-2</v>
      </c>
      <c r="BM37" s="24">
        <f t="shared" si="245"/>
        <v>9.1483157784149782E-2</v>
      </c>
      <c r="BN37" s="24">
        <f t="shared" si="245"/>
        <v>9.3262979901784129E-2</v>
      </c>
    </row>
    <row r="38" spans="2:66" s="34" customFormat="1" ht="13.5" customHeight="1">
      <c r="B38" s="289" t="str">
        <f>B15</f>
        <v>Other expenses</v>
      </c>
      <c r="C38" s="24"/>
      <c r="D38" s="24">
        <f t="shared" ref="D38:H38" si="246">-D15/D7</f>
        <v>1.0344576158681765E-2</v>
      </c>
      <c r="E38" s="24">
        <f t="shared" si="246"/>
        <v>1.1709340182406523E-2</v>
      </c>
      <c r="F38" s="24">
        <f t="shared" si="246"/>
        <v>1.2807700712947963E-2</v>
      </c>
      <c r="G38" s="24">
        <f t="shared" si="246"/>
        <v>9.0332977126607143E-3</v>
      </c>
      <c r="H38" s="24">
        <f t="shared" si="246"/>
        <v>9.598667792843291E-3</v>
      </c>
      <c r="I38" s="24">
        <f t="shared" ref="I38:J38" si="247">-I15/I7</f>
        <v>1.4717525221671759E-2</v>
      </c>
      <c r="J38" s="24">
        <f t="shared" si="247"/>
        <v>1.0263468511723304E-2</v>
      </c>
      <c r="K38" s="24">
        <f t="shared" ref="K38:L38" si="248">-K15/K7</f>
        <v>6.8622575623400878E-3</v>
      </c>
      <c r="L38" s="24">
        <f t="shared" si="248"/>
        <v>3.3359863276693173E-4</v>
      </c>
      <c r="M38" s="24">
        <f t="shared" ref="M38:N38" si="249">-M15/M7</f>
        <v>1.0098231301685689E-2</v>
      </c>
      <c r="N38" s="24">
        <f t="shared" si="249"/>
        <v>1.1367053480057036E-2</v>
      </c>
      <c r="O38" s="24">
        <f t="shared" ref="O38" si="250">-O15/O7</f>
        <v>9.0032618464660208E-3</v>
      </c>
      <c r="P38" s="24">
        <f>-P15/P7</f>
        <v>1.0263917741263867E-2</v>
      </c>
      <c r="Q38" s="316"/>
      <c r="R38" s="24">
        <f t="shared" ref="R38:X38" si="251">-R15/R7</f>
        <v>1.2093564800601491E-2</v>
      </c>
      <c r="S38" s="24">
        <f t="shared" si="251"/>
        <v>9.322425498153545E-3</v>
      </c>
      <c r="T38" s="24">
        <f t="shared" si="251"/>
        <v>8.8176610052074968E-3</v>
      </c>
      <c r="U38" s="24">
        <f t="shared" si="251"/>
        <v>7.8913841860789955E-3</v>
      </c>
      <c r="V38" s="24">
        <f t="shared" si="251"/>
        <v>5.1091303909828563E-3</v>
      </c>
      <c r="W38" s="24">
        <f t="shared" si="251"/>
        <v>-1.292796464508292E-3</v>
      </c>
      <c r="X38" s="24">
        <f t="shared" si="251"/>
        <v>7.1466063309446343E-3</v>
      </c>
      <c r="Y38" s="24">
        <f t="shared" ref="Y38:Z38" si="252">-Y15/Y7</f>
        <v>3.9373642405310091E-2</v>
      </c>
      <c r="Z38" s="24">
        <f t="shared" si="252"/>
        <v>6.9735872016325993E-3</v>
      </c>
      <c r="AA38" s="24">
        <f t="shared" ref="AA38:AD38" si="253">-AA15/AA7</f>
        <v>2.1397467673105953E-2</v>
      </c>
      <c r="AB38" s="24">
        <f t="shared" si="253"/>
        <v>7.1061886652719324E-3</v>
      </c>
      <c r="AC38" s="24">
        <f t="shared" si="253"/>
        <v>9.0877877362064638E-3</v>
      </c>
      <c r="AD38" s="24">
        <f t="shared" si="253"/>
        <v>6.8194275184410291E-3</v>
      </c>
      <c r="AE38" s="24">
        <f t="shared" ref="AE38:AH38" si="254">-AE15/AE7</f>
        <v>4.2041210944627795E-3</v>
      </c>
      <c r="AF38" s="24">
        <f t="shared" si="254"/>
        <v>7.1008713876410841E-3</v>
      </c>
      <c r="AG38" s="24">
        <f t="shared" si="254"/>
        <v>8.3280764614012334E-3</v>
      </c>
      <c r="AH38" s="24">
        <f t="shared" si="254"/>
        <v>6.4122132694026434E-3</v>
      </c>
      <c r="AI38" s="24">
        <f t="shared" ref="AI38:AJ38" si="255">-AI15/AI7</f>
        <v>-1.4749829514150095E-2</v>
      </c>
      <c r="AJ38" s="24">
        <f t="shared" si="255"/>
        <v>2.6322631353079655E-3</v>
      </c>
      <c r="AK38" s="24">
        <f t="shared" ref="AK38:AN38" si="256">-AK15/AK7</f>
        <v>4.9415878973614246E-3</v>
      </c>
      <c r="AL38" s="24">
        <f t="shared" si="256"/>
        <v>6.5128222650984663E-3</v>
      </c>
      <c r="AM38" s="24">
        <f t="shared" si="256"/>
        <v>5.9758770454875834E-3</v>
      </c>
      <c r="AN38" s="24">
        <f t="shared" si="256"/>
        <v>1.3532020757443206E-2</v>
      </c>
      <c r="AO38" s="24">
        <f t="shared" ref="AO38:AR38" si="257">-AO15/AO7</f>
        <v>1.4446853107001591E-2</v>
      </c>
      <c r="AP38" s="24">
        <f t="shared" si="257"/>
        <v>1.1610037795167477E-2</v>
      </c>
      <c r="AQ38" s="24">
        <f t="shared" si="257"/>
        <v>1.5059063183292002E-2</v>
      </c>
      <c r="AR38" s="24">
        <f t="shared" si="257"/>
        <v>7.1221353164722563E-3</v>
      </c>
      <c r="AS38" s="24">
        <f t="shared" ref="AS38:AV38" si="258">-AS15/AS7</f>
        <v>1.1766793898925666E-2</v>
      </c>
      <c r="AT38" s="24">
        <f t="shared" si="258"/>
        <v>3.3199516934700564E-3</v>
      </c>
      <c r="AU38" s="24">
        <f t="shared" si="258"/>
        <v>1.3922969173626855E-2</v>
      </c>
      <c r="AV38" s="24">
        <f t="shared" si="258"/>
        <v>6.7244883867208045E-3</v>
      </c>
      <c r="AW38" s="24">
        <f t="shared" ref="AW38:AX38" si="259">-AW15/AW7</f>
        <v>1.2532278371193264E-2</v>
      </c>
      <c r="AX38" s="24">
        <f t="shared" si="259"/>
        <v>8.1532662434581748E-3</v>
      </c>
      <c r="AY38" s="42"/>
      <c r="AZ38" s="42"/>
      <c r="BA38" s="42"/>
      <c r="BG38" s="24">
        <f t="shared" ref="BG38:BJ38" si="260">-BG15/BG7</f>
        <v>6.5128222650984655E-3</v>
      </c>
      <c r="BH38" s="24">
        <f t="shared" si="260"/>
        <v>6.0445556131645027E-3</v>
      </c>
      <c r="BI38" s="24">
        <f t="shared" si="260"/>
        <v>2.9671317732590685E-2</v>
      </c>
      <c r="BJ38" s="24">
        <f t="shared" si="260"/>
        <v>0</v>
      </c>
      <c r="BK38" s="24">
        <f t="shared" ref="BK38:BN38" si="261">-BK15/BK7</f>
        <v>1.1610037795167479E-2</v>
      </c>
      <c r="BL38" s="24">
        <f t="shared" si="261"/>
        <v>1.4999912362412401E-2</v>
      </c>
      <c r="BM38" s="24">
        <f t="shared" si="261"/>
        <v>5.9427129944888959E-3</v>
      </c>
      <c r="BN38" s="24">
        <f t="shared" si="261"/>
        <v>1.1783971260914934E-2</v>
      </c>
    </row>
    <row r="39" spans="2:66" s="34" customFormat="1" ht="13.5" customHeight="1">
      <c r="B39" s="289" t="str">
        <f>B14</f>
        <v>Administrative expenses</v>
      </c>
      <c r="C39" s="24"/>
      <c r="D39" s="24">
        <f t="shared" ref="D39:H39" si="262">D14/D7</f>
        <v>-0.19037444659250885</v>
      </c>
      <c r="E39" s="24">
        <f t="shared" si="262"/>
        <v>-0.18781395802885636</v>
      </c>
      <c r="F39" s="24">
        <f t="shared" si="262"/>
        <v>-0.19477396253434368</v>
      </c>
      <c r="G39" s="24">
        <f t="shared" si="262"/>
        <v>-0.18833000577849185</v>
      </c>
      <c r="H39" s="24">
        <f t="shared" si="262"/>
        <v>-0.18754252496601592</v>
      </c>
      <c r="I39" s="24">
        <f t="shared" ref="I39:J39" si="263">I14/I7</f>
        <v>-0.18319235982230639</v>
      </c>
      <c r="J39" s="24">
        <f t="shared" si="263"/>
        <v>-0.16701529100153392</v>
      </c>
      <c r="K39" s="24">
        <f t="shared" ref="K39:L39" si="264">K14/K7</f>
        <v>-0.15741630907666274</v>
      </c>
      <c r="L39" s="24">
        <f t="shared" si="264"/>
        <v>-0.16166254233099744</v>
      </c>
      <c r="M39" s="24">
        <f t="shared" ref="M39:N39" si="265">M14/M7</f>
        <v>-0.16471486861621143</v>
      </c>
      <c r="N39" s="24">
        <f t="shared" si="265"/>
        <v>-0.17424336644677452</v>
      </c>
      <c r="O39" s="24">
        <f t="shared" ref="O39" si="266">O14/O7</f>
        <v>-0.16596498205854707</v>
      </c>
      <c r="P39" s="24">
        <f>P14/P7</f>
        <v>-0.16564816009358757</v>
      </c>
      <c r="Q39" s="316"/>
      <c r="R39" s="24">
        <f t="shared" ref="R39:X39" si="267">R14/R7</f>
        <v>-0.18165713398640929</v>
      </c>
      <c r="S39" s="24">
        <f t="shared" si="267"/>
        <v>-0.21523480508349316</v>
      </c>
      <c r="T39" s="24">
        <f t="shared" si="267"/>
        <v>-0.20269239527135796</v>
      </c>
      <c r="U39" s="24">
        <f t="shared" si="267"/>
        <v>-0.1618062590329524</v>
      </c>
      <c r="V39" s="24">
        <f t="shared" si="267"/>
        <v>-0.1705626709980381</v>
      </c>
      <c r="W39" s="24">
        <f t="shared" si="267"/>
        <v>-0.20969607250468225</v>
      </c>
      <c r="X39" s="24">
        <f t="shared" si="267"/>
        <v>-0.20030241189096018</v>
      </c>
      <c r="Y39" s="24">
        <f t="shared" ref="Y39:Z39" si="268">Y14/Y7</f>
        <v>-0.1623575533888357</v>
      </c>
      <c r="Z39" s="24">
        <f t="shared" si="268"/>
        <v>-0.17847751107135992</v>
      </c>
      <c r="AA39" s="24">
        <f t="shared" ref="AA39:AD39" si="269">AA14/AA7</f>
        <v>-0.21468452874009678</v>
      </c>
      <c r="AB39" s="24">
        <f t="shared" si="269"/>
        <v>-0.17875318851042538</v>
      </c>
      <c r="AC39" s="24">
        <f t="shared" si="269"/>
        <v>-0.11510441057963477</v>
      </c>
      <c r="AD39" s="24">
        <f t="shared" si="269"/>
        <v>-0.15303778889448924</v>
      </c>
      <c r="AE39" s="24">
        <f t="shared" ref="AE39:AH39" si="270">AE14/AE7</f>
        <v>-0.16883024251263723</v>
      </c>
      <c r="AF39" s="24">
        <f t="shared" si="270"/>
        <v>-0.15892431076795932</v>
      </c>
      <c r="AG39" s="24">
        <f t="shared" si="270"/>
        <v>-0.15244024742925777</v>
      </c>
      <c r="AH39" s="24">
        <f t="shared" si="270"/>
        <v>-0.14902662646753065</v>
      </c>
      <c r="AI39" s="24">
        <f t="shared" ref="AI39:AJ39" si="271">AI14/AI7</f>
        <v>-0.17945190227093688</v>
      </c>
      <c r="AJ39" s="24">
        <f t="shared" si="271"/>
        <v>-0.1779403360707964</v>
      </c>
      <c r="AK39" s="24">
        <f t="shared" ref="AK39:AN39" si="272">AK14/AK7</f>
        <v>-0.14480265835155071</v>
      </c>
      <c r="AL39" s="24">
        <f t="shared" si="272"/>
        <v>-0.1595283852918391</v>
      </c>
      <c r="AM39" s="24">
        <f t="shared" si="272"/>
        <v>-0.17984487744902866</v>
      </c>
      <c r="AN39" s="24">
        <f t="shared" si="272"/>
        <v>-0.17929904455360818</v>
      </c>
      <c r="AO39" s="24">
        <f t="shared" ref="AO39:AR39" si="273">AO14/AO7</f>
        <v>-0.14028958582241738</v>
      </c>
      <c r="AP39" s="24">
        <f t="shared" si="273"/>
        <v>-0.16667527302924054</v>
      </c>
      <c r="AQ39" s="24">
        <f t="shared" si="273"/>
        <v>-0.18808954232058936</v>
      </c>
      <c r="AR39" s="24">
        <f t="shared" si="273"/>
        <v>-0.17969016822491796</v>
      </c>
      <c r="AS39" s="24">
        <f t="shared" ref="AS39:AV39" si="274">AS14/AS7</f>
        <v>-0.16721169927596838</v>
      </c>
      <c r="AT39" s="24">
        <f t="shared" si="274"/>
        <v>-0.16089720448398814</v>
      </c>
      <c r="AU39" s="24">
        <f t="shared" si="274"/>
        <v>-0.18008096423840766</v>
      </c>
      <c r="AV39" s="24">
        <f t="shared" si="274"/>
        <v>-0.17387471389190881</v>
      </c>
      <c r="AW39" s="24">
        <f t="shared" ref="AW39:AX39" si="275">AW14/AW7</f>
        <v>-0.15262355238396358</v>
      </c>
      <c r="AX39" s="24">
        <f t="shared" si="275"/>
        <v>-0.1599361320722664</v>
      </c>
      <c r="AY39" s="42"/>
      <c r="AZ39" s="42"/>
      <c r="BA39" s="42"/>
      <c r="BG39" s="24">
        <f t="shared" ref="BG39:BJ39" si="276">BG14/BG7</f>
        <v>-0.15952838529183908</v>
      </c>
      <c r="BH39" s="24">
        <f t="shared" si="276"/>
        <v>-0.17980183001103681</v>
      </c>
      <c r="BI39" s="24">
        <f t="shared" si="276"/>
        <v>-7.4080546907473524E-2</v>
      </c>
      <c r="BJ39" s="24">
        <f t="shared" si="276"/>
        <v>-0.23223519556539185</v>
      </c>
      <c r="BK39" s="24">
        <f t="shared" ref="BK39:BN39" si="277">BK14/BK7</f>
        <v>-0.16667527302924057</v>
      </c>
      <c r="BL39" s="24">
        <f t="shared" si="277"/>
        <v>-0.18831199678879668</v>
      </c>
      <c r="BM39" s="24">
        <f t="shared" si="277"/>
        <v>-0.18010687156755775</v>
      </c>
      <c r="BN39" s="24">
        <f t="shared" si="277"/>
        <v>-0.16700876267392764</v>
      </c>
    </row>
    <row r="40" spans="2:66" s="34" customFormat="1" ht="13.5" customHeight="1">
      <c r="B40" s="289" t="str">
        <f>B17</f>
        <v>Operating Profit</v>
      </c>
      <c r="C40" s="24"/>
      <c r="D40" s="24">
        <f t="shared" ref="D40:H40" si="278">D17/D7</f>
        <v>9.3345177209802413E-2</v>
      </c>
      <c r="E40" s="24">
        <f t="shared" si="278"/>
        <v>0.10002367451581257</v>
      </c>
      <c r="F40" s="24">
        <f t="shared" si="278"/>
        <v>0.10648792682355178</v>
      </c>
      <c r="G40" s="24">
        <f t="shared" si="278"/>
        <v>0.11901189766530589</v>
      </c>
      <c r="H40" s="24">
        <f t="shared" si="278"/>
        <v>0.12505903412775418</v>
      </c>
      <c r="I40" s="24">
        <f t="shared" ref="I40:J40" si="279">I17/I7</f>
        <v>0.14195889359324754</v>
      </c>
      <c r="J40" s="24">
        <f t="shared" si="279"/>
        <v>0.13574780724024449</v>
      </c>
      <c r="K40" s="24">
        <f t="shared" ref="K40:L40" si="280">K17/K7</f>
        <v>0.12566408455383765</v>
      </c>
      <c r="L40" s="24">
        <f t="shared" si="280"/>
        <v>0.12110884359839133</v>
      </c>
      <c r="M40" s="24">
        <f t="shared" ref="M40:N40" si="281">M17/M7</f>
        <v>0.12079606487328312</v>
      </c>
      <c r="N40" s="24">
        <f t="shared" si="281"/>
        <v>0.12775478923552544</v>
      </c>
      <c r="O40" s="24">
        <f t="shared" ref="O40" si="282">O17/O7</f>
        <v>0.13059460118779975</v>
      </c>
      <c r="P40" s="24">
        <f>P17/P7</f>
        <v>0.13263058426324595</v>
      </c>
      <c r="Q40" s="316"/>
      <c r="R40" s="24">
        <f t="shared" ref="R40:X40" si="283">R17/R7</f>
        <v>0.14514099858793758</v>
      </c>
      <c r="S40" s="24">
        <f t="shared" si="283"/>
        <v>8.2050743560495173E-2</v>
      </c>
      <c r="T40" s="24">
        <f t="shared" si="283"/>
        <v>9.0878857484536918E-2</v>
      </c>
      <c r="U40" s="24">
        <f t="shared" si="283"/>
        <v>0.16177980592080005</v>
      </c>
      <c r="V40" s="24">
        <f t="shared" si="283"/>
        <v>0.14657528409242396</v>
      </c>
      <c r="W40" s="24">
        <f t="shared" si="283"/>
        <v>9.4328492234598993E-2</v>
      </c>
      <c r="X40" s="24">
        <f t="shared" si="283"/>
        <v>8.9010532299112058E-2</v>
      </c>
      <c r="Y40" s="24">
        <f t="shared" ref="Y40:Z40" si="284">Y17/Y7</f>
        <v>0.21075591736622082</v>
      </c>
      <c r="Z40" s="24">
        <f t="shared" si="284"/>
        <v>0.14473616352591873</v>
      </c>
      <c r="AA40" s="24">
        <f t="shared" ref="AA40:AD40" si="285">AA17/AA7</f>
        <v>3.4871569200185137E-2</v>
      </c>
      <c r="AB40" s="24">
        <f t="shared" si="285"/>
        <v>0.13603664876023533</v>
      </c>
      <c r="AC40" s="24">
        <f t="shared" si="285"/>
        <v>0.19085555127264511</v>
      </c>
      <c r="AD40" s="24">
        <f t="shared" si="285"/>
        <v>0.14904368659445583</v>
      </c>
      <c r="AE40" s="24">
        <f t="shared" ref="AE40:AH40" si="286">AE17/AE7</f>
        <v>9.9117128954257561E-2</v>
      </c>
      <c r="AF40" s="24">
        <f t="shared" si="286"/>
        <v>0.10305292584980598</v>
      </c>
      <c r="AG40" s="24">
        <f t="shared" si="286"/>
        <v>0.142129078943558</v>
      </c>
      <c r="AH40" s="24">
        <f t="shared" si="286"/>
        <v>0.14672557021734617</v>
      </c>
      <c r="AI40" s="24">
        <f t="shared" ref="AI40:AJ40" si="287">AI17/AI7</f>
        <v>8.1075841581187122E-2</v>
      </c>
      <c r="AJ40" s="24">
        <f t="shared" si="287"/>
        <v>0.1076947711904146</v>
      </c>
      <c r="AK40" s="24">
        <f t="shared" ref="AK40:AN40" si="288">AK17/AK7</f>
        <v>0.14201668321577957</v>
      </c>
      <c r="AL40" s="24">
        <f t="shared" si="288"/>
        <v>0.13386734457701877</v>
      </c>
      <c r="AM40" s="24">
        <f t="shared" si="288"/>
        <v>6.6390312460576653E-2</v>
      </c>
      <c r="AN40" s="24">
        <f t="shared" si="288"/>
        <v>0.10369207970499458</v>
      </c>
      <c r="AO40" s="24">
        <f t="shared" ref="AO40:AR40" si="289">AO17/AO7</f>
        <v>0.17733054040477639</v>
      </c>
      <c r="AP40" s="24">
        <f t="shared" si="289"/>
        <v>0.14368016092120817</v>
      </c>
      <c r="AQ40" s="24">
        <f t="shared" si="289"/>
        <v>9.4866620758319919E-2</v>
      </c>
      <c r="AR40" s="24">
        <f t="shared" si="289"/>
        <v>0.10133371617014302</v>
      </c>
      <c r="AS40" s="24">
        <f t="shared" ref="AS40:AV40" si="290">AS17/AS7</f>
        <v>0.15567573595094025</v>
      </c>
      <c r="AT40" s="24">
        <f t="shared" si="290"/>
        <v>0.14654110214173557</v>
      </c>
      <c r="AU40" s="24">
        <f t="shared" si="290"/>
        <v>9.9944901202763003E-2</v>
      </c>
      <c r="AV40" s="24">
        <f t="shared" si="290"/>
        <v>0.11514992847437498</v>
      </c>
      <c r="AW40" s="24">
        <f t="shared" ref="AW40:AX40" si="291">AW17/AW7</f>
        <v>0.1532732125865072</v>
      </c>
      <c r="AX40" s="24">
        <f t="shared" si="291"/>
        <v>0.15336608733799523</v>
      </c>
      <c r="AY40" s="42"/>
      <c r="AZ40" s="42"/>
      <c r="BA40" s="42"/>
      <c r="BG40" s="24">
        <f t="shared" ref="BG40:BJ40" si="292">BG17/BG7</f>
        <v>0.13386734457701877</v>
      </c>
      <c r="BH40" s="24">
        <f t="shared" si="292"/>
        <v>6.8161789133626555E-2</v>
      </c>
      <c r="BI40" s="24">
        <f t="shared" si="292"/>
        <v>9.9045268030293052E-2</v>
      </c>
      <c r="BJ40" s="24">
        <f t="shared" si="292"/>
        <v>0.16657574409994416</v>
      </c>
      <c r="BK40" s="24">
        <f t="shared" ref="BK40:BN40" si="293">BK17/BK7</f>
        <v>0.14368016092120808</v>
      </c>
      <c r="BL40" s="24">
        <f t="shared" si="293"/>
        <v>9.5940274865126046E-2</v>
      </c>
      <c r="BM40" s="24">
        <f t="shared" si="293"/>
        <v>9.7446832051022544E-2</v>
      </c>
      <c r="BN40" s="24">
        <f t="shared" si="293"/>
        <v>0.15536721059173408</v>
      </c>
    </row>
    <row r="41" spans="2:66" s="34" customFormat="1" ht="13.5" customHeight="1">
      <c r="B41" s="289" t="s">
        <v>233</v>
      </c>
      <c r="C41" s="24"/>
      <c r="D41" s="24">
        <f>D18/(D111)</f>
        <v>0.10885599713883393</v>
      </c>
      <c r="E41" s="24">
        <f t="shared" ref="E41:H41" si="294">E18/(E111)</f>
        <v>7.8339280268007336E-2</v>
      </c>
      <c r="F41" s="24">
        <f t="shared" si="294"/>
        <v>6.8394638459597729E-2</v>
      </c>
      <c r="G41" s="24">
        <f t="shared" si="294"/>
        <v>8.2165304890009186E-2</v>
      </c>
      <c r="H41" s="24">
        <f t="shared" si="294"/>
        <v>2.864827493934376E-2</v>
      </c>
      <c r="I41" s="24">
        <f t="shared" ref="I41:J41" si="295">I18/(I111)</f>
        <v>0.28657973073286597</v>
      </c>
      <c r="J41" s="24">
        <f t="shared" si="295"/>
        <v>4.828561124400782E-2</v>
      </c>
      <c r="K41" s="24">
        <f t="shared" ref="K41:L41" si="296">K18/(K111)</f>
        <v>2.5604867661816313E-2</v>
      </c>
      <c r="L41" s="24">
        <f t="shared" si="296"/>
        <v>0.13618396668423682</v>
      </c>
      <c r="M41" s="24">
        <f t="shared" ref="M41:N41" si="297">M18/(M111)</f>
        <v>0.10338443834007374</v>
      </c>
      <c r="N41" s="24">
        <f t="shared" si="297"/>
        <v>0.11635208471947121</v>
      </c>
      <c r="O41" s="24">
        <f t="shared" ref="O41" si="298">O18/(O111)</f>
        <v>6.2182606377346933E-2</v>
      </c>
      <c r="P41" s="24">
        <f>P18/(P111)</f>
        <v>6.3089500530004561E-2</v>
      </c>
      <c r="Q41" s="316"/>
      <c r="R41" s="24"/>
      <c r="S41" s="24"/>
      <c r="T41" s="24"/>
      <c r="U41" s="24">
        <f>(U18+T18+S18+R18)/(U111)</f>
        <v>2.8648274939343774E-2</v>
      </c>
      <c r="V41" s="24">
        <f t="shared" ref="V41:AX41" si="299">(V18+U18+T18+S18)/(V111)</f>
        <v>3.2822342724321052E-2</v>
      </c>
      <c r="W41" s="24">
        <f t="shared" si="299"/>
        <v>3.7285383445587461E-2</v>
      </c>
      <c r="X41" s="24">
        <f t="shared" si="299"/>
        <v>4.9684786507938533E-2</v>
      </c>
      <c r="Y41" s="24">
        <f t="shared" si="299"/>
        <v>0.28657973073286597</v>
      </c>
      <c r="Z41" s="24">
        <f t="shared" si="299"/>
        <v>0.12098345517627151</v>
      </c>
      <c r="AA41" s="24">
        <f t="shared" si="299"/>
        <v>0.13824214596328707</v>
      </c>
      <c r="AB41" s="24">
        <f t="shared" si="299"/>
        <v>0.17760960647490315</v>
      </c>
      <c r="AC41" s="24">
        <f t="shared" si="299"/>
        <v>4.828561124400782E-2</v>
      </c>
      <c r="AD41" s="24">
        <f t="shared" si="299"/>
        <v>7.9928078451296056E-2</v>
      </c>
      <c r="AE41" s="24">
        <f t="shared" si="299"/>
        <v>2.786031521298156E-2</v>
      </c>
      <c r="AF41" s="24">
        <f t="shared" si="299"/>
        <v>2.0201215255826716E-2</v>
      </c>
      <c r="AG41" s="24">
        <f t="shared" si="299"/>
        <v>2.5604867661816317E-2</v>
      </c>
      <c r="AH41" s="24">
        <f t="shared" si="299"/>
        <v>3.9213185347496002E-2</v>
      </c>
      <c r="AI41" s="24">
        <f t="shared" si="299"/>
        <v>0.12065511802794529</v>
      </c>
      <c r="AJ41" s="24">
        <f t="shared" si="299"/>
        <v>0.15295436618560734</v>
      </c>
      <c r="AK41" s="24">
        <f t="shared" si="299"/>
        <v>0.13618396668423682</v>
      </c>
      <c r="AL41" s="24">
        <f t="shared" si="299"/>
        <v>0.15445778241463012</v>
      </c>
      <c r="AM41" s="24">
        <f t="shared" si="299"/>
        <v>0.14275592235847745</v>
      </c>
      <c r="AN41" s="24">
        <f t="shared" si="299"/>
        <v>0.15722175398808882</v>
      </c>
      <c r="AO41" s="24">
        <f t="shared" si="299"/>
        <v>0.10338443834007374</v>
      </c>
      <c r="AP41" s="24">
        <f t="shared" si="299"/>
        <v>7.8687077206325021E-2</v>
      </c>
      <c r="AQ41" s="24">
        <f t="shared" si="299"/>
        <v>9.1881273274662237E-2</v>
      </c>
      <c r="AR41" s="24">
        <f t="shared" si="299"/>
        <v>0.10237249764597921</v>
      </c>
      <c r="AS41" s="24">
        <f t="shared" si="299"/>
        <v>0.11635208471947121</v>
      </c>
      <c r="AT41" s="24">
        <f t="shared" si="299"/>
        <v>0.13778140066762587</v>
      </c>
      <c r="AU41" s="24">
        <f t="shared" si="299"/>
        <v>0.12730612926329463</v>
      </c>
      <c r="AV41" s="24">
        <f t="shared" si="299"/>
        <v>8.7761024401804499E-2</v>
      </c>
      <c r="AW41" s="24">
        <f t="shared" si="299"/>
        <v>6.2182606377346933E-2</v>
      </c>
      <c r="AX41" s="24">
        <f t="shared" si="299"/>
        <v>6.3089500530004561E-2</v>
      </c>
      <c r="AY41" s="42"/>
      <c r="AZ41" s="42"/>
      <c r="BA41" s="42"/>
      <c r="BG41" s="24"/>
      <c r="BH41" s="24"/>
      <c r="BI41" s="24"/>
      <c r="BJ41" s="24"/>
      <c r="BK41" s="24"/>
      <c r="BL41" s="24"/>
      <c r="BM41" s="24"/>
      <c r="BN41" s="24"/>
    </row>
    <row r="42" spans="2:66" s="34" customFormat="1" ht="13.5" customHeight="1">
      <c r="B42" s="289" t="s">
        <v>234</v>
      </c>
      <c r="C42" s="24"/>
      <c r="D42" s="24">
        <f t="shared" ref="D42:H42" si="300">-D19/D109</f>
        <v>8.2422823579637663E-2</v>
      </c>
      <c r="E42" s="24">
        <f t="shared" si="300"/>
        <v>6.8628926567665199E-2</v>
      </c>
      <c r="F42" s="24">
        <f t="shared" si="300"/>
        <v>6.6574129244302685E-2</v>
      </c>
      <c r="G42" s="24">
        <f t="shared" si="300"/>
        <v>7.5700979531776361E-2</v>
      </c>
      <c r="H42" s="24">
        <f t="shared" si="300"/>
        <v>7.2358627880013834E-2</v>
      </c>
      <c r="I42" s="24">
        <f t="shared" ref="I42:J42" si="301">-I19/I109</f>
        <v>5.9826535308786566E-2</v>
      </c>
      <c r="J42" s="24">
        <f t="shared" si="301"/>
        <v>5.6848767172075265E-2</v>
      </c>
      <c r="K42" s="24">
        <f t="shared" ref="K42:L42" si="302">-K19/K109</f>
        <v>4.9311341524076562E-2</v>
      </c>
      <c r="L42" s="24">
        <f t="shared" si="302"/>
        <v>5.2180835226466687E-2</v>
      </c>
      <c r="M42" s="24">
        <f t="shared" ref="M42:N42" si="303">-M19/M109</f>
        <v>6.3338629681742323E-2</v>
      </c>
      <c r="N42" s="24">
        <f t="shared" si="303"/>
        <v>6.2836545279301423E-2</v>
      </c>
      <c r="O42" s="24">
        <f t="shared" ref="O42" si="304">-O19/O109</f>
        <v>5.8788441566740839E-2</v>
      </c>
      <c r="P42" s="24">
        <f>-P19/P109</f>
        <v>5.7854567064750562E-2</v>
      </c>
      <c r="Q42" s="316"/>
      <c r="R42" s="24"/>
      <c r="S42" s="24"/>
      <c r="T42" s="24"/>
      <c r="U42" s="24">
        <f t="shared" ref="U42:AX42" si="305">-(U19+T19+S19+R19)/U109</f>
        <v>7.2358627880013821E-2</v>
      </c>
      <c r="V42" s="24">
        <f t="shared" si="305"/>
        <v>7.2166812017149667E-2</v>
      </c>
      <c r="W42" s="24">
        <f t="shared" si="305"/>
        <v>7.1917707925894497E-2</v>
      </c>
      <c r="X42" s="24">
        <f t="shared" si="305"/>
        <v>7.2821686342891462E-2</v>
      </c>
      <c r="Y42" s="24">
        <f t="shared" si="305"/>
        <v>5.9826535308786559E-2</v>
      </c>
      <c r="Z42" s="24">
        <f t="shared" si="305"/>
        <v>4.5164332769383433E-2</v>
      </c>
      <c r="AA42" s="24">
        <f t="shared" si="305"/>
        <v>4.5943501850234603E-2</v>
      </c>
      <c r="AB42" s="24">
        <f t="shared" si="305"/>
        <v>5.0027230553056343E-2</v>
      </c>
      <c r="AC42" s="24">
        <f t="shared" si="305"/>
        <v>5.6848767172075265E-2</v>
      </c>
      <c r="AD42" s="24">
        <f t="shared" si="305"/>
        <v>5.7289347295279597E-2</v>
      </c>
      <c r="AE42" s="24">
        <f t="shared" si="305"/>
        <v>5.8781352493916916E-2</v>
      </c>
      <c r="AF42" s="24">
        <f t="shared" si="305"/>
        <v>5.5054362315786538E-2</v>
      </c>
      <c r="AG42" s="24">
        <f t="shared" si="305"/>
        <v>4.9311341524076555E-2</v>
      </c>
      <c r="AH42" s="24">
        <f t="shared" si="305"/>
        <v>5.1838270101440646E-2</v>
      </c>
      <c r="AI42" s="24">
        <f t="shared" si="305"/>
        <v>4.725935529818507E-2</v>
      </c>
      <c r="AJ42" s="24">
        <f t="shared" si="305"/>
        <v>4.8150316781969689E-2</v>
      </c>
      <c r="AK42" s="24">
        <f t="shared" si="305"/>
        <v>5.2180835226466687E-2</v>
      </c>
      <c r="AL42" s="24">
        <f t="shared" si="305"/>
        <v>5.4937018935560633E-2</v>
      </c>
      <c r="AM42" s="24">
        <f t="shared" si="305"/>
        <v>5.3299361555235521E-2</v>
      </c>
      <c r="AN42" s="24">
        <f t="shared" si="305"/>
        <v>6.5097261320027813E-2</v>
      </c>
      <c r="AO42" s="24">
        <f t="shared" si="305"/>
        <v>6.3338629681742323E-2</v>
      </c>
      <c r="AP42" s="24">
        <f t="shared" si="305"/>
        <v>6.2359309810695124E-2</v>
      </c>
      <c r="AQ42" s="24">
        <f t="shared" si="305"/>
        <v>6.1338175079004673E-2</v>
      </c>
      <c r="AR42" s="24">
        <f t="shared" si="305"/>
        <v>5.9557564789744041E-2</v>
      </c>
      <c r="AS42" s="24">
        <f t="shared" si="305"/>
        <v>6.2836545279301423E-2</v>
      </c>
      <c r="AT42" s="24">
        <f t="shared" si="305"/>
        <v>6.600727884960346E-2</v>
      </c>
      <c r="AU42" s="24">
        <f>-(AU19+AT19+AS19+AR19)/AU109</f>
        <v>6.5398136603936521E-2</v>
      </c>
      <c r="AV42" s="24">
        <f t="shared" si="305"/>
        <v>6.040043061273602E-2</v>
      </c>
      <c r="AW42" s="24">
        <f t="shared" si="305"/>
        <v>5.8788441566740839E-2</v>
      </c>
      <c r="AX42" s="24">
        <f t="shared" si="305"/>
        <v>5.7854567064750562E-2</v>
      </c>
      <c r="AY42" s="42"/>
      <c r="AZ42" s="42"/>
      <c r="BA42" s="42"/>
      <c r="BG42" s="24"/>
      <c r="BH42" s="24"/>
      <c r="BI42" s="24"/>
      <c r="BJ42" s="24"/>
      <c r="BK42" s="24"/>
      <c r="BL42" s="24"/>
      <c r="BM42" s="24"/>
      <c r="BN42" s="24"/>
    </row>
    <row r="43" spans="2:66" s="34" customFormat="1" ht="13.5" customHeight="1">
      <c r="B43" s="289" t="str">
        <f>B23</f>
        <v>Profit before tax</v>
      </c>
      <c r="C43" s="24"/>
      <c r="D43" s="24">
        <f t="shared" ref="D43:H43" si="306">D23/D7</f>
        <v>5.4432940515942461E-2</v>
      </c>
      <c r="E43" s="24">
        <f t="shared" si="306"/>
        <v>6.9106682086279958E-2</v>
      </c>
      <c r="F43" s="24">
        <f t="shared" si="306"/>
        <v>7.9245810250104687E-2</v>
      </c>
      <c r="G43" s="24">
        <f t="shared" si="306"/>
        <v>9.2379433265543154E-2</v>
      </c>
      <c r="H43" s="24">
        <f t="shared" si="306"/>
        <v>9.1466409182976549E-2</v>
      </c>
      <c r="I43" s="24">
        <f t="shared" ref="I43:J43" si="307">I23/I7</f>
        <v>0.13288913911707198</v>
      </c>
      <c r="J43" s="24">
        <f t="shared" si="307"/>
        <v>0.10482522866146464</v>
      </c>
      <c r="K43" s="24">
        <f t="shared" ref="K43:L43" si="308">K23/K7</f>
        <v>9.1670501278184532E-2</v>
      </c>
      <c r="L43" s="24">
        <f t="shared" si="308"/>
        <v>8.7622988480810793E-2</v>
      </c>
      <c r="M43" s="24">
        <f t="shared" ref="M43:N43" si="309">M23/M7</f>
        <v>9.9489042060805749E-2</v>
      </c>
      <c r="N43" s="24">
        <f t="shared" si="309"/>
        <v>0.11414707635250444</v>
      </c>
      <c r="O43" s="24">
        <f t="shared" ref="O43" si="310">O23/O7</f>
        <v>0.1137976148773346</v>
      </c>
      <c r="P43" s="24">
        <f>P23/P7</f>
        <v>0.11951910810191685</v>
      </c>
      <c r="Q43" s="316"/>
      <c r="R43" s="24">
        <f t="shared" ref="R43:X43" si="311">R23/R7</f>
        <v>0.12542812739886311</v>
      </c>
      <c r="S43" s="24">
        <f t="shared" si="311"/>
        <v>5.745653593898601E-2</v>
      </c>
      <c r="T43" s="24">
        <f t="shared" si="311"/>
        <v>5.6166287184978625E-2</v>
      </c>
      <c r="U43" s="24">
        <f t="shared" si="311"/>
        <v>0.10848870400307017</v>
      </c>
      <c r="V43" s="24">
        <f t="shared" si="311"/>
        <v>0.12657204917108161</v>
      </c>
      <c r="W43" s="24">
        <f t="shared" si="311"/>
        <v>6.0207327790882385E-2</v>
      </c>
      <c r="X43" s="24">
        <f t="shared" si="311"/>
        <v>6.6133682256880752E-2</v>
      </c>
      <c r="Y43" s="24">
        <f t="shared" ref="Y43:Z43" si="312">Y23/Y7</f>
        <v>0.23836471624479319</v>
      </c>
      <c r="Z43" s="24">
        <f t="shared" si="312"/>
        <v>0.11218705850713663</v>
      </c>
      <c r="AA43" s="24">
        <f t="shared" ref="AA43" si="313">AA23/AA7</f>
        <v>8.8977400046757124E-3</v>
      </c>
      <c r="AB43" s="24">
        <f>AB23/AB7</f>
        <v>0.10333299062287028</v>
      </c>
      <c r="AC43" s="24">
        <f t="shared" ref="AC43:AE43" si="314">AC23/AC7</f>
        <v>0.15988598375567634</v>
      </c>
      <c r="AD43" s="24">
        <f t="shared" si="314"/>
        <v>0.12322202849282446</v>
      </c>
      <c r="AE43" s="24">
        <f t="shared" si="314"/>
        <v>3.424584971686926E-2</v>
      </c>
      <c r="AF43" s="24">
        <f>AF23/AF7</f>
        <v>7.7899508791186359E-2</v>
      </c>
      <c r="AG43" s="24">
        <f t="shared" ref="AG43:AI43" si="315">AG23/AG7</f>
        <v>0.11461798558442005</v>
      </c>
      <c r="AH43" s="24">
        <f t="shared" si="315"/>
        <v>0.1195713593462287</v>
      </c>
      <c r="AI43" s="24">
        <f t="shared" si="315"/>
        <v>5.3459859020302189E-2</v>
      </c>
      <c r="AJ43" s="24">
        <f>AJ23/AJ7</f>
        <v>7.5152110220005869E-2</v>
      </c>
      <c r="AK43" s="24">
        <f>AK23/AK7</f>
        <v>9.8317854567672558E-2</v>
      </c>
      <c r="AL43" s="24">
        <f t="shared" ref="AL43:AM43" si="316">AL23/AL7</f>
        <v>0.11555513565913751</v>
      </c>
      <c r="AM43" s="24">
        <f t="shared" si="316"/>
        <v>4.6558440731043552E-2</v>
      </c>
      <c r="AN43" s="24">
        <f>AN23/AN7</f>
        <v>0.10903739735731603</v>
      </c>
      <c r="AO43" s="24">
        <f>AO23/AO7</f>
        <v>0.12298526894430954</v>
      </c>
      <c r="AP43" s="24">
        <f t="shared" ref="AP43:AQ43" si="317">AP23/AP7</f>
        <v>0.13868335279427654</v>
      </c>
      <c r="AQ43" s="24">
        <f t="shared" si="317"/>
        <v>7.2636966080139212E-2</v>
      </c>
      <c r="AR43" s="24">
        <f>AR23/AR7</f>
        <v>7.9830994570923561E-2</v>
      </c>
      <c r="AS43" s="24">
        <f>AS23/AS7</f>
        <v>0.14658017751370325</v>
      </c>
      <c r="AT43" s="24">
        <f t="shared" ref="AT43:AU43" si="318">AT23/AT7</f>
        <v>0.13024500097129646</v>
      </c>
      <c r="AU43" s="24">
        <f t="shared" si="318"/>
        <v>7.9681991148178255E-2</v>
      </c>
      <c r="AV43" s="24">
        <f>AV23/AV7</f>
        <v>0.10354840959104762</v>
      </c>
      <c r="AW43" s="24">
        <f>AW23/AW7</f>
        <v>0.13424918220476792</v>
      </c>
      <c r="AX43" s="24">
        <f t="shared" ref="AX43" si="319">AX23/AX7</f>
        <v>0.15053189175672277</v>
      </c>
      <c r="AY43" s="42"/>
      <c r="AZ43" s="42"/>
      <c r="BA43" s="42"/>
      <c r="BG43" s="24">
        <f t="shared" ref="BG43:BH43" si="320">BG23/BG7</f>
        <v>0.1155551356591375</v>
      </c>
      <c r="BH43" s="24">
        <f t="shared" si="320"/>
        <v>4.3032793156294338E-2</v>
      </c>
      <c r="BI43" s="24">
        <f>BI23/BI7</f>
        <v>7.7687302286655824E-2</v>
      </c>
      <c r="BJ43" s="24">
        <f>BJ23/BJ7</f>
        <v>0.14564502451031089</v>
      </c>
      <c r="BK43" s="24">
        <f t="shared" ref="BK43:BL43" si="321">BK23/BK7</f>
        <v>0.13868335279427646</v>
      </c>
      <c r="BL43" s="24">
        <f t="shared" si="321"/>
        <v>7.0282476367663313E-2</v>
      </c>
      <c r="BM43" s="24">
        <f>BM23/BM7</f>
        <v>7.0515628867827432E-2</v>
      </c>
      <c r="BN43" s="24">
        <f>BN23/BN7</f>
        <v>0.15111800579334869</v>
      </c>
    </row>
    <row r="44" spans="2:66" s="34" customFormat="1" ht="13.5" customHeight="1">
      <c r="B44" s="302" t="s">
        <v>235</v>
      </c>
      <c r="C44" s="24"/>
      <c r="D44" s="24">
        <f t="shared" ref="D44:H44" si="322">-D24/D23</f>
        <v>0.22508575711005521</v>
      </c>
      <c r="E44" s="24">
        <f t="shared" si="322"/>
        <v>0.32096813139780983</v>
      </c>
      <c r="F44" s="24">
        <f t="shared" si="322"/>
        <v>0.34650296979464223</v>
      </c>
      <c r="G44" s="24">
        <f t="shared" si="322"/>
        <v>0.30326774977972693</v>
      </c>
      <c r="H44" s="24">
        <f t="shared" si="322"/>
        <v>0.36313195933530951</v>
      </c>
      <c r="I44" s="24">
        <f t="shared" ref="I44:J44" si="323">-I24/I23</f>
        <v>0.25872883888557185</v>
      </c>
      <c r="J44" s="24">
        <f t="shared" si="323"/>
        <v>0.30841793288192609</v>
      </c>
      <c r="K44" s="24">
        <f t="shared" ref="K44:L44" si="324">-K24/K23</f>
        <v>0.22724053918323753</v>
      </c>
      <c r="L44" s="24">
        <f t="shared" si="324"/>
        <v>0.44820881977245836</v>
      </c>
      <c r="M44" s="24">
        <f t="shared" ref="M44:N44" si="325">-M24/M23</f>
        <v>0.33010516073204854</v>
      </c>
      <c r="N44" s="24">
        <f t="shared" si="325"/>
        <v>0.3624438004864467</v>
      </c>
      <c r="O44" s="24">
        <f t="shared" ref="O44" si="326">-O24/O23</f>
        <v>0.28940354257367579</v>
      </c>
      <c r="P44" s="24">
        <f>-P24/P23</f>
        <v>0.27946980519675152</v>
      </c>
      <c r="Q44" s="316"/>
      <c r="R44" s="24">
        <f t="shared" ref="R44:X44" si="327">-R24/R23</f>
        <v>0.29245284194500815</v>
      </c>
      <c r="S44" s="24">
        <f t="shared" si="327"/>
        <v>0.58765060745746101</v>
      </c>
      <c r="T44" s="24">
        <f t="shared" si="327"/>
        <v>0.45037329825603267</v>
      </c>
      <c r="U44" s="24">
        <f t="shared" si="327"/>
        <v>0.32268446807061024</v>
      </c>
      <c r="V44" s="24">
        <f t="shared" si="327"/>
        <v>0.17593614806458896</v>
      </c>
      <c r="W44" s="24">
        <f t="shared" si="327"/>
        <v>0.34247230380177401</v>
      </c>
      <c r="X44" s="24">
        <f t="shared" si="327"/>
        <v>5.4396355681925759E-2</v>
      </c>
      <c r="Y44" s="24">
        <f t="shared" ref="Y44:Z44" si="328">-Y24/Y23</f>
        <v>0.32226780957496381</v>
      </c>
      <c r="Z44" s="24">
        <f t="shared" si="328"/>
        <v>0.13464629075620305</v>
      </c>
      <c r="AA44" s="24">
        <f t="shared" ref="AA44:AD44" si="329">-AA24/AA23</f>
        <v>0.79124598026768489</v>
      </c>
      <c r="AB44" s="24">
        <f t="shared" si="329"/>
        <v>0.3539505167753999</v>
      </c>
      <c r="AC44" s="24">
        <f t="shared" si="329"/>
        <v>0.39366225372413893</v>
      </c>
      <c r="AD44" s="24">
        <f t="shared" si="329"/>
        <v>0.30901988738842323</v>
      </c>
      <c r="AE44" s="24">
        <f t="shared" ref="AE44:AH44" si="330">-AE24/AE23</f>
        <v>0.88285470684317302</v>
      </c>
      <c r="AF44" s="24">
        <f t="shared" si="330"/>
        <v>4.7843829522026204E-2</v>
      </c>
      <c r="AG44" s="24">
        <f t="shared" si="330"/>
        <v>0.1370662123765542</v>
      </c>
      <c r="AH44" s="24">
        <f t="shared" si="330"/>
        <v>0.5416196318551546</v>
      </c>
      <c r="AI44" s="24">
        <f t="shared" ref="AI44:AJ44" si="331">-AI24/AI23</f>
        <v>0.20493241439622575</v>
      </c>
      <c r="AJ44" s="24">
        <f t="shared" si="331"/>
        <v>0.29680750188890442</v>
      </c>
      <c r="AK44" s="24">
        <f t="shared" ref="AK44:AN44" si="332">-AK24/AK23</f>
        <v>0.55359648470852463</v>
      </c>
      <c r="AL44" s="24">
        <f t="shared" si="332"/>
        <v>0.44394843334014833</v>
      </c>
      <c r="AM44" s="24">
        <f t="shared" si="332"/>
        <v>0.58067877949087365</v>
      </c>
      <c r="AN44" s="24">
        <f t="shared" si="332"/>
        <v>0.13053963472476077</v>
      </c>
      <c r="AO44" s="24">
        <f t="shared" ref="AO44:AR44" si="333">-AO24/AO23</f>
        <v>0.30675218918167957</v>
      </c>
      <c r="AP44" s="24">
        <f t="shared" si="333"/>
        <v>0.36082050981132291</v>
      </c>
      <c r="AQ44" s="24">
        <f t="shared" si="333"/>
        <v>0.49053108037233284</v>
      </c>
      <c r="AR44" s="24">
        <f t="shared" si="333"/>
        <v>0.27101644357542776</v>
      </c>
      <c r="AS44" s="24">
        <f t="shared" ref="AS44:AV44" si="334">-AS24/AS23</f>
        <v>0.35730948464697049</v>
      </c>
      <c r="AT44" s="24">
        <f t="shared" si="334"/>
        <v>0.3111995277351845</v>
      </c>
      <c r="AU44" s="24">
        <f t="shared" si="334"/>
        <v>0.37547873438664203</v>
      </c>
      <c r="AV44" s="24">
        <f t="shared" si="334"/>
        <v>0.30522913642550803</v>
      </c>
      <c r="AW44" s="24">
        <f t="shared" ref="AW44:AX44" si="335">-AW24/AW23</f>
        <v>0.21723336816519689</v>
      </c>
      <c r="AX44" s="24">
        <f t="shared" si="335"/>
        <v>0.27867487122860235</v>
      </c>
      <c r="AY44" s="42"/>
      <c r="AZ44" s="42"/>
      <c r="BA44" s="42"/>
      <c r="BG44" s="24">
        <f t="shared" ref="BG44:BJ44" si="336">-BG24/BG23</f>
        <v>0.44394843334014833</v>
      </c>
      <c r="BH44" s="24">
        <f t="shared" si="336"/>
        <v>0.65016501256946069</v>
      </c>
      <c r="BI44" s="24">
        <f t="shared" si="336"/>
        <v>0.14061983522183433</v>
      </c>
      <c r="BJ44" s="24">
        <f t="shared" si="336"/>
        <v>0.26854185897891075</v>
      </c>
      <c r="BK44" s="24">
        <f t="shared" ref="BK44:BN44" si="337">-BK24/BK23</f>
        <v>0.36082050981132313</v>
      </c>
      <c r="BL44" s="24">
        <f t="shared" si="337"/>
        <v>0.51852044350813886</v>
      </c>
      <c r="BM44" s="24">
        <f t="shared" si="337"/>
        <v>0.24559317237974321</v>
      </c>
      <c r="BN44" s="24">
        <f t="shared" si="337"/>
        <v>0.34387046907804103</v>
      </c>
    </row>
    <row r="45" spans="2:66" s="34" customFormat="1" ht="13.5" customHeight="1">
      <c r="B45" s="1"/>
      <c r="C45" s="42"/>
      <c r="D45" s="42"/>
      <c r="E45" s="42"/>
      <c r="F45" s="42"/>
      <c r="G45" s="42"/>
      <c r="H45" s="42"/>
      <c r="I45" s="42"/>
      <c r="J45" s="42"/>
      <c r="K45" s="42"/>
      <c r="L45" s="42"/>
      <c r="M45" s="42"/>
      <c r="N45" s="42"/>
      <c r="O45" s="42"/>
      <c r="P45" s="42"/>
      <c r="Q45" s="316"/>
      <c r="R45" s="42"/>
      <c r="S45" s="42"/>
      <c r="T45" s="42"/>
      <c r="U45" s="42"/>
      <c r="V45" s="42"/>
      <c r="W45" s="42"/>
      <c r="X45" s="42"/>
      <c r="Y45" s="42"/>
      <c r="Z45" s="42"/>
      <c r="AA45" s="42"/>
      <c r="AB45" s="42"/>
      <c r="AC45" s="42"/>
      <c r="AD45" s="42"/>
      <c r="AE45" s="42"/>
      <c r="AF45" s="42"/>
      <c r="AG45" s="42"/>
      <c r="AH45" s="42"/>
      <c r="AI45" s="42"/>
      <c r="AJ45" s="42"/>
      <c r="AK45" s="42"/>
      <c r="AL45" s="42"/>
      <c r="AM45" s="42"/>
      <c r="AN45" s="42"/>
      <c r="AO45" s="42"/>
      <c r="AP45" s="42"/>
      <c r="AQ45" s="42"/>
      <c r="AR45" s="42"/>
      <c r="AS45" s="42"/>
      <c r="AT45" s="42"/>
      <c r="AU45" s="42"/>
      <c r="AV45" s="42"/>
      <c r="AW45" s="42"/>
      <c r="AX45" s="42"/>
      <c r="AY45" s="42"/>
      <c r="AZ45" s="42"/>
      <c r="BA45" s="42"/>
      <c r="BG45" s="42"/>
      <c r="BH45" s="42"/>
      <c r="BI45" s="42"/>
      <c r="BJ45" s="42"/>
      <c r="BK45" s="42"/>
      <c r="BL45" s="42"/>
      <c r="BM45" s="42"/>
      <c r="BN45" s="42"/>
    </row>
    <row r="46" spans="2:66" s="34" customFormat="1" ht="13.5" customHeight="1">
      <c r="B46" s="23" t="s">
        <v>236</v>
      </c>
      <c r="C46" s="24"/>
      <c r="D46" s="24">
        <f t="shared" ref="D46:H46" si="338">-D67/D7</f>
        <v>6.4817551731893422E-2</v>
      </c>
      <c r="E46" s="24">
        <f t="shared" si="338"/>
        <v>5.9869964788046098E-2</v>
      </c>
      <c r="F46" s="24">
        <f t="shared" si="338"/>
        <v>7.2095632545897029E-2</v>
      </c>
      <c r="G46" s="24">
        <f t="shared" si="338"/>
        <v>9.1276007665271178E-2</v>
      </c>
      <c r="H46" s="24">
        <f t="shared" si="338"/>
        <v>7.2211140018051803E-2</v>
      </c>
      <c r="I46" s="24">
        <f t="shared" ref="I46:J46" si="339">-I67/I7</f>
        <v>6.2205054367655742E-2</v>
      </c>
      <c r="J46" s="24">
        <f t="shared" si="339"/>
        <v>5.0563702953988411E-2</v>
      </c>
      <c r="K46" s="24">
        <f t="shared" ref="K46:L46" si="340">-K67/K7</f>
        <v>6.2622004313174287E-2</v>
      </c>
      <c r="L46" s="24">
        <f t="shared" si="340"/>
        <v>7.0236532598248635E-2</v>
      </c>
      <c r="M46" s="24">
        <f t="shared" ref="M46:N46" si="341">-M67/M7</f>
        <v>7.354207344908896E-2</v>
      </c>
      <c r="N46" s="24">
        <f t="shared" si="341"/>
        <v>9.0042913942567235E-2</v>
      </c>
      <c r="O46" s="24">
        <f t="shared" ref="O46" si="342">-O67/O7</f>
        <v>8.300878320142116E-2</v>
      </c>
      <c r="P46" s="24">
        <f t="shared" ref="P46" si="343">-P67/P7</f>
        <v>7.9066991804013234E-2</v>
      </c>
      <c r="Q46" s="316"/>
      <c r="R46" s="24">
        <f t="shared" ref="R46:X46" si="344">-R67/R7</f>
        <v>6.3494286594023161E-2</v>
      </c>
      <c r="S46" s="24">
        <f t="shared" si="344"/>
        <v>7.3679801570253445E-2</v>
      </c>
      <c r="T46" s="24">
        <f t="shared" si="344"/>
        <v>8.3864250921091427E-2</v>
      </c>
      <c r="U46" s="24">
        <f t="shared" si="344"/>
        <v>7.1442353618235491E-2</v>
      </c>
      <c r="V46" s="24">
        <f t="shared" si="344"/>
        <v>6.3158725827162282E-2</v>
      </c>
      <c r="W46" s="24">
        <f t="shared" si="344"/>
        <v>7.6371194394896272E-2</v>
      </c>
      <c r="X46" s="24">
        <f t="shared" si="344"/>
        <v>5.6664226908575505E-2</v>
      </c>
      <c r="Y46" s="24">
        <f t="shared" ref="Y46:Z46" si="345">-Y67/Y7</f>
        <v>5.5691874727410808E-2</v>
      </c>
      <c r="Z46" s="24">
        <f t="shared" si="345"/>
        <v>5.9872469566933588E-2</v>
      </c>
      <c r="AA46" s="24">
        <f t="shared" ref="AA46:AD46" si="346">-AA67/AA7</f>
        <v>7.2904451637826079E-2</v>
      </c>
      <c r="AB46" s="24">
        <f t="shared" si="346"/>
        <v>3.4141268216944527E-2</v>
      </c>
      <c r="AC46" s="24">
        <f t="shared" si="346"/>
        <v>3.9886514917839337E-2</v>
      </c>
      <c r="AD46" s="24">
        <f t="shared" si="346"/>
        <v>2.6255530120226599E-2</v>
      </c>
      <c r="AE46" s="24">
        <f t="shared" ref="AE46:AH46" si="347">-AE67/AE7</f>
        <v>2.8825753773836317E-2</v>
      </c>
      <c r="AF46" s="24">
        <f t="shared" si="347"/>
        <v>6.1514192578671016E-2</v>
      </c>
      <c r="AG46" s="24">
        <f t="shared" si="347"/>
        <v>0.10936198441261337</v>
      </c>
      <c r="AH46" s="24">
        <f t="shared" si="347"/>
        <v>5.7461583752458988E-2</v>
      </c>
      <c r="AI46" s="24">
        <f t="shared" ref="AI46:AJ46" si="348">-AI67/AI7</f>
        <v>6.241748843059939E-2</v>
      </c>
      <c r="AJ46" s="24">
        <f t="shared" si="348"/>
        <v>9.5627936992222232E-2</v>
      </c>
      <c r="AK46" s="24">
        <f t="shared" ref="AK46:AN46" si="349">-AK67/AK7</f>
        <v>6.5166771314753708E-2</v>
      </c>
      <c r="AL46" s="24">
        <f t="shared" si="349"/>
        <v>7.265883114646339E-2</v>
      </c>
      <c r="AM46" s="24">
        <f t="shared" si="349"/>
        <v>0.11077438662285741</v>
      </c>
      <c r="AN46" s="24">
        <f t="shared" si="349"/>
        <v>4.7775100300284139E-2</v>
      </c>
      <c r="AO46" s="24">
        <f t="shared" ref="AO46:AR46" si="350">-AO67/AO7</f>
        <v>6.5653402086707335E-2</v>
      </c>
      <c r="AP46" s="24">
        <f t="shared" si="350"/>
        <v>7.7826854550583455E-2</v>
      </c>
      <c r="AQ46" s="24">
        <f t="shared" si="350"/>
        <v>0.12625891700264397</v>
      </c>
      <c r="AR46" s="24">
        <f t="shared" si="350"/>
        <v>8.6599267806577285E-2</v>
      </c>
      <c r="AS46" s="24">
        <f t="shared" ref="AS46:AV46" si="351">-AS67/AS7</f>
        <v>7.8273544822888258E-2</v>
      </c>
      <c r="AT46" s="24">
        <f t="shared" si="351"/>
        <v>7.2378810103375046E-2</v>
      </c>
      <c r="AU46" s="24">
        <f t="shared" si="351"/>
        <v>6.4776843517502958E-2</v>
      </c>
      <c r="AV46" s="24">
        <f t="shared" si="351"/>
        <v>0.10042233682958594</v>
      </c>
      <c r="AW46" s="24">
        <f t="shared" ref="AW46:AX46" si="352">-AW67/AW7</f>
        <v>9.2769981511052743E-2</v>
      </c>
      <c r="AX46" s="24">
        <f t="shared" si="352"/>
        <v>5.8374886019044961E-2</v>
      </c>
      <c r="AY46" s="42"/>
      <c r="AZ46" s="42"/>
      <c r="BA46" s="42"/>
      <c r="BG46" s="42"/>
      <c r="BH46" s="42"/>
      <c r="BI46" s="42"/>
      <c r="BJ46" s="42"/>
      <c r="BK46" s="42"/>
      <c r="BL46" s="42"/>
      <c r="BM46" s="42"/>
      <c r="BN46" s="42"/>
    </row>
    <row r="47" spans="2:66" s="34" customFormat="1" ht="13.5" customHeight="1">
      <c r="B47" s="23" t="s">
        <v>237</v>
      </c>
      <c r="C47" s="24"/>
      <c r="D47" s="24">
        <f t="shared" ref="D47:H47" si="353">D51/D7</f>
        <v>5.7293015272112661E-2</v>
      </c>
      <c r="E47" s="24">
        <f t="shared" si="353"/>
        <v>5.3601953707053417E-2</v>
      </c>
      <c r="F47" s="24">
        <f t="shared" si="353"/>
        <v>5.4760184328719264E-2</v>
      </c>
      <c r="G47" s="24">
        <f t="shared" si="353"/>
        <v>5.3634672920624002E-2</v>
      </c>
      <c r="H47" s="24">
        <f t="shared" si="353"/>
        <v>5.9533448162503722E-2</v>
      </c>
      <c r="I47" s="24">
        <f t="shared" ref="I47:J47" si="354">I51/I7</f>
        <v>6.2442785693893929E-2</v>
      </c>
      <c r="J47" s="24">
        <f t="shared" si="354"/>
        <v>6.5313397206189588E-2</v>
      </c>
      <c r="K47" s="24">
        <f t="shared" ref="K47:L47" si="355">K51/K7</f>
        <v>4.7265648247722593E-2</v>
      </c>
      <c r="L47" s="24">
        <f t="shared" si="355"/>
        <v>4.4926945555594386E-2</v>
      </c>
      <c r="M47" s="24">
        <f t="shared" ref="M47:N47" si="356">M51/M7</f>
        <v>4.3068182186722273E-2</v>
      </c>
      <c r="N47" s="24">
        <f t="shared" si="356"/>
        <v>4.6867249595691052E-2</v>
      </c>
      <c r="O47" s="24">
        <f t="shared" ref="O47" si="357">O51/O7</f>
        <v>4.7608163776524888E-2</v>
      </c>
      <c r="P47" s="24">
        <f>P51/P7</f>
        <v>4.8817905381181123E-2</v>
      </c>
      <c r="Q47" s="316"/>
      <c r="R47" s="24">
        <f t="shared" ref="R47:X47" si="358">R51/R7</f>
        <v>5.1525036273568983E-2</v>
      </c>
      <c r="S47" s="24">
        <f t="shared" si="358"/>
        <v>6.4942120943207629E-2</v>
      </c>
      <c r="T47" s="24">
        <f t="shared" si="358"/>
        <v>6.4265723964939125E-2</v>
      </c>
      <c r="U47" s="24">
        <f t="shared" si="358"/>
        <v>6.0036412295064706E-2</v>
      </c>
      <c r="V47" s="24">
        <f t="shared" si="358"/>
        <v>5.8004109874488174E-2</v>
      </c>
      <c r="W47" s="24">
        <f t="shared" si="358"/>
        <v>7.3612954892001259E-2</v>
      </c>
      <c r="X47" s="24">
        <f t="shared" si="358"/>
        <v>6.4573386213213679E-2</v>
      </c>
      <c r="Y47" s="24">
        <f t="shared" ref="Y47:Z47" si="359">Y51/Y7</f>
        <v>5.6720967234870849E-2</v>
      </c>
      <c r="Z47" s="24">
        <f t="shared" si="359"/>
        <v>5.5493519874529516E-2</v>
      </c>
      <c r="AA47" s="24">
        <f t="shared" ref="AA47:AD47" si="360">AA51/AA7</f>
        <v>8.3643719811140924E-2</v>
      </c>
      <c r="AB47" s="24">
        <f t="shared" si="360"/>
        <v>6.7997987101760041E-2</v>
      </c>
      <c r="AC47" s="24">
        <f t="shared" si="360"/>
        <v>6.1563744732403364E-2</v>
      </c>
      <c r="AD47" s="24">
        <f t="shared" si="360"/>
        <v>4.4829876811792242E-2</v>
      </c>
      <c r="AE47" s="24">
        <f t="shared" ref="AE47:AH47" si="361">AE51/AE7</f>
        <v>5.544983487924865E-2</v>
      </c>
      <c r="AF47" s="24">
        <f t="shared" si="361"/>
        <v>5.1415574568158477E-2</v>
      </c>
      <c r="AG47" s="24">
        <f t="shared" si="361"/>
        <v>4.0938089405747502E-2</v>
      </c>
      <c r="AH47" s="24">
        <f t="shared" si="361"/>
        <v>4.158514739873486E-2</v>
      </c>
      <c r="AI47" s="24">
        <f t="shared" ref="AI47:AJ47" si="362">AI51/AI7</f>
        <v>5.3705542651275751E-2</v>
      </c>
      <c r="AJ47" s="24">
        <f t="shared" si="362"/>
        <v>4.858659536991497E-2</v>
      </c>
      <c r="AK47" s="24">
        <f t="shared" ref="AK47:AN47" si="363">AK51/AK7</f>
        <v>3.7942286857060192E-2</v>
      </c>
      <c r="AL47" s="24">
        <f t="shared" si="363"/>
        <v>4.1509589135819348E-2</v>
      </c>
      <c r="AM47" s="24">
        <f t="shared" si="363"/>
        <v>4.9614031591785644E-2</v>
      </c>
      <c r="AN47" s="24">
        <f t="shared" si="363"/>
        <v>5.0163953848437928E-2</v>
      </c>
      <c r="AO47" s="24">
        <f t="shared" ref="AO47:AR47" si="364">AO51/AO7</f>
        <v>3.0905587963304112E-2</v>
      </c>
      <c r="AP47" s="24">
        <f t="shared" si="364"/>
        <v>4.4512803197803694E-2</v>
      </c>
      <c r="AQ47" s="24">
        <f t="shared" si="364"/>
        <v>5.38404209340234E-2</v>
      </c>
      <c r="AR47" s="24">
        <f t="shared" si="364"/>
        <v>4.9409712716587645E-2</v>
      </c>
      <c r="AS47" s="24">
        <f t="shared" ref="AS47:AV47" si="365">AS51/AS7</f>
        <v>4.2320187490099304E-2</v>
      </c>
      <c r="AT47" s="24">
        <f t="shared" si="365"/>
        <v>4.4175658275921167E-2</v>
      </c>
      <c r="AU47" s="24">
        <f t="shared" si="365"/>
        <v>5.2470248337486591E-2</v>
      </c>
      <c r="AV47" s="24">
        <f t="shared" si="365"/>
        <v>5.000821947426002E-2</v>
      </c>
      <c r="AW47" s="24">
        <f t="shared" ref="AW47:AX47" si="366">AW51/AW7</f>
        <v>4.4927530784521948E-2</v>
      </c>
      <c r="AX47" s="24">
        <f t="shared" si="366"/>
        <v>4.8734856746033769E-2</v>
      </c>
      <c r="AY47" s="42"/>
      <c r="AZ47" s="42"/>
      <c r="BA47" s="42"/>
      <c r="BG47" s="42"/>
      <c r="BH47" s="42"/>
      <c r="BI47" s="42"/>
      <c r="BJ47" s="42"/>
      <c r="BK47" s="42"/>
      <c r="BL47" s="42"/>
      <c r="BM47" s="42"/>
      <c r="BN47" s="42"/>
    </row>
    <row r="48" spans="2:66" s="34" customFormat="1" ht="13.5" customHeight="1">
      <c r="C48" s="42"/>
      <c r="D48" s="42"/>
      <c r="E48" s="42"/>
      <c r="F48" s="42"/>
      <c r="G48" s="42"/>
      <c r="H48" s="42"/>
      <c r="I48" s="42"/>
      <c r="J48" s="42"/>
      <c r="K48" s="42"/>
      <c r="L48" s="42"/>
      <c r="M48" s="42"/>
      <c r="N48" s="42"/>
      <c r="Q48" s="316"/>
      <c r="AY48" s="42"/>
      <c r="AZ48" s="42"/>
      <c r="BA48" s="42"/>
    </row>
    <row r="49" spans="1:61" ht="13.5" customHeight="1">
      <c r="A49" s="22"/>
      <c r="B49" s="15" t="s">
        <v>238</v>
      </c>
      <c r="C49" s="33"/>
      <c r="D49" s="33">
        <f>+D3</f>
        <v>42004</v>
      </c>
      <c r="E49" s="33">
        <f>+E3</f>
        <v>42369</v>
      </c>
      <c r="F49" s="33">
        <f>+F3</f>
        <v>42735</v>
      </c>
      <c r="G49" s="33">
        <f>+G3</f>
        <v>43100</v>
      </c>
      <c r="H49" s="33">
        <f t="shared" ref="H49:M49" si="367">H3</f>
        <v>43465</v>
      </c>
      <c r="I49" s="33">
        <f t="shared" si="367"/>
        <v>43830</v>
      </c>
      <c r="J49" s="33">
        <f t="shared" si="367"/>
        <v>44196</v>
      </c>
      <c r="K49" s="33">
        <f t="shared" si="367"/>
        <v>44561</v>
      </c>
      <c r="L49" s="33">
        <f t="shared" si="367"/>
        <v>44926</v>
      </c>
      <c r="M49" s="33">
        <f t="shared" si="367"/>
        <v>45291</v>
      </c>
      <c r="N49" s="33">
        <f t="shared" ref="N49:O49" si="368">N3</f>
        <v>45657</v>
      </c>
      <c r="O49" s="33">
        <f t="shared" si="368"/>
        <v>46022</v>
      </c>
      <c r="P49" s="141">
        <f>+P3</f>
        <v>46111</v>
      </c>
      <c r="Q49" s="316"/>
      <c r="R49" s="33">
        <f t="shared" ref="R49:X49" si="369">R3</f>
        <v>43189</v>
      </c>
      <c r="S49" s="33">
        <f t="shared" si="369"/>
        <v>43281</v>
      </c>
      <c r="T49" s="33">
        <f t="shared" si="369"/>
        <v>43373</v>
      </c>
      <c r="U49" s="33">
        <f t="shared" si="369"/>
        <v>43464</v>
      </c>
      <c r="V49" s="33">
        <f t="shared" si="369"/>
        <v>43554</v>
      </c>
      <c r="W49" s="33">
        <f t="shared" si="369"/>
        <v>43646</v>
      </c>
      <c r="X49" s="33">
        <f t="shared" si="369"/>
        <v>43738</v>
      </c>
      <c r="Y49" s="33">
        <f t="shared" ref="Y49:Z49" si="370">Y3</f>
        <v>43829</v>
      </c>
      <c r="Z49" s="33">
        <f t="shared" si="370"/>
        <v>43920</v>
      </c>
      <c r="AA49" s="33">
        <f t="shared" ref="AA49:AD49" si="371">AA3</f>
        <v>44012</v>
      </c>
      <c r="AB49" s="33">
        <f t="shared" si="371"/>
        <v>44104</v>
      </c>
      <c r="AC49" s="33">
        <f t="shared" si="371"/>
        <v>44195</v>
      </c>
      <c r="AD49" s="33">
        <f t="shared" si="371"/>
        <v>44285</v>
      </c>
      <c r="AE49" s="33">
        <f t="shared" ref="AE49:AH49" si="372">AE3</f>
        <v>44377</v>
      </c>
      <c r="AF49" s="33">
        <f t="shared" si="372"/>
        <v>44469</v>
      </c>
      <c r="AG49" s="33">
        <f t="shared" si="372"/>
        <v>44560</v>
      </c>
      <c r="AH49" s="33">
        <f t="shared" si="372"/>
        <v>44650</v>
      </c>
      <c r="AI49" s="33">
        <f t="shared" ref="AI49:AL49" si="373">AI3</f>
        <v>44742</v>
      </c>
      <c r="AJ49" s="33">
        <f t="shared" si="373"/>
        <v>44834</v>
      </c>
      <c r="AK49" s="33">
        <f t="shared" si="373"/>
        <v>44925</v>
      </c>
      <c r="AL49" s="33">
        <f t="shared" si="373"/>
        <v>45015</v>
      </c>
      <c r="AM49" s="33">
        <f t="shared" ref="AM49:AP49" si="374">AM3</f>
        <v>45107</v>
      </c>
      <c r="AN49" s="33">
        <f t="shared" si="374"/>
        <v>45199</v>
      </c>
      <c r="AO49" s="33">
        <f t="shared" si="374"/>
        <v>45290</v>
      </c>
      <c r="AP49" s="33">
        <f t="shared" si="374"/>
        <v>45381</v>
      </c>
      <c r="AQ49" s="33">
        <f t="shared" ref="AQ49:AT49" si="375">AQ3</f>
        <v>45473</v>
      </c>
      <c r="AR49" s="33">
        <f t="shared" si="375"/>
        <v>45565</v>
      </c>
      <c r="AS49" s="33">
        <f t="shared" si="375"/>
        <v>45656</v>
      </c>
      <c r="AT49" s="33">
        <f t="shared" si="375"/>
        <v>45746</v>
      </c>
      <c r="AU49" s="33">
        <f t="shared" ref="AU49:AX49" si="376">AU3</f>
        <v>45838</v>
      </c>
      <c r="AV49" s="33">
        <f t="shared" si="376"/>
        <v>45930</v>
      </c>
      <c r="AW49" s="33">
        <f t="shared" si="376"/>
        <v>46021</v>
      </c>
      <c r="AX49" s="33">
        <f t="shared" si="376"/>
        <v>46111</v>
      </c>
      <c r="AY49" s="134"/>
      <c r="AZ49" s="267"/>
      <c r="BA49" s="267"/>
    </row>
    <row r="50" spans="1:61" s="5" customFormat="1" ht="13.5" customHeight="1">
      <c r="B50" s="14" t="s">
        <v>239</v>
      </c>
      <c r="C50" s="7"/>
      <c r="D50" s="7">
        <f t="shared" ref="D50:H50" si="377">D17</f>
        <v>167759.94100000011</v>
      </c>
      <c r="E50" s="7">
        <f t="shared" si="377"/>
        <v>187783.87200000009</v>
      </c>
      <c r="F50" s="7">
        <f t="shared" si="377"/>
        <v>189277.9580000001</v>
      </c>
      <c r="G50" s="7">
        <f t="shared" si="377"/>
        <v>220038.55300000007</v>
      </c>
      <c r="H50" s="7">
        <f t="shared" si="377"/>
        <v>209213.23400000017</v>
      </c>
      <c r="I50" s="7">
        <f t="shared" ref="I50:J50" si="378">I17</f>
        <v>252548.43699999998</v>
      </c>
      <c r="J50" s="7">
        <f t="shared" si="378"/>
        <v>230537.95399999997</v>
      </c>
      <c r="K50" s="7">
        <f t="shared" ref="K50" si="379">K17</f>
        <v>278563.67199999979</v>
      </c>
      <c r="L50" s="7">
        <f>L17</f>
        <v>321771.46999999997</v>
      </c>
      <c r="M50" s="7">
        <f>M17</f>
        <v>316296.89200000023</v>
      </c>
      <c r="N50" s="7">
        <f>N17</f>
        <v>411911.20799999987</v>
      </c>
      <c r="O50" s="7">
        <f>O17</f>
        <v>436817.50399999972</v>
      </c>
      <c r="P50" s="74">
        <f t="shared" ref="P50" si="380">P17</f>
        <v>448413.38499999966</v>
      </c>
      <c r="Q50" s="74"/>
      <c r="R50" s="7">
        <f t="shared" ref="R50:X50" si="381">R17</f>
        <v>69643.219000000012</v>
      </c>
      <c r="S50" s="7">
        <f t="shared" si="381"/>
        <v>29824.215999999971</v>
      </c>
      <c r="T50" s="7">
        <f t="shared" si="381"/>
        <v>31360.625999999989</v>
      </c>
      <c r="U50" s="7">
        <f t="shared" si="381"/>
        <v>78385.173000000214</v>
      </c>
      <c r="V50" s="7">
        <f t="shared" si="381"/>
        <v>65557.672999999981</v>
      </c>
      <c r="W50" s="7">
        <f t="shared" si="381"/>
        <v>35818.219999999987</v>
      </c>
      <c r="X50" s="7">
        <f t="shared" si="381"/>
        <v>36173.234999999971</v>
      </c>
      <c r="Y50" s="7">
        <f t="shared" ref="Y50:Z50" si="382">Y17</f>
        <v>114999.30900000001</v>
      </c>
      <c r="Z50" s="7">
        <f t="shared" si="382"/>
        <v>73035.983000000037</v>
      </c>
      <c r="AA50" s="7">
        <f t="shared" ref="AA50:AD50" si="383">AA17</f>
        <v>10890.5</v>
      </c>
      <c r="AB50" s="7">
        <f t="shared" si="383"/>
        <v>53605.880000000019</v>
      </c>
      <c r="AC50" s="7">
        <f t="shared" si="383"/>
        <v>93005.591000000015</v>
      </c>
      <c r="AD50" s="7">
        <f t="shared" si="383"/>
        <v>75864.316000000021</v>
      </c>
      <c r="AE50" s="7">
        <f t="shared" ref="AE50:AH50" si="384">AE17</f>
        <v>43770.410000000047</v>
      </c>
      <c r="AF50" s="7">
        <f t="shared" si="384"/>
        <v>55444.857000000047</v>
      </c>
      <c r="AG50" s="7">
        <f t="shared" si="384"/>
        <v>103484.08899999966</v>
      </c>
      <c r="AH50" s="7">
        <f t="shared" si="384"/>
        <v>91590.161999999953</v>
      </c>
      <c r="AI50" s="7">
        <f t="shared" ref="AI50:AL50" si="385">AI17</f>
        <v>47973.894000000058</v>
      </c>
      <c r="AJ50" s="7">
        <f t="shared" si="385"/>
        <v>70378.371000000072</v>
      </c>
      <c r="AK50" s="7">
        <f t="shared" si="385"/>
        <v>111829.04299999992</v>
      </c>
      <c r="AL50" s="7">
        <f t="shared" si="385"/>
        <v>93955.549999999959</v>
      </c>
      <c r="AM50" s="7">
        <f t="shared" ref="AM50:AP50" si="386">AM17</f>
        <v>40792.076000000001</v>
      </c>
      <c r="AN50" s="7">
        <f t="shared" si="386"/>
        <v>69508.206999999937</v>
      </c>
      <c r="AO50" s="7">
        <f t="shared" si="386"/>
        <v>112041.05900000042</v>
      </c>
      <c r="AP50" s="7">
        <f t="shared" si="386"/>
        <v>115610.41100000002</v>
      </c>
      <c r="AQ50" s="7">
        <f t="shared" ref="AQ50:AT50" si="387">AQ17</f>
        <v>63768.672999999952</v>
      </c>
      <c r="AR50" s="7">
        <f t="shared" si="387"/>
        <v>73649.928999999946</v>
      </c>
      <c r="AS50" s="7">
        <f t="shared" si="387"/>
        <v>158882.19499999969</v>
      </c>
      <c r="AT50" s="7">
        <f t="shared" si="387"/>
        <v>130154.71300000002</v>
      </c>
      <c r="AU50" s="7">
        <f t="shared" ref="AU50:AX50" si="388">AU17</f>
        <v>73774.732999999978</v>
      </c>
      <c r="AV50" s="7">
        <f t="shared" si="388"/>
        <v>92161.558999999979</v>
      </c>
      <c r="AW50" s="7">
        <f t="shared" si="388"/>
        <v>140726.49899999992</v>
      </c>
      <c r="AX50" s="7">
        <f t="shared" si="388"/>
        <v>141750.59400000007</v>
      </c>
      <c r="AY50" s="7"/>
      <c r="AZ50" s="7"/>
      <c r="BA50" s="7"/>
    </row>
    <row r="51" spans="1:61" ht="13.5" customHeight="1">
      <c r="B51" s="6" t="s">
        <v>240</v>
      </c>
      <c r="C51" s="55"/>
      <c r="D51" s="55">
        <v>102967</v>
      </c>
      <c r="E51" s="55">
        <v>100632</v>
      </c>
      <c r="F51" s="55">
        <v>97334</v>
      </c>
      <c r="G51" s="55">
        <v>99164</v>
      </c>
      <c r="H51" s="55">
        <v>99594.445999999996</v>
      </c>
      <c r="I51" s="55">
        <v>111087.284</v>
      </c>
      <c r="J51" s="55">
        <v>110920.51700000001</v>
      </c>
      <c r="K51" s="55">
        <v>104775.303</v>
      </c>
      <c r="L51" s="55">
        <v>119365.431</v>
      </c>
      <c r="M51" s="55">
        <v>112771.32399999999</v>
      </c>
      <c r="N51" s="55">
        <v>151110.93299999999</v>
      </c>
      <c r="O51" s="55">
        <v>159241.49299999999</v>
      </c>
      <c r="P51" s="75">
        <f>SUM(AU51:AX51)</f>
        <v>165049.42899999997</v>
      </c>
      <c r="Q51" s="75"/>
      <c r="R51" s="55">
        <v>24723.333999999999</v>
      </c>
      <c r="S51" s="55">
        <f>48328.822-R51</f>
        <v>23605.488000000001</v>
      </c>
      <c r="T51" s="4">
        <f>70505.744-S51-R51</f>
        <v>22176.92200000001</v>
      </c>
      <c r="U51" s="30">
        <f>H51-T51-S51-R51</f>
        <v>29088.701999999994</v>
      </c>
      <c r="V51" s="55">
        <v>25943.080999999998</v>
      </c>
      <c r="W51" s="55">
        <f>53895.24-V51</f>
        <v>27952.159</v>
      </c>
      <c r="X51" s="4">
        <f>80137.396-W51-V51</f>
        <v>26242.155999999995</v>
      </c>
      <c r="Y51" s="30">
        <f>I51-X51-W51-V51</f>
        <v>30949.887999999999</v>
      </c>
      <c r="Z51" s="55">
        <v>28002.841</v>
      </c>
      <c r="AA51" s="55">
        <f>54125.036-Z51</f>
        <v>26122.195</v>
      </c>
      <c r="AB51" s="4">
        <f>80919.962-AA51-Z51</f>
        <v>26794.925999999999</v>
      </c>
      <c r="AC51" s="30">
        <f>J51-AB51-AA51-Z51</f>
        <v>30000.555000000015</v>
      </c>
      <c r="AD51" s="55">
        <v>22818.732</v>
      </c>
      <c r="AE51" s="55">
        <f>47305.539-AD51</f>
        <v>24486.806999999997</v>
      </c>
      <c r="AF51" s="4">
        <f>74968.307-AE51-AD51</f>
        <v>27662.768</v>
      </c>
      <c r="AG51" s="30">
        <f>K51-AF51-AE51-AD51</f>
        <v>29806.996000000003</v>
      </c>
      <c r="AH51" s="55">
        <v>25958.6</v>
      </c>
      <c r="AI51" s="55">
        <f>57737.043-AH51</f>
        <v>31778.442999999999</v>
      </c>
      <c r="AJ51" s="4">
        <f>89488.31-AI51-AH51</f>
        <v>31751.267</v>
      </c>
      <c r="AK51" s="30">
        <f>L51-AH51-AI51-AJ51</f>
        <v>29877.121000000006</v>
      </c>
      <c r="AL51" s="55">
        <v>29133.739000000001</v>
      </c>
      <c r="AM51" s="55">
        <f>59617.996-AL51</f>
        <v>30484.256999999998</v>
      </c>
      <c r="AN51" s="4">
        <f>93244.542-AM51-AL51</f>
        <v>33626.546000000002</v>
      </c>
      <c r="AO51" s="30">
        <f>M51-AL51-AM51-AN51</f>
        <v>19526.781999999992</v>
      </c>
      <c r="AP51" s="55">
        <v>35816.660000000003</v>
      </c>
      <c r="AQ51" s="55">
        <f>72007.811-AP51</f>
        <v>36191.150999999998</v>
      </c>
      <c r="AR51" s="4">
        <f>107919.075-AQ51-AP51</f>
        <v>35911.263999999996</v>
      </c>
      <c r="AS51" s="30">
        <f>N51-SUM(AP51:AR51)</f>
        <v>43191.857999999993</v>
      </c>
      <c r="AT51" s="55">
        <v>39235.887000000002</v>
      </c>
      <c r="AU51" s="55">
        <f>77967.013-AT51</f>
        <v>38731.126000000004</v>
      </c>
      <c r="AV51" s="4">
        <f>117991.662-AU51-AT51</f>
        <v>40024.64899999999</v>
      </c>
      <c r="AW51" s="30">
        <f>O51-SUM(AT51:AV51)</f>
        <v>41249.830999999991</v>
      </c>
      <c r="AX51" s="55">
        <v>45043.822999999997</v>
      </c>
      <c r="AY51" s="4"/>
      <c r="AZ51" s="4"/>
      <c r="BA51" s="4"/>
    </row>
    <row r="52" spans="1:61" s="5" customFormat="1" ht="13.5" customHeight="1">
      <c r="B52" s="5" t="s">
        <v>238</v>
      </c>
      <c r="C52" s="7"/>
      <c r="D52" s="7">
        <f t="shared" ref="D52:H52" si="389">SUM(D50:D51)</f>
        <v>270726.94100000011</v>
      </c>
      <c r="E52" s="7">
        <f t="shared" si="389"/>
        <v>288415.87200000009</v>
      </c>
      <c r="F52" s="7">
        <f t="shared" si="389"/>
        <v>286611.9580000001</v>
      </c>
      <c r="G52" s="7">
        <f t="shared" si="389"/>
        <v>319202.55300000007</v>
      </c>
      <c r="H52" s="7">
        <f t="shared" si="389"/>
        <v>308807.68000000017</v>
      </c>
      <c r="I52" s="7">
        <f t="shared" ref="I52:J52" si="390">SUM(I50:I51)</f>
        <v>363635.72099999996</v>
      </c>
      <c r="J52" s="7">
        <f t="shared" si="390"/>
        <v>341458.47099999996</v>
      </c>
      <c r="K52" s="7">
        <f t="shared" ref="K52:L52" si="391">SUM(K50:K51)</f>
        <v>383338.9749999998</v>
      </c>
      <c r="L52" s="7">
        <f t="shared" si="391"/>
        <v>441136.90099999995</v>
      </c>
      <c r="M52" s="7">
        <f t="shared" ref="M52:N52" si="392">SUM(M50:M51)</f>
        <v>429068.21600000025</v>
      </c>
      <c r="N52" s="7">
        <f t="shared" si="392"/>
        <v>563022.14099999983</v>
      </c>
      <c r="O52" s="7">
        <f t="shared" ref="O52" si="393">SUM(O50:O51)</f>
        <v>596058.99699999974</v>
      </c>
      <c r="P52" s="7">
        <f t="shared" ref="P52" si="394">SUM(P50:P51)</f>
        <v>613462.81399999966</v>
      </c>
      <c r="Q52" s="74"/>
      <c r="R52" s="7">
        <f t="shared" ref="R52:X52" si="395">SUM(R50:R51)</f>
        <v>94366.553000000014</v>
      </c>
      <c r="S52" s="7">
        <f t="shared" si="395"/>
        <v>53429.703999999969</v>
      </c>
      <c r="T52" s="7">
        <f t="shared" si="395"/>
        <v>53537.547999999995</v>
      </c>
      <c r="U52" s="7">
        <f t="shared" si="395"/>
        <v>107473.8750000002</v>
      </c>
      <c r="V52" s="7">
        <f t="shared" si="395"/>
        <v>91500.753999999986</v>
      </c>
      <c r="W52" s="7">
        <f t="shared" si="395"/>
        <v>63770.378999999986</v>
      </c>
      <c r="X52" s="7">
        <f t="shared" si="395"/>
        <v>62415.390999999967</v>
      </c>
      <c r="Y52" s="7">
        <f t="shared" ref="Y52:Z52" si="396">SUM(Y50:Y51)</f>
        <v>145949.19700000001</v>
      </c>
      <c r="Z52" s="7">
        <f t="shared" si="396"/>
        <v>101038.82400000004</v>
      </c>
      <c r="AA52" s="7">
        <f t="shared" ref="AA52" si="397">SUM(AA50:AA51)</f>
        <v>37012.695</v>
      </c>
      <c r="AB52" s="7">
        <f>SUM(AB50:AB51)</f>
        <v>80400.806000000011</v>
      </c>
      <c r="AC52" s="7">
        <f t="shared" ref="AC52:AE52" si="398">SUM(AC50:AC51)</f>
        <v>123006.14600000004</v>
      </c>
      <c r="AD52" s="7">
        <f t="shared" si="398"/>
        <v>98683.048000000024</v>
      </c>
      <c r="AE52" s="7">
        <f t="shared" si="398"/>
        <v>68257.217000000048</v>
      </c>
      <c r="AF52" s="7">
        <f>SUM(AF50:AF51)</f>
        <v>83107.625000000044</v>
      </c>
      <c r="AG52" s="7">
        <f t="shared" ref="AG52:AI52" si="399">SUM(AG50:AG51)</f>
        <v>133291.08499999967</v>
      </c>
      <c r="AH52" s="7">
        <f t="shared" si="399"/>
        <v>117548.76199999996</v>
      </c>
      <c r="AI52" s="7">
        <f t="shared" si="399"/>
        <v>79752.337000000058</v>
      </c>
      <c r="AJ52" s="7">
        <f>SUM(AJ50:AJ51)</f>
        <v>102129.63800000006</v>
      </c>
      <c r="AK52" s="7">
        <f>SUM(AK50:AK51)</f>
        <v>141706.16399999993</v>
      </c>
      <c r="AL52" s="7">
        <f t="shared" ref="AL52:AM52" si="400">SUM(AL50:AL51)</f>
        <v>123089.28899999996</v>
      </c>
      <c r="AM52" s="7">
        <f t="shared" si="400"/>
        <v>71276.332999999999</v>
      </c>
      <c r="AN52" s="7">
        <f>SUM(AN50:AN51)</f>
        <v>103134.75299999994</v>
      </c>
      <c r="AO52" s="7">
        <f>SUM(AO50:AO51)</f>
        <v>131567.84100000042</v>
      </c>
      <c r="AP52" s="7">
        <f t="shared" ref="AP52:AQ52" si="401">SUM(AP50:AP51)</f>
        <v>151427.07100000003</v>
      </c>
      <c r="AQ52" s="7">
        <f t="shared" si="401"/>
        <v>99959.82399999995</v>
      </c>
      <c r="AR52" s="7">
        <f>SUM(AR50:AR51)</f>
        <v>109561.19299999994</v>
      </c>
      <c r="AS52" s="7">
        <f>SUM(AS50:AS51)</f>
        <v>202074.05299999967</v>
      </c>
      <c r="AT52" s="7">
        <f t="shared" ref="AT52:AU52" si="402">SUM(AT50:AT51)</f>
        <v>169390.60000000003</v>
      </c>
      <c r="AU52" s="7">
        <f t="shared" si="402"/>
        <v>112505.85899999998</v>
      </c>
      <c r="AV52" s="7">
        <f>SUM(AV50:AV51)</f>
        <v>132186.20799999998</v>
      </c>
      <c r="AW52" s="7">
        <f>SUM(AW50:AW51)</f>
        <v>181976.3299999999</v>
      </c>
      <c r="AX52" s="7">
        <f t="shared" ref="AX52" si="403">SUM(AX50:AX51)</f>
        <v>186794.41700000007</v>
      </c>
      <c r="AY52" s="7"/>
      <c r="AZ52" s="7"/>
      <c r="BA52" s="7"/>
    </row>
    <row r="53" spans="1:61" s="34" customFormat="1" ht="13.5" customHeight="1">
      <c r="B53" s="16" t="s">
        <v>241</v>
      </c>
      <c r="C53" s="17"/>
      <c r="D53" s="17"/>
      <c r="E53" s="17">
        <f t="shared" ref="E53:F53" si="404">+E52/D52-1</f>
        <v>6.5338643190298473E-2</v>
      </c>
      <c r="F53" s="17">
        <f t="shared" si="404"/>
        <v>-6.2545586950221166E-3</v>
      </c>
      <c r="G53" s="17">
        <f t="shared" ref="G53:O53" si="405">+G52/F52-1</f>
        <v>0.11370982295162979</v>
      </c>
      <c r="H53" s="17">
        <f t="shared" si="405"/>
        <v>-3.2565131144173254E-2</v>
      </c>
      <c r="I53" s="17">
        <f t="shared" si="405"/>
        <v>0.17754753055364358</v>
      </c>
      <c r="J53" s="17">
        <f t="shared" si="405"/>
        <v>-6.0987545280239419E-2</v>
      </c>
      <c r="K53" s="17">
        <f t="shared" si="405"/>
        <v>0.12265182315538414</v>
      </c>
      <c r="L53" s="17">
        <f t="shared" si="405"/>
        <v>0.15077497924650163</v>
      </c>
      <c r="M53" s="17">
        <f t="shared" si="405"/>
        <v>-2.7358139780738311E-2</v>
      </c>
      <c r="N53" s="17">
        <f t="shared" si="405"/>
        <v>0.31219726841756912</v>
      </c>
      <c r="O53" s="17">
        <f t="shared" si="405"/>
        <v>5.8677720810982992E-2</v>
      </c>
      <c r="P53" s="77"/>
      <c r="Q53" s="313"/>
      <c r="R53" s="17"/>
      <c r="S53" s="17"/>
      <c r="T53" s="17"/>
      <c r="U53" s="17"/>
      <c r="V53" s="24">
        <f t="shared" ref="V53:AX53" si="406">V52/R52-1</f>
        <v>-3.0368800267612017E-2</v>
      </c>
      <c r="W53" s="24">
        <f t="shared" si="406"/>
        <v>0.19353794286414217</v>
      </c>
      <c r="X53" s="24">
        <f t="shared" si="406"/>
        <v>0.16582460967394264</v>
      </c>
      <c r="Y53" s="24">
        <f t="shared" si="406"/>
        <v>0.35799697368313677</v>
      </c>
      <c r="Z53" s="24">
        <f t="shared" si="406"/>
        <v>0.10424034319979536</v>
      </c>
      <c r="AA53" s="24">
        <f t="shared" si="406"/>
        <v>-0.41959424453161853</v>
      </c>
      <c r="AB53" s="24">
        <f t="shared" si="406"/>
        <v>0.2881567304449002</v>
      </c>
      <c r="AC53" s="24">
        <f t="shared" si="406"/>
        <v>-0.15719888475987964</v>
      </c>
      <c r="AD53" s="24">
        <f t="shared" si="406"/>
        <v>-2.3315552445464016E-2</v>
      </c>
      <c r="AE53" s="24">
        <f t="shared" si="406"/>
        <v>0.84415690346244854</v>
      </c>
      <c r="AF53" s="24">
        <f t="shared" si="406"/>
        <v>3.3666565481943467E-2</v>
      </c>
      <c r="AG53" s="24">
        <f t="shared" si="406"/>
        <v>8.3613212302413142E-2</v>
      </c>
      <c r="AH53" s="24">
        <f t="shared" si="406"/>
        <v>0.19117482062369962</v>
      </c>
      <c r="AI53" s="24">
        <f t="shared" si="406"/>
        <v>0.16840885850942322</v>
      </c>
      <c r="AJ53" s="24">
        <f t="shared" si="406"/>
        <v>0.22888408855384812</v>
      </c>
      <c r="AK53" s="24">
        <f t="shared" si="406"/>
        <v>6.313309701095382E-2</v>
      </c>
      <c r="AL53" s="24">
        <f t="shared" si="406"/>
        <v>4.7133860924881477E-2</v>
      </c>
      <c r="AM53" s="24">
        <f t="shared" si="406"/>
        <v>-0.10627906740839521</v>
      </c>
      <c r="AN53" s="24">
        <f t="shared" si="406"/>
        <v>9.8415603901373938E-3</v>
      </c>
      <c r="AO53" s="24">
        <f t="shared" si="406"/>
        <v>-7.1544685946050457E-2</v>
      </c>
      <c r="AP53" s="24">
        <f t="shared" si="406"/>
        <v>0.23022134769175628</v>
      </c>
      <c r="AQ53" s="24">
        <f t="shared" si="406"/>
        <v>0.40242658106443208</v>
      </c>
      <c r="AR53" s="24">
        <f t="shared" si="406"/>
        <v>6.231110089535008E-2</v>
      </c>
      <c r="AS53" s="24">
        <f t="shared" si="406"/>
        <v>0.53589244502384914</v>
      </c>
      <c r="AT53" s="24">
        <f t="shared" si="406"/>
        <v>0.11862825372881969</v>
      </c>
      <c r="AU53" s="24">
        <f t="shared" si="406"/>
        <v>0.1255107752090483</v>
      </c>
      <c r="AV53" s="24">
        <f t="shared" si="406"/>
        <v>0.20650573784825488</v>
      </c>
      <c r="AW53" s="24">
        <f t="shared" si="406"/>
        <v>-9.9457217300430889E-2</v>
      </c>
      <c r="AX53" s="24">
        <f t="shared" si="406"/>
        <v>0.1027437000636402</v>
      </c>
      <c r="AY53" s="42"/>
      <c r="AZ53" s="42"/>
      <c r="BA53" s="42"/>
    </row>
    <row r="54" spans="1:61" s="34" customFormat="1" ht="13.5" customHeight="1">
      <c r="B54" s="16" t="s">
        <v>242</v>
      </c>
      <c r="C54" s="17"/>
      <c r="D54" s="17">
        <f t="shared" ref="D54:H54" si="407">D52/D7</f>
        <v>0.15063819248191507</v>
      </c>
      <c r="E54" s="17">
        <f t="shared" si="407"/>
        <v>0.15362562822286599</v>
      </c>
      <c r="F54" s="17">
        <f t="shared" si="407"/>
        <v>0.16124811115227103</v>
      </c>
      <c r="G54" s="17">
        <f t="shared" si="407"/>
        <v>0.17264657058592989</v>
      </c>
      <c r="H54" s="17">
        <f t="shared" si="407"/>
        <v>0.1845924822902579</v>
      </c>
      <c r="I54" s="17">
        <f t="shared" ref="I54:J54" si="408">I52/I7</f>
        <v>0.20440167928714145</v>
      </c>
      <c r="J54" s="17">
        <f t="shared" si="408"/>
        <v>0.20106120444643408</v>
      </c>
      <c r="K54" s="17">
        <f t="shared" ref="K54:L54" si="409">K52/K7</f>
        <v>0.17292973280156027</v>
      </c>
      <c r="L54" s="17">
        <f t="shared" si="409"/>
        <v>0.1660357891539857</v>
      </c>
      <c r="M54" s="17">
        <f t="shared" ref="M54:N54" si="410">M52/M7</f>
        <v>0.16386424706000541</v>
      </c>
      <c r="N54" s="17">
        <f t="shared" si="410"/>
        <v>0.17462203883121649</v>
      </c>
      <c r="O54" s="17">
        <f t="shared" ref="O54" si="411">O52/O7</f>
        <v>0.17820276496432463</v>
      </c>
      <c r="P54" s="77">
        <f t="shared" ref="P54" si="412">P52/P7</f>
        <v>0.18144848964442709</v>
      </c>
      <c r="Q54" s="313"/>
      <c r="R54" s="17">
        <f t="shared" ref="R54:X54" si="413">R52/R7</f>
        <v>0.19666603486150658</v>
      </c>
      <c r="S54" s="17">
        <f t="shared" si="413"/>
        <v>0.1469928645037028</v>
      </c>
      <c r="T54" s="17">
        <f t="shared" si="413"/>
        <v>0.15514458144947604</v>
      </c>
      <c r="U54" s="17">
        <f t="shared" si="413"/>
        <v>0.22181621821586472</v>
      </c>
      <c r="V54" s="17">
        <f t="shared" si="413"/>
        <v>0.20457939396691216</v>
      </c>
      <c r="W54" s="17">
        <f t="shared" si="413"/>
        <v>0.16794144712660025</v>
      </c>
      <c r="X54" s="17">
        <f t="shared" si="413"/>
        <v>0.15358391851232575</v>
      </c>
      <c r="Y54" s="17">
        <f t="shared" ref="Y54:Z54" si="414">Y52/Y7</f>
        <v>0.26747688460109165</v>
      </c>
      <c r="Z54" s="17">
        <f t="shared" si="414"/>
        <v>0.20022968340044825</v>
      </c>
      <c r="AA54" s="17">
        <f t="shared" ref="AA54:AD54" si="415">AA52/AA7</f>
        <v>0.11851528901132606</v>
      </c>
      <c r="AB54" s="17">
        <f t="shared" si="415"/>
        <v>0.20403463586199536</v>
      </c>
      <c r="AC54" s="17">
        <f t="shared" si="415"/>
        <v>0.25241929600504848</v>
      </c>
      <c r="AD54" s="17">
        <f t="shared" si="415"/>
        <v>0.19387356340624806</v>
      </c>
      <c r="AE54" s="17">
        <f t="shared" ref="AE54:AH54" si="416">AE52/AE7</f>
        <v>0.15456696383350624</v>
      </c>
      <c r="AF54" s="17">
        <f t="shared" si="416"/>
        <v>0.15446850041796445</v>
      </c>
      <c r="AG54" s="17">
        <f t="shared" si="416"/>
        <v>0.1830671683493055</v>
      </c>
      <c r="AH54" s="17">
        <f t="shared" si="416"/>
        <v>0.18831071761608104</v>
      </c>
      <c r="AI54" s="17">
        <f t="shared" ref="AI54:AJ54" si="417">AI52/AI7</f>
        <v>0.13478138423246286</v>
      </c>
      <c r="AJ54" s="17">
        <f t="shared" si="417"/>
        <v>0.15628136656032957</v>
      </c>
      <c r="AK54" s="17">
        <f t="shared" ref="AK54:AN54" si="418">AK52/AK7</f>
        <v>0.17995897007283976</v>
      </c>
      <c r="AL54" s="17">
        <f t="shared" si="418"/>
        <v>0.17537693371283811</v>
      </c>
      <c r="AM54" s="17">
        <f t="shared" si="418"/>
        <v>0.1160043440523623</v>
      </c>
      <c r="AN54" s="17">
        <f t="shared" si="418"/>
        <v>0.15385603355343253</v>
      </c>
      <c r="AO54" s="17">
        <f t="shared" ref="AO54:AR54" si="419">AO52/AO7</f>
        <v>0.20823612836808053</v>
      </c>
      <c r="AP54" s="17">
        <f t="shared" si="419"/>
        <v>0.18819296411901187</v>
      </c>
      <c r="AQ54" s="17">
        <f t="shared" si="419"/>
        <v>0.14870704169234331</v>
      </c>
      <c r="AR54" s="17">
        <f t="shared" si="419"/>
        <v>0.15074342888673065</v>
      </c>
      <c r="AS54" s="17">
        <f t="shared" ref="AS54:AV54" si="420">AS52/AS7</f>
        <v>0.19799592344103953</v>
      </c>
      <c r="AT54" s="17">
        <f t="shared" si="420"/>
        <v>0.19071676041765676</v>
      </c>
      <c r="AU54" s="17">
        <f t="shared" si="420"/>
        <v>0.15241514954024959</v>
      </c>
      <c r="AV54" s="17">
        <f t="shared" si="420"/>
        <v>0.16515814794863504</v>
      </c>
      <c r="AW54" s="17">
        <f t="shared" ref="AW54:AX54" si="421">AW52/AW7</f>
        <v>0.19820074337102911</v>
      </c>
      <c r="AX54" s="17">
        <f t="shared" si="421"/>
        <v>0.20210094408402898</v>
      </c>
      <c r="AY54" s="136"/>
      <c r="AZ54" s="136"/>
      <c r="BA54" s="136"/>
    </row>
    <row r="55" spans="1:61" s="34" customFormat="1" ht="13.5" customHeight="1">
      <c r="B55" s="44"/>
      <c r="C55" s="136"/>
      <c r="D55" s="136"/>
      <c r="E55" s="136"/>
      <c r="F55" s="136"/>
      <c r="G55" s="136"/>
      <c r="H55" s="136"/>
      <c r="I55" s="136"/>
      <c r="J55" s="136"/>
      <c r="K55" s="136"/>
      <c r="L55" s="136"/>
      <c r="M55" s="136"/>
      <c r="N55" s="136"/>
      <c r="O55" s="136"/>
      <c r="P55" s="135"/>
      <c r="Q55" s="313"/>
      <c r="R55" s="136"/>
      <c r="S55" s="136"/>
      <c r="T55" s="136"/>
      <c r="U55" s="136"/>
      <c r="V55" s="136"/>
      <c r="W55" s="136"/>
      <c r="X55" s="136"/>
      <c r="Y55" s="136"/>
      <c r="Z55" s="136"/>
      <c r="AA55" s="136"/>
      <c r="AB55" s="136"/>
      <c r="AC55" s="136"/>
      <c r="AD55" s="136"/>
      <c r="AE55" s="136"/>
      <c r="AF55" s="136"/>
      <c r="AG55" s="136"/>
      <c r="AH55" s="136"/>
      <c r="AI55" s="136"/>
      <c r="AJ55" s="136"/>
      <c r="AK55" s="136"/>
      <c r="AL55" s="136"/>
      <c r="AM55" s="136"/>
      <c r="AN55" s="136"/>
      <c r="AO55" s="136"/>
      <c r="AP55" s="136"/>
      <c r="AQ55" s="136"/>
      <c r="AR55" s="136"/>
      <c r="AS55" s="136"/>
      <c r="AT55" s="136"/>
      <c r="AU55" s="136"/>
      <c r="AV55" s="136"/>
      <c r="AW55" s="136"/>
      <c r="AX55" s="136"/>
      <c r="AY55" s="136"/>
      <c r="AZ55" s="136"/>
      <c r="BA55" s="136"/>
    </row>
    <row r="56" spans="1:61" ht="13.5" customHeight="1">
      <c r="B56" s="271" t="s">
        <v>243</v>
      </c>
      <c r="C56" s="272"/>
      <c r="D56" s="272">
        <f t="shared" ref="D56:H56" si="422">D57-D52</f>
        <v>19013.058999999892</v>
      </c>
      <c r="E56" s="272">
        <f t="shared" si="422"/>
        <v>27812.12799999991</v>
      </c>
      <c r="F56" s="272">
        <f t="shared" si="422"/>
        <v>24391.041999999899</v>
      </c>
      <c r="G56" s="272">
        <f t="shared" si="422"/>
        <v>18688.446999999927</v>
      </c>
      <c r="H56" s="272">
        <f t="shared" si="422"/>
        <v>16156.319999999832</v>
      </c>
      <c r="I56" s="272">
        <f t="shared" ref="I56:J56" si="423">I57-I52</f>
        <v>-14766.720999999961</v>
      </c>
      <c r="J56" s="272">
        <f t="shared" si="423"/>
        <v>9073.5290000000386</v>
      </c>
      <c r="K56" s="272">
        <f t="shared" ref="K56:L56" si="424">K57-K52</f>
        <v>13874.025000000198</v>
      </c>
      <c r="L56" s="272">
        <f t="shared" si="424"/>
        <v>23373.099000000046</v>
      </c>
      <c r="M56" s="272">
        <f t="shared" ref="M56:N56" si="425">M57-M52</f>
        <v>41039.783999999752</v>
      </c>
      <c r="N56" s="272">
        <f t="shared" si="425"/>
        <v>15169.859000000171</v>
      </c>
      <c r="O56" s="272">
        <f t="shared" ref="O56" si="426">O57-O52</f>
        <v>18549.003000000259</v>
      </c>
      <c r="P56" s="272">
        <f t="shared" ref="P56" si="427">P57-P52</f>
        <v>23111.186000000336</v>
      </c>
      <c r="Q56" s="313"/>
      <c r="R56" s="272">
        <f t="shared" ref="R56:X56" si="428">R57-R52</f>
        <v>6515.4469999999856</v>
      </c>
      <c r="S56" s="272">
        <f t="shared" si="428"/>
        <v>5147.2960000000312</v>
      </c>
      <c r="T56" s="272">
        <f t="shared" si="428"/>
        <v>5397.4520000000048</v>
      </c>
      <c r="U56" s="272">
        <f t="shared" si="428"/>
        <v>-903.87500000020373</v>
      </c>
      <c r="V56" s="272">
        <f t="shared" si="428"/>
        <v>2200.2460000000137</v>
      </c>
      <c r="W56" s="272">
        <f t="shared" si="428"/>
        <v>-1346.3789999999863</v>
      </c>
      <c r="X56" s="272">
        <f t="shared" si="428"/>
        <v>4067.6090000000331</v>
      </c>
      <c r="Y56" s="272">
        <f t="shared" ref="Y56:Z56" si="429">Y57-Y52</f>
        <v>-19688.197000000015</v>
      </c>
      <c r="Z56" s="272">
        <f t="shared" si="429"/>
        <v>2920.1759999999631</v>
      </c>
      <c r="AA56" s="272">
        <f t="shared" ref="AA56" si="430">AA57-AA52</f>
        <v>5814.3050000000003</v>
      </c>
      <c r="AB56" s="272">
        <f>AB57-AB52</f>
        <v>-3121.8060000000114</v>
      </c>
      <c r="AC56" s="272">
        <f t="shared" ref="AC56:AE56" si="431">AC57-AC52</f>
        <v>3460.853999999963</v>
      </c>
      <c r="AD56" s="272">
        <f t="shared" si="431"/>
        <v>3241.9519999999757</v>
      </c>
      <c r="AE56" s="272">
        <f t="shared" si="431"/>
        <v>1019.7829999999522</v>
      </c>
      <c r="AF56" s="272">
        <f>AF57-AF52</f>
        <v>1584.3749999999563</v>
      </c>
      <c r="AG56" s="272">
        <f t="shared" ref="AG56:AI56" si="432">AG57-AG52</f>
        <v>8027.9150000003283</v>
      </c>
      <c r="AH56" s="272">
        <f t="shared" si="432"/>
        <v>3828.2380000000412</v>
      </c>
      <c r="AI56" s="272">
        <f t="shared" si="432"/>
        <v>14126.662999999942</v>
      </c>
      <c r="AJ56" s="272">
        <f>AJ57-AJ52</f>
        <v>-2839.6380000000645</v>
      </c>
      <c r="AK56" s="272">
        <f>AK57-AK52</f>
        <v>8257.8360000000685</v>
      </c>
      <c r="AL56" s="272">
        <f t="shared" ref="AL56:AM56" si="433">AL57-AL52</f>
        <v>4347.7110000000393</v>
      </c>
      <c r="AM56" s="272">
        <f t="shared" si="433"/>
        <v>28493.667000000001</v>
      </c>
      <c r="AN56" s="272">
        <f>AN57-AN52</f>
        <v>7385.2470000000612</v>
      </c>
      <c r="AO56" s="272">
        <f>AO57-AO52</f>
        <v>813.15899999957765</v>
      </c>
      <c r="AP56" s="272">
        <f t="shared" ref="AP56:AQ56" si="434">AP57-AP52</f>
        <v>8984.9289999999746</v>
      </c>
      <c r="AQ56" s="272">
        <f t="shared" si="434"/>
        <v>9299.1760000000504</v>
      </c>
      <c r="AR56" s="272">
        <f>AR57-AR52</f>
        <v>5072.8070000000589</v>
      </c>
      <c r="AS56" s="272">
        <f>AS57-AS52</f>
        <v>-8187.0529999996652</v>
      </c>
      <c r="AT56" s="272">
        <f t="shared" ref="AT56:AU56" si="435">AT57-AT52</f>
        <v>2658.3999999999651</v>
      </c>
      <c r="AU56" s="272">
        <f t="shared" si="435"/>
        <v>6817.1410000000178</v>
      </c>
      <c r="AV56" s="272">
        <f>AV57-AV52</f>
        <v>943.79200000001583</v>
      </c>
      <c r="AW56" s="272">
        <f>AW57-AW52</f>
        <v>8129.6700000001001</v>
      </c>
      <c r="AX56" s="272">
        <f t="shared" ref="AX56" si="436">AX57-AX52</f>
        <v>7220.582999999926</v>
      </c>
      <c r="AY56" s="30"/>
      <c r="AZ56" s="30"/>
      <c r="BA56" s="30"/>
    </row>
    <row r="57" spans="1:61" s="5" customFormat="1" ht="13.5" customHeight="1">
      <c r="B57" s="5" t="s">
        <v>244</v>
      </c>
      <c r="C57" s="104"/>
      <c r="D57" s="104">
        <v>289740</v>
      </c>
      <c r="E57" s="104">
        <v>316228</v>
      </c>
      <c r="F57" s="104">
        <v>311003</v>
      </c>
      <c r="G57" s="104">
        <v>337891</v>
      </c>
      <c r="H57" s="104">
        <v>324964</v>
      </c>
      <c r="I57" s="104">
        <v>348869</v>
      </c>
      <c r="J57" s="104">
        <v>350532</v>
      </c>
      <c r="K57" s="104">
        <v>397213</v>
      </c>
      <c r="L57" s="104">
        <v>464510</v>
      </c>
      <c r="M57" s="104">
        <v>470108</v>
      </c>
      <c r="N57" s="104">
        <v>578192</v>
      </c>
      <c r="O57" s="104">
        <v>614608</v>
      </c>
      <c r="P57" s="74">
        <f>SUM(AU57:AX57)</f>
        <v>636574</v>
      </c>
      <c r="Q57" s="313"/>
      <c r="R57" s="104">
        <v>100882</v>
      </c>
      <c r="S57" s="104">
        <v>58577</v>
      </c>
      <c r="T57" s="104">
        <v>58935</v>
      </c>
      <c r="U57" s="7">
        <f>H57-T57-S57-R57</f>
        <v>106570</v>
      </c>
      <c r="V57" s="104">
        <v>93701</v>
      </c>
      <c r="W57" s="104">
        <v>62424</v>
      </c>
      <c r="X57" s="104">
        <v>66483</v>
      </c>
      <c r="Y57" s="30">
        <f>I57-X57-W57-V57</f>
        <v>126261</v>
      </c>
      <c r="Z57" s="104">
        <v>103959</v>
      </c>
      <c r="AA57" s="104">
        <v>42827</v>
      </c>
      <c r="AB57" s="104">
        <v>77279</v>
      </c>
      <c r="AC57" s="30">
        <f>J57-AB57-AA57-Z57</f>
        <v>126467</v>
      </c>
      <c r="AD57" s="104">
        <v>101925</v>
      </c>
      <c r="AE57" s="104">
        <v>69277</v>
      </c>
      <c r="AF57" s="104">
        <v>84692</v>
      </c>
      <c r="AG57" s="30">
        <f>K57-AF57-AE57-AD57</f>
        <v>141319</v>
      </c>
      <c r="AH57" s="104">
        <v>121377</v>
      </c>
      <c r="AI57" s="104">
        <v>93879</v>
      </c>
      <c r="AJ57" s="104">
        <v>99290</v>
      </c>
      <c r="AK57" s="30">
        <f>L57-AH57-AI57-AJ57</f>
        <v>149964</v>
      </c>
      <c r="AL57" s="104">
        <v>127437</v>
      </c>
      <c r="AM57" s="104">
        <v>99770</v>
      </c>
      <c r="AN57" s="104">
        <v>110520</v>
      </c>
      <c r="AO57" s="30">
        <f>M57-AL57-AM57-AN57</f>
        <v>132381</v>
      </c>
      <c r="AP57" s="104">
        <v>160412</v>
      </c>
      <c r="AQ57" s="104">
        <v>109259</v>
      </c>
      <c r="AR57" s="104">
        <v>114634</v>
      </c>
      <c r="AS57" s="7">
        <f>N57-SUM(AP57:AR57)</f>
        <v>193887</v>
      </c>
      <c r="AT57" s="104">
        <v>172049</v>
      </c>
      <c r="AU57" s="104">
        <v>119323</v>
      </c>
      <c r="AV57" s="104">
        <v>133130</v>
      </c>
      <c r="AW57" s="7">
        <f>O57-SUM(AT57:AV57)</f>
        <v>190106</v>
      </c>
      <c r="AX57" s="104">
        <v>194015</v>
      </c>
      <c r="AY57" s="104"/>
      <c r="AZ57" s="104"/>
      <c r="BA57" s="104"/>
    </row>
    <row r="58" spans="1:61" s="34" customFormat="1" ht="13.5" customHeight="1">
      <c r="B58" s="16" t="s">
        <v>241</v>
      </c>
      <c r="C58" s="17"/>
      <c r="D58" s="17"/>
      <c r="E58" s="17">
        <f t="shared" ref="E58:F58" si="437">+E57/D57-1</f>
        <v>9.1419893697798127E-2</v>
      </c>
      <c r="F58" s="17">
        <f t="shared" si="437"/>
        <v>-1.6522888548768599E-2</v>
      </c>
      <c r="G58" s="17">
        <f t="shared" ref="G58:O58" si="438">+G57/F57-1</f>
        <v>8.6455757661501709E-2</v>
      </c>
      <c r="H58" s="17">
        <f t="shared" si="438"/>
        <v>-3.8257899736897416E-2</v>
      </c>
      <c r="I58" s="17">
        <f t="shared" si="438"/>
        <v>7.356199455939727E-2</v>
      </c>
      <c r="J58" s="17">
        <f t="shared" si="438"/>
        <v>4.7668322493543691E-3</v>
      </c>
      <c r="K58" s="17">
        <f t="shared" si="438"/>
        <v>0.13317186448027574</v>
      </c>
      <c r="L58" s="17">
        <f t="shared" si="438"/>
        <v>0.16942295443502609</v>
      </c>
      <c r="M58" s="17">
        <f t="shared" si="438"/>
        <v>1.2051409011646586E-2</v>
      </c>
      <c r="N58" s="17">
        <f t="shared" si="438"/>
        <v>0.22991312634543548</v>
      </c>
      <c r="O58" s="17">
        <f t="shared" si="438"/>
        <v>6.2982538672274879E-2</v>
      </c>
      <c r="P58" s="17"/>
      <c r="Q58" s="313"/>
      <c r="R58" s="17"/>
      <c r="S58" s="17"/>
      <c r="T58" s="17"/>
      <c r="U58" s="17"/>
      <c r="V58" s="24">
        <f t="shared" ref="V58:AX58" si="439">V57/R57-1</f>
        <v>-7.1182173232092971E-2</v>
      </c>
      <c r="W58" s="24">
        <f t="shared" si="439"/>
        <v>6.5674240742953804E-2</v>
      </c>
      <c r="X58" s="24">
        <f t="shared" si="439"/>
        <v>0.12807330109442616</v>
      </c>
      <c r="Y58" s="24">
        <f t="shared" si="439"/>
        <v>0.18477057333208213</v>
      </c>
      <c r="Z58" s="24">
        <f t="shared" si="439"/>
        <v>0.10947588606311576</v>
      </c>
      <c r="AA58" s="24">
        <f t="shared" si="439"/>
        <v>-0.3139337434320133</v>
      </c>
      <c r="AB58" s="24">
        <f t="shared" si="439"/>
        <v>0.16238737722425278</v>
      </c>
      <c r="AC58" s="24">
        <f t="shared" si="439"/>
        <v>1.6315410142482278E-3</v>
      </c>
      <c r="AD58" s="24">
        <f t="shared" si="439"/>
        <v>-1.9565405592589347E-2</v>
      </c>
      <c r="AE58" s="24">
        <f t="shared" si="439"/>
        <v>0.61760104606906863</v>
      </c>
      <c r="AF58" s="24">
        <f t="shared" si="439"/>
        <v>9.5925154311002903E-2</v>
      </c>
      <c r="AG58" s="24">
        <f t="shared" si="439"/>
        <v>0.1174377505594344</v>
      </c>
      <c r="AH58" s="24">
        <f t="shared" si="439"/>
        <v>0.19084621044885952</v>
      </c>
      <c r="AI58" s="24">
        <f t="shared" si="439"/>
        <v>0.35512507758707801</v>
      </c>
      <c r="AJ58" s="24">
        <f t="shared" si="439"/>
        <v>0.17236574883105837</v>
      </c>
      <c r="AK58" s="24">
        <f>AK57/AG57-1</f>
        <v>6.1173656762360418E-2</v>
      </c>
      <c r="AL58" s="24">
        <f t="shared" si="439"/>
        <v>4.9927086680342958E-2</v>
      </c>
      <c r="AM58" s="24">
        <f t="shared" si="439"/>
        <v>6.2750987973881234E-2</v>
      </c>
      <c r="AN58" s="24">
        <f t="shared" si="439"/>
        <v>0.11310303152381906</v>
      </c>
      <c r="AO58" s="24">
        <f>AO57/AK57-1</f>
        <v>-0.11724813955349289</v>
      </c>
      <c r="AP58" s="24">
        <f t="shared" si="439"/>
        <v>0.25875530654362544</v>
      </c>
      <c r="AQ58" s="24">
        <f t="shared" si="439"/>
        <v>9.5108750125288077E-2</v>
      </c>
      <c r="AR58" s="24">
        <f t="shared" si="439"/>
        <v>3.722403184943901E-2</v>
      </c>
      <c r="AS58" s="24">
        <f>AS57/AO57-1</f>
        <v>0.46461350193758921</v>
      </c>
      <c r="AT58" s="24">
        <f t="shared" si="439"/>
        <v>7.2544448046280907E-2</v>
      </c>
      <c r="AU58" s="24">
        <f t="shared" si="439"/>
        <v>9.2111405010113501E-2</v>
      </c>
      <c r="AV58" s="24">
        <f t="shared" si="439"/>
        <v>0.1613482910829247</v>
      </c>
      <c r="AW58" s="24">
        <f>AW57/AS57-1</f>
        <v>-1.9501049580425756E-2</v>
      </c>
      <c r="AX58" s="24">
        <f t="shared" si="439"/>
        <v>0.12767293038611083</v>
      </c>
      <c r="AY58" s="42"/>
      <c r="AZ58" s="42"/>
      <c r="BA58" s="42"/>
    </row>
    <row r="59" spans="1:61" s="34" customFormat="1" ht="13.5" customHeight="1">
      <c r="B59" s="16" t="s">
        <v>242</v>
      </c>
      <c r="C59" s="17"/>
      <c r="D59" s="17">
        <f t="shared" ref="D59:H59" si="440">D57/D7</f>
        <v>0.16121746039936991</v>
      </c>
      <c r="E59" s="17">
        <f t="shared" si="440"/>
        <v>0.16843984633987288</v>
      </c>
      <c r="F59" s="17">
        <f t="shared" si="440"/>
        <v>0.17497053040853841</v>
      </c>
      <c r="G59" s="17">
        <f t="shared" si="440"/>
        <v>0.18275456080656857</v>
      </c>
      <c r="H59" s="17">
        <f t="shared" si="440"/>
        <v>0.19425006338887471</v>
      </c>
      <c r="I59" s="17">
        <f t="shared" ref="I59:J59" si="441">I57/I7</f>
        <v>0.1961012225507564</v>
      </c>
      <c r="J59" s="17">
        <f t="shared" si="441"/>
        <v>0.20640397618666032</v>
      </c>
      <c r="K59" s="17">
        <f t="shared" ref="K59:L59" si="442">K57/K7</f>
        <v>0.1791885053047533</v>
      </c>
      <c r="L59" s="17">
        <f t="shared" si="442"/>
        <v>0.17483299230938268</v>
      </c>
      <c r="M59" s="17">
        <f t="shared" ref="M59:N59" si="443">M57/M7</f>
        <v>0.17953763663744549</v>
      </c>
      <c r="N59" s="17">
        <f t="shared" si="443"/>
        <v>0.17932699004797886</v>
      </c>
      <c r="O59" s="17">
        <f t="shared" ref="O59" si="444">O57/O7</f>
        <v>0.18374832947818701</v>
      </c>
      <c r="P59" s="17">
        <f t="shared" ref="P59" si="445">P57/P7</f>
        <v>0.1882842581668065</v>
      </c>
      <c r="Q59" s="317"/>
      <c r="R59" s="17">
        <f t="shared" ref="R59:X59" si="446">R57/R7</f>
        <v>0.21024465023002908</v>
      </c>
      <c r="S59" s="17">
        <f t="shared" si="446"/>
        <v>0.16115382230141878</v>
      </c>
      <c r="T59" s="17">
        <f t="shared" si="446"/>
        <v>0.17078566817675084</v>
      </c>
      <c r="U59" s="17">
        <f t="shared" si="446"/>
        <v>0.21995070313845724</v>
      </c>
      <c r="V59" s="17">
        <f t="shared" si="446"/>
        <v>0.20949875226267139</v>
      </c>
      <c r="W59" s="17">
        <f t="shared" si="446"/>
        <v>0.16439571255223207</v>
      </c>
      <c r="X59" s="17">
        <f t="shared" si="446"/>
        <v>0.16359297748298907</v>
      </c>
      <c r="Y59" s="17">
        <f t="shared" ref="Y59:Z59" si="447">Y57/Y7</f>
        <v>0.23139489370824309</v>
      </c>
      <c r="Z59" s="17">
        <f t="shared" si="447"/>
        <v>0.20601662640716395</v>
      </c>
      <c r="AA59" s="17">
        <f t="shared" ref="AA59:AD59" si="448">AA57/AA7</f>
        <v>0.13713279409910736</v>
      </c>
      <c r="AB59" s="17">
        <f t="shared" si="448"/>
        <v>0.1961123701269753</v>
      </c>
      <c r="AC59" s="17">
        <f t="shared" si="448"/>
        <v>0.25952126902561812</v>
      </c>
      <c r="AD59" s="17">
        <f t="shared" si="448"/>
        <v>0.20024273014126834</v>
      </c>
      <c r="AE59" s="17">
        <f t="shared" ref="AE59:AH59" si="449">AE57/AE7</f>
        <v>0.15687623996586036</v>
      </c>
      <c r="AF59" s="17">
        <f t="shared" si="449"/>
        <v>0.15741330879565188</v>
      </c>
      <c r="AG59" s="17">
        <f t="shared" si="449"/>
        <v>0.1940930195290673</v>
      </c>
      <c r="AH59" s="17">
        <f t="shared" si="449"/>
        <v>0.19444347675977292</v>
      </c>
      <c r="AI59" s="17">
        <f t="shared" ref="AI59:AJ59" si="450">AI57/AI7</f>
        <v>0.15865543313620231</v>
      </c>
      <c r="AJ59" s="17">
        <f t="shared" si="450"/>
        <v>0.15193608035480466</v>
      </c>
      <c r="AK59" s="17">
        <f>AK57/AK7</f>
        <v>0.19044596386084769</v>
      </c>
      <c r="AL59" s="17">
        <f t="shared" ref="AL59:AN59" si="451">AL57/AL7</f>
        <v>0.18157152814135563</v>
      </c>
      <c r="AM59" s="17">
        <f t="shared" si="451"/>
        <v>0.16237863143301981</v>
      </c>
      <c r="AN59" s="17">
        <f t="shared" si="451"/>
        <v>0.16487331703141203</v>
      </c>
      <c r="AO59" s="17">
        <f>AO57/AO7</f>
        <v>0.209523138025004</v>
      </c>
      <c r="AP59" s="17">
        <f t="shared" ref="AP59:AR59" si="452">AP57/AP7</f>
        <v>0.19935939829582339</v>
      </c>
      <c r="AQ59" s="17">
        <f t="shared" si="452"/>
        <v>0.16254112920670755</v>
      </c>
      <c r="AR59" s="17">
        <f t="shared" si="452"/>
        <v>0.15772301992915952</v>
      </c>
      <c r="AS59" s="17">
        <f>AS57/AS7</f>
        <v>0.18997409631909989</v>
      </c>
      <c r="AT59" s="17">
        <f t="shared" ref="AT59:AV59" si="453">AT57/AT7</f>
        <v>0.1937098511552437</v>
      </c>
      <c r="AU59" s="17">
        <f t="shared" si="453"/>
        <v>0.16165054024956341</v>
      </c>
      <c r="AV59" s="17">
        <f t="shared" si="453"/>
        <v>0.16633735522848028</v>
      </c>
      <c r="AW59" s="17">
        <f>AW57/AW7</f>
        <v>0.20705522811286986</v>
      </c>
      <c r="AX59" s="17">
        <f t="shared" ref="AX59" si="454">AX57/AX7</f>
        <v>0.20991320456040649</v>
      </c>
      <c r="AY59" s="136"/>
      <c r="AZ59" s="136"/>
      <c r="BA59" s="136"/>
    </row>
    <row r="60" spans="1:61" ht="13.5" customHeight="1">
      <c r="B60" s="5"/>
      <c r="C60" s="39"/>
      <c r="D60" s="39"/>
      <c r="E60" s="39"/>
      <c r="F60" s="39"/>
      <c r="G60" s="39"/>
      <c r="H60" s="39"/>
      <c r="I60" s="39"/>
      <c r="J60" s="39"/>
      <c r="K60" s="39"/>
      <c r="L60" s="39"/>
      <c r="M60" s="39"/>
      <c r="N60" s="39"/>
      <c r="AY60" s="40"/>
      <c r="AZ60" s="40"/>
      <c r="BA60" s="40"/>
    </row>
    <row r="61" spans="1:61" ht="13.5" customHeight="1">
      <c r="A61" s="22"/>
      <c r="B61" s="15" t="s">
        <v>245</v>
      </c>
      <c r="C61" s="33"/>
      <c r="D61" s="33">
        <f t="shared" ref="D61:H61" si="455">+D49</f>
        <v>42004</v>
      </c>
      <c r="E61" s="33">
        <f t="shared" si="455"/>
        <v>42369</v>
      </c>
      <c r="F61" s="33">
        <f t="shared" si="455"/>
        <v>42735</v>
      </c>
      <c r="G61" s="60">
        <f t="shared" si="455"/>
        <v>43100</v>
      </c>
      <c r="H61" s="60">
        <f t="shared" si="455"/>
        <v>43465</v>
      </c>
      <c r="I61" s="60">
        <f t="shared" ref="I61:J61" si="456">+I49</f>
        <v>43830</v>
      </c>
      <c r="J61" s="60">
        <f t="shared" si="456"/>
        <v>44196</v>
      </c>
      <c r="K61" s="60">
        <f t="shared" ref="K61:L61" si="457">+K49</f>
        <v>44561</v>
      </c>
      <c r="L61" s="60">
        <f t="shared" si="457"/>
        <v>44926</v>
      </c>
      <c r="M61" s="60">
        <f t="shared" ref="M61:N61" si="458">+M49</f>
        <v>45291</v>
      </c>
      <c r="N61" s="60">
        <f t="shared" si="458"/>
        <v>45657</v>
      </c>
      <c r="O61" s="60">
        <f t="shared" ref="O61" si="459">+O49</f>
        <v>46022</v>
      </c>
      <c r="P61" s="141">
        <f t="shared" ref="P61" si="460">+P49</f>
        <v>46111</v>
      </c>
      <c r="Q61" s="267"/>
      <c r="R61" s="60">
        <f t="shared" ref="R61:X61" si="461">+R49</f>
        <v>43189</v>
      </c>
      <c r="S61" s="60">
        <f t="shared" si="461"/>
        <v>43281</v>
      </c>
      <c r="T61" s="60">
        <f t="shared" si="461"/>
        <v>43373</v>
      </c>
      <c r="U61" s="60">
        <f t="shared" si="461"/>
        <v>43464</v>
      </c>
      <c r="V61" s="60">
        <f t="shared" si="461"/>
        <v>43554</v>
      </c>
      <c r="W61" s="60">
        <f t="shared" si="461"/>
        <v>43646</v>
      </c>
      <c r="X61" s="60">
        <f t="shared" si="461"/>
        <v>43738</v>
      </c>
      <c r="Y61" s="60">
        <f t="shared" ref="Y61:Z61" si="462">+Y49</f>
        <v>43829</v>
      </c>
      <c r="Z61" s="60">
        <f t="shared" si="462"/>
        <v>43920</v>
      </c>
      <c r="AA61" s="60">
        <f t="shared" ref="AA61:AD61" si="463">+AA49</f>
        <v>44012</v>
      </c>
      <c r="AB61" s="60">
        <f t="shared" si="463"/>
        <v>44104</v>
      </c>
      <c r="AC61" s="60">
        <f t="shared" si="463"/>
        <v>44195</v>
      </c>
      <c r="AD61" s="60">
        <f t="shared" si="463"/>
        <v>44285</v>
      </c>
      <c r="AE61" s="60">
        <f t="shared" ref="AE61:AH61" si="464">+AE49</f>
        <v>44377</v>
      </c>
      <c r="AF61" s="60">
        <f t="shared" si="464"/>
        <v>44469</v>
      </c>
      <c r="AG61" s="60">
        <f t="shared" si="464"/>
        <v>44560</v>
      </c>
      <c r="AH61" s="60">
        <f t="shared" si="464"/>
        <v>44650</v>
      </c>
      <c r="AI61" s="60">
        <f t="shared" ref="AI61:AL61" si="465">+AI49</f>
        <v>44742</v>
      </c>
      <c r="AJ61" s="60">
        <f t="shared" si="465"/>
        <v>44834</v>
      </c>
      <c r="AK61" s="60">
        <f t="shared" si="465"/>
        <v>44925</v>
      </c>
      <c r="AL61" s="60">
        <f t="shared" si="465"/>
        <v>45015</v>
      </c>
      <c r="AM61" s="60">
        <f t="shared" ref="AM61:AP61" si="466">+AM49</f>
        <v>45107</v>
      </c>
      <c r="AN61" s="60">
        <f t="shared" si="466"/>
        <v>45199</v>
      </c>
      <c r="AO61" s="60">
        <f t="shared" si="466"/>
        <v>45290</v>
      </c>
      <c r="AP61" s="60">
        <f t="shared" si="466"/>
        <v>45381</v>
      </c>
      <c r="AQ61" s="60">
        <f t="shared" ref="AQ61:AT61" si="467">+AQ49</f>
        <v>45473</v>
      </c>
      <c r="AR61" s="60">
        <f t="shared" si="467"/>
        <v>45565</v>
      </c>
      <c r="AS61" s="60">
        <f t="shared" si="467"/>
        <v>45656</v>
      </c>
      <c r="AT61" s="60">
        <f t="shared" si="467"/>
        <v>45746</v>
      </c>
      <c r="AU61" s="60">
        <f t="shared" ref="AU61:AX61" si="468">+AU49</f>
        <v>45838</v>
      </c>
      <c r="AV61" s="60">
        <f t="shared" si="468"/>
        <v>45930</v>
      </c>
      <c r="AW61" s="60">
        <f t="shared" si="468"/>
        <v>46021</v>
      </c>
      <c r="AX61" s="60">
        <f t="shared" si="468"/>
        <v>46111</v>
      </c>
      <c r="AY61" s="268"/>
      <c r="AZ61" s="268"/>
      <c r="BA61" s="268"/>
    </row>
    <row r="62" spans="1:61" s="5" customFormat="1" ht="13.5" customHeight="1">
      <c r="B62" s="5" t="s">
        <v>246</v>
      </c>
      <c r="C62" s="7"/>
      <c r="D62" s="7">
        <f t="shared" ref="D62:H62" si="469">D57</f>
        <v>289740</v>
      </c>
      <c r="E62" s="7">
        <f t="shared" si="469"/>
        <v>316228</v>
      </c>
      <c r="F62" s="7">
        <f t="shared" si="469"/>
        <v>311003</v>
      </c>
      <c r="G62" s="7">
        <f t="shared" si="469"/>
        <v>337891</v>
      </c>
      <c r="H62" s="7">
        <f t="shared" si="469"/>
        <v>324964</v>
      </c>
      <c r="I62" s="7">
        <f t="shared" ref="I62:J62" si="470">I57</f>
        <v>348869</v>
      </c>
      <c r="J62" s="7">
        <f t="shared" si="470"/>
        <v>350532</v>
      </c>
      <c r="K62" s="7">
        <f t="shared" ref="K62:L62" si="471">K57</f>
        <v>397213</v>
      </c>
      <c r="L62" s="7">
        <f t="shared" si="471"/>
        <v>464510</v>
      </c>
      <c r="M62" s="7">
        <f t="shared" ref="M62:N62" si="472">M57</f>
        <v>470108</v>
      </c>
      <c r="N62" s="7">
        <f t="shared" si="472"/>
        <v>578192</v>
      </c>
      <c r="O62" s="7">
        <f t="shared" ref="O62" si="473">O57</f>
        <v>614608</v>
      </c>
      <c r="P62" s="7">
        <f t="shared" ref="P62" si="474">P57</f>
        <v>636574</v>
      </c>
      <c r="Q62" s="7"/>
      <c r="R62" s="7">
        <f t="shared" ref="R62:X62" si="475">R57</f>
        <v>100882</v>
      </c>
      <c r="S62" s="7">
        <f t="shared" si="475"/>
        <v>58577</v>
      </c>
      <c r="T62" s="7">
        <f t="shared" si="475"/>
        <v>58935</v>
      </c>
      <c r="U62" s="7">
        <f t="shared" si="475"/>
        <v>106570</v>
      </c>
      <c r="V62" s="7">
        <f t="shared" si="475"/>
        <v>93701</v>
      </c>
      <c r="W62" s="7">
        <f t="shared" si="475"/>
        <v>62424</v>
      </c>
      <c r="X62" s="7">
        <f t="shared" si="475"/>
        <v>66483</v>
      </c>
      <c r="Y62" s="7">
        <f t="shared" ref="Y62:Z62" si="476">Y57</f>
        <v>126261</v>
      </c>
      <c r="Z62" s="7">
        <f t="shared" si="476"/>
        <v>103959</v>
      </c>
      <c r="AA62" s="7">
        <f t="shared" ref="AA62:AD62" si="477">AA57</f>
        <v>42827</v>
      </c>
      <c r="AB62" s="7">
        <f t="shared" si="477"/>
        <v>77279</v>
      </c>
      <c r="AC62" s="7">
        <f t="shared" si="477"/>
        <v>126467</v>
      </c>
      <c r="AD62" s="7">
        <f t="shared" si="477"/>
        <v>101925</v>
      </c>
      <c r="AE62" s="7">
        <f t="shared" ref="AE62:AH62" si="478">AE57</f>
        <v>69277</v>
      </c>
      <c r="AF62" s="7">
        <f t="shared" si="478"/>
        <v>84692</v>
      </c>
      <c r="AG62" s="7">
        <f t="shared" si="478"/>
        <v>141319</v>
      </c>
      <c r="AH62" s="7">
        <f t="shared" si="478"/>
        <v>121377</v>
      </c>
      <c r="AI62" s="7">
        <f t="shared" ref="AI62:AJ62" si="479">AI57</f>
        <v>93879</v>
      </c>
      <c r="AJ62" s="7">
        <f t="shared" si="479"/>
        <v>99290</v>
      </c>
      <c r="AK62" s="7">
        <f t="shared" ref="AK62:AN62" si="480">AK57</f>
        <v>149964</v>
      </c>
      <c r="AL62" s="7">
        <f t="shared" si="480"/>
        <v>127437</v>
      </c>
      <c r="AM62" s="7">
        <f t="shared" si="480"/>
        <v>99770</v>
      </c>
      <c r="AN62" s="7">
        <f t="shared" si="480"/>
        <v>110520</v>
      </c>
      <c r="AO62" s="7">
        <f t="shared" ref="AO62:AR62" si="481">AO57</f>
        <v>132381</v>
      </c>
      <c r="AP62" s="7">
        <f t="shared" si="481"/>
        <v>160412</v>
      </c>
      <c r="AQ62" s="7">
        <f t="shared" si="481"/>
        <v>109259</v>
      </c>
      <c r="AR62" s="7">
        <f t="shared" si="481"/>
        <v>114634</v>
      </c>
      <c r="AS62" s="7">
        <f t="shared" ref="AS62:AV62" si="482">AS57</f>
        <v>193887</v>
      </c>
      <c r="AT62" s="7">
        <f t="shared" si="482"/>
        <v>172049</v>
      </c>
      <c r="AU62" s="7">
        <f t="shared" si="482"/>
        <v>119323</v>
      </c>
      <c r="AV62" s="7">
        <f t="shared" si="482"/>
        <v>133130</v>
      </c>
      <c r="AW62" s="7">
        <f t="shared" ref="AW62:AX62" si="483">AW57</f>
        <v>190106</v>
      </c>
      <c r="AX62" s="7">
        <f t="shared" si="483"/>
        <v>194015</v>
      </c>
      <c r="AY62" s="7"/>
      <c r="AZ62" s="7"/>
      <c r="BA62" s="7"/>
    </row>
    <row r="63" spans="1:61" ht="13.5" customHeight="1">
      <c r="B63" s="6" t="s">
        <v>247</v>
      </c>
      <c r="C63" s="30"/>
      <c r="D63" s="4">
        <f>2367485.129-1579575.529-191529.823-295650.855</f>
        <v>300728.92200000014</v>
      </c>
      <c r="E63" s="4">
        <f>2406656.125-1569343.254-213532.202-275697.786</f>
        <v>348082.88299999997</v>
      </c>
      <c r="F63" s="4">
        <f>2415467.366-1624748.62-210545.781-280846.689</f>
        <v>299326.27599999984</v>
      </c>
      <c r="G63" s="4">
        <f>2388420.701-1495009.304-221146.637-333155.023</f>
        <v>339109.73699999991</v>
      </c>
      <c r="H63" s="4">
        <f>2296830.656-1526444.73-199460.816-267827.342</f>
        <v>303097.76799999998</v>
      </c>
      <c r="I63" s="4">
        <f>2626374.51-1802751.639-203681.853-292958.045</f>
        <v>326982.97299999982</v>
      </c>
      <c r="J63" s="4">
        <f>2321999.131-1517256.079-189758.823-266228.165</f>
        <v>348756.06400000019</v>
      </c>
      <c r="K63" s="4">
        <f>2953813.799-2048185.735-216192.088-278367.683</f>
        <v>411068.29300000001</v>
      </c>
      <c r="L63" s="4">
        <f>3682470.527-2551652.407-258202.599-363740.268</f>
        <v>508875.25299999974</v>
      </c>
      <c r="M63" s="4">
        <f>3716722.747-2577032.215-260336.901-394507.399</f>
        <v>484846.23200000008</v>
      </c>
      <c r="N63" s="4">
        <f>4455460.124-3194881.778-340368.155-407950.607</f>
        <v>512259.58399999986</v>
      </c>
      <c r="O63" s="4">
        <f>4445641.158-3001163.98-344307.581-484173.175</f>
        <v>615996.42199999979</v>
      </c>
      <c r="P63" s="75">
        <f>SUM(AU63:AX63)</f>
        <v>610697.29299999971</v>
      </c>
      <c r="Q63" s="75"/>
      <c r="R63" s="4">
        <f>613668.703-412449.611-49695.316-88673.59</f>
        <v>62850.186000000016</v>
      </c>
      <c r="S63" s="4">
        <f>1048352.436-676143.545--103180.143-142531.513-R63</f>
        <v>270007.33499999996</v>
      </c>
      <c r="T63" s="4">
        <f>1486205.025-994467.042-138370.529-187214.435-S63-R63</f>
        <v>-166704.50200000007</v>
      </c>
      <c r="U63" s="30">
        <f>H63-SUM(R63:T63)</f>
        <v>136944.7490000001</v>
      </c>
      <c r="V63" s="4">
        <f>679575.996-470190.772-57763.597-84474.896</f>
        <v>67146.731000000043</v>
      </c>
      <c r="W63" s="4">
        <f>1271549.665-883431.125-104793.892-153423.164-V63</f>
        <v>62754.753000000012</v>
      </c>
      <c r="X63" s="4">
        <f>1844309.808-1287004.519-146308.316-212050.634-W63-V63</f>
        <v>69044.85499999985</v>
      </c>
      <c r="Y63" s="30">
        <f>I63-SUM(V63:X63)</f>
        <v>128036.6339999999</v>
      </c>
      <c r="Z63" s="4">
        <f>744324.53-500259.388-64198.477-98933.698</f>
        <v>80932.967000000033</v>
      </c>
      <c r="AA63" s="4">
        <f>1260783.254-874799.406-105215.1-147643.227-Z63</f>
        <v>52192.553999999975</v>
      </c>
      <c r="AB63" s="4">
        <f>1696870.754-1129025.422-142433.094-205466.805-AA63-Z63</f>
        <v>86819.911999999895</v>
      </c>
      <c r="AC63" s="30">
        <f>J63-SUM(Z63:AB63)</f>
        <v>128810.63100000028</v>
      </c>
      <c r="AD63" s="4">
        <f>707559.116-519235.812-58079.733-75964.831</f>
        <v>54278.740000000049</v>
      </c>
      <c r="AE63" s="4">
        <f>1343145.795-948253.857-102710.008-141962.58-AD63</f>
        <v>95940.609999999899</v>
      </c>
      <c r="AF63" s="4">
        <f>2077408.287-1452499.119-152854.444-211162.154-AE63-AD63</f>
        <v>110673.22000000009</v>
      </c>
      <c r="AG63" s="30">
        <f>K63-SUM(AD63:AF63)</f>
        <v>150175.72299999997</v>
      </c>
      <c r="AH63" s="4">
        <f>916114.276-641046.097-65682.453-89784.952</f>
        <v>119600.77400000002</v>
      </c>
      <c r="AI63" s="4">
        <f>1883094.61-1339068.937-130331.47-193095.255-AH63</f>
        <v>100998.17400000019</v>
      </c>
      <c r="AJ63" s="4">
        <f>2839783.452-1997433.298-192163.178-279093.201-AI63-AH63</f>
        <v>150494.82699999982</v>
      </c>
      <c r="AK63" s="30">
        <f>L63-SUM(AH63:AJ63)</f>
        <v>137781.47799999971</v>
      </c>
      <c r="AL63" s="4">
        <f>1027696.553-732193.645-77985.09-117862.065</f>
        <v>99655.752999999939</v>
      </c>
      <c r="AM63" s="4">
        <f>1980908.724-1416684.477-142264.721-228683.894-AL63</f>
        <v>93619.879000000015</v>
      </c>
      <c r="AN63" s="4">
        <f>2996456.702-2162680.482-209435.619-311478.143-AM63-AL63</f>
        <v>119586.82600000032</v>
      </c>
      <c r="AO63" s="30">
        <f>M63-SUM(AL63:AN63)</f>
        <v>171983.7739999998</v>
      </c>
      <c r="AP63" s="4">
        <f>1233810.371-886485.907-99858.339-140256.51</f>
        <v>107209.61500000002</v>
      </c>
      <c r="AQ63" s="4">
        <f>2230035.634-1588278.3-172576.097-255029.404-AP63</f>
        <v>106942.21799999999</v>
      </c>
      <c r="AR63" s="4">
        <f>3187197.957-2293905.935-242952.43-312067.035-AQ63-AP63</f>
        <v>124120.72399999996</v>
      </c>
      <c r="AS63" s="30">
        <f t="shared" ref="AS63:AS65" si="484">N63-SUM(AP63:AR63)</f>
        <v>173987.02699999989</v>
      </c>
      <c r="AT63" s="4">
        <f>1231838.426-901556.497-107764.382-81485.488</f>
        <v>141032.05900000001</v>
      </c>
      <c r="AU63" s="4">
        <f>2219177.343-1538395.718-180870.43-270043.459-AT63</f>
        <v>88835.676999999792</v>
      </c>
      <c r="AV63" s="4">
        <f>3245367.054-2227137.784-259227.094-379504.391-AU63-AT63</f>
        <v>149630.04900000017</v>
      </c>
      <c r="AW63" s="30">
        <f>O63-SUM(AT63:AV63)</f>
        <v>236498.63699999981</v>
      </c>
      <c r="AX63" s="4">
        <f>1291776.326-899794.637-110869.022-145379.737</f>
        <v>135732.92999999991</v>
      </c>
      <c r="AY63" s="4"/>
      <c r="AZ63" s="4"/>
      <c r="BA63" s="4"/>
      <c r="BI63" s="30"/>
    </row>
    <row r="64" spans="1:61" ht="13.5" customHeight="1">
      <c r="B64" s="6" t="s">
        <v>248</v>
      </c>
      <c r="C64" s="4"/>
      <c r="D64" s="4">
        <v>-23778.366000000002</v>
      </c>
      <c r="E64" s="4">
        <v>-26322.106</v>
      </c>
      <c r="F64" s="4">
        <v>-25721.726999999999</v>
      </c>
      <c r="G64" s="4">
        <v>-40654.076999999997</v>
      </c>
      <c r="H64" s="4">
        <v>-29904.175999999999</v>
      </c>
      <c r="I64" s="4">
        <v>-34198.767</v>
      </c>
      <c r="J64" s="4">
        <v>-29474.9</v>
      </c>
      <c r="K64" s="4">
        <v>-46100.05</v>
      </c>
      <c r="L64" s="4">
        <v>-87757.706000000006</v>
      </c>
      <c r="M64" s="4">
        <v>-71269.987999999998</v>
      </c>
      <c r="N64" s="4">
        <v>-85380.680999999997</v>
      </c>
      <c r="O64" s="4">
        <v>-103077.57</v>
      </c>
      <c r="P64" s="75">
        <f t="shared" ref="P64:P65" si="485">SUM(AU64:AX64)</f>
        <v>-113353.387</v>
      </c>
      <c r="Q64" s="75"/>
      <c r="R64" s="4">
        <v>-9961.9639999999999</v>
      </c>
      <c r="S64" s="4">
        <f>-13861.423-R64</f>
        <v>-3899.4590000000007</v>
      </c>
      <c r="T64" s="4">
        <f>-20301.062-S64-R64</f>
        <v>-6439.6390000000029</v>
      </c>
      <c r="U64" s="30">
        <f>H64-T64-S64-R64</f>
        <v>-9603.1139999999941</v>
      </c>
      <c r="V64" s="4">
        <v>-9443.9840000000004</v>
      </c>
      <c r="W64" s="4">
        <f>-19838.714-V64</f>
        <v>-10394.73</v>
      </c>
      <c r="X64" s="4">
        <f>-25530.232-W64-V64</f>
        <v>-5691.518</v>
      </c>
      <c r="Y64" s="30">
        <f>I64-X64-W64-V64</f>
        <v>-8668.5349999999999</v>
      </c>
      <c r="Z64" s="4">
        <v>-14579.450999999999</v>
      </c>
      <c r="AA64" s="4">
        <f>-17090.068-Z64</f>
        <v>-2510.6170000000002</v>
      </c>
      <c r="AB64" s="4">
        <f>-24500.796-AA64-Z64</f>
        <v>-7410.7279999999973</v>
      </c>
      <c r="AC64" s="30">
        <f>J64-AB64-AA64-Z64</f>
        <v>-4974.1040000000085</v>
      </c>
      <c r="AD64" s="4">
        <v>-11075.92</v>
      </c>
      <c r="AE64" s="4">
        <f>-21342.401-AD64</f>
        <v>-10266.481000000002</v>
      </c>
      <c r="AF64" s="4">
        <f>-31631.1456-AE64-AD64</f>
        <v>-10288.744599999996</v>
      </c>
      <c r="AG64" s="30">
        <f>K64-AF64-AE64-AD64</f>
        <v>-14468.904400000005</v>
      </c>
      <c r="AH64" s="4">
        <v>-13527.145</v>
      </c>
      <c r="AI64" s="4">
        <f>-49406.334-AH64</f>
        <v>-35879.188999999998</v>
      </c>
      <c r="AJ64" s="4">
        <f>-97896.836-AI64-AH64</f>
        <v>-48490.501999999993</v>
      </c>
      <c r="AK64" s="30">
        <f>L64-AH64-AI64-AJ64</f>
        <v>10139.12999999999</v>
      </c>
      <c r="AL64" s="4">
        <v>-12579.928</v>
      </c>
      <c r="AM64" s="4">
        <f>-45753.944-AL64</f>
        <v>-33174.016000000003</v>
      </c>
      <c r="AN64" s="4">
        <f>-64604.535-AM64-AL64</f>
        <v>-18850.591</v>
      </c>
      <c r="AO64" s="30">
        <f>M64-AL64-AM64-AN64</f>
        <v>-6665.4529999999941</v>
      </c>
      <c r="AP64" s="4">
        <v>-21132.353999999999</v>
      </c>
      <c r="AQ64" s="4">
        <f>-47659.271-AP64</f>
        <v>-26526.917000000001</v>
      </c>
      <c r="AR64" s="4">
        <f>-65298.097-AQ64-AP64</f>
        <v>-17638.826000000001</v>
      </c>
      <c r="AS64" s="30">
        <f t="shared" si="484"/>
        <v>-20082.583999999995</v>
      </c>
      <c r="AT64" s="4">
        <v>-17943.303</v>
      </c>
      <c r="AU64" s="4">
        <f>-53830.544-AT64</f>
        <v>-35887.241000000002</v>
      </c>
      <c r="AV64" s="4">
        <f>-76535.42-AU64-AT64</f>
        <v>-22704.875999999997</v>
      </c>
      <c r="AW64" s="30">
        <f t="shared" ref="AW64:AW65" si="486">O64-SUM(AT64:AV64)</f>
        <v>-26542.150000000009</v>
      </c>
      <c r="AX64" s="4">
        <v>-28219.119999999999</v>
      </c>
      <c r="AY64" s="4"/>
      <c r="AZ64" s="4"/>
      <c r="BA64" s="4"/>
    </row>
    <row r="65" spans="1:66" ht="13.5" customHeight="1">
      <c r="B65" s="6" t="s">
        <v>249</v>
      </c>
      <c r="C65" s="4"/>
      <c r="D65" s="4">
        <v>-62079.743999999999</v>
      </c>
      <c r="E65" s="4">
        <v>-57963.478999999999</v>
      </c>
      <c r="F65" s="4">
        <v>-49931.807000000001</v>
      </c>
      <c r="G65" s="4">
        <v>-53103.434000000001</v>
      </c>
      <c r="H65" s="4">
        <v>-41353.012999999999</v>
      </c>
      <c r="I65" s="4">
        <v>-36141.476999999999</v>
      </c>
      <c r="J65" s="4">
        <v>-44299.000999999997</v>
      </c>
      <c r="K65" s="4">
        <v>-55497.167000000001</v>
      </c>
      <c r="L65" s="4">
        <v>-44822.402000000002</v>
      </c>
      <c r="M65" s="4">
        <v>-67010.058000000005</v>
      </c>
      <c r="N65" s="4">
        <v>-65837.409</v>
      </c>
      <c r="O65" s="4">
        <v>-57331.557999999997</v>
      </c>
      <c r="P65" s="75">
        <f t="shared" si="485"/>
        <v>-54787.959000000003</v>
      </c>
      <c r="Q65" s="75"/>
      <c r="R65" s="4">
        <v>-18802.069</v>
      </c>
      <c r="S65" s="4">
        <f>-20797.233-R65</f>
        <v>-1995.1640000000007</v>
      </c>
      <c r="T65" s="4">
        <f>-39466.733-S65-R65</f>
        <v>-18669.500000000004</v>
      </c>
      <c r="U65" s="30">
        <f>H65-T65-S65-R65</f>
        <v>-1886.2799999999952</v>
      </c>
      <c r="V65" s="4">
        <v>-17176.510999999999</v>
      </c>
      <c r="W65" s="4">
        <f>-20797.233-V65</f>
        <v>-3620.7220000000016</v>
      </c>
      <c r="X65" s="4">
        <f>-34208.635-W65-V65</f>
        <v>-13411.402000000002</v>
      </c>
      <c r="Y65" s="30">
        <f>I65-X65-W65-V65</f>
        <v>-1932.8419999999969</v>
      </c>
      <c r="Z65" s="4">
        <v>-18203.609</v>
      </c>
      <c r="AA65" s="4">
        <f>-20300.438-Z65</f>
        <v>-2096.8289999999979</v>
      </c>
      <c r="AB65" s="4">
        <f>-42184.679-AA65-Z65</f>
        <v>-21884.240999999998</v>
      </c>
      <c r="AC65" s="30">
        <f>J65-AB65-AA65-Z65</f>
        <v>-2114.3220000000001</v>
      </c>
      <c r="AD65" s="4">
        <v>-20520.161</v>
      </c>
      <c r="AE65" s="4">
        <f>-25944.482-AD65</f>
        <v>-5424.3209999999999</v>
      </c>
      <c r="AF65" s="4">
        <f>-49817.049-AE65-AD65</f>
        <v>-23872.567000000003</v>
      </c>
      <c r="AG65" s="30">
        <f>K65-AF65-AE65-AD65</f>
        <v>-5680.1179999999986</v>
      </c>
      <c r="AH65" s="4">
        <v>-21671.315999999999</v>
      </c>
      <c r="AI65" s="4">
        <f>-32220.979-AH65</f>
        <v>-10549.663</v>
      </c>
      <c r="AJ65" s="4">
        <f>-70564.606-AI65-AH65</f>
        <v>-38343.627</v>
      </c>
      <c r="AK65" s="30">
        <f>L65-AH65-AI65-AJ65</f>
        <v>25742.203999999998</v>
      </c>
      <c r="AL65" s="4">
        <v>-20718.262999999999</v>
      </c>
      <c r="AM65" s="4">
        <f>-30726.785-AL65</f>
        <v>-10008.522000000001</v>
      </c>
      <c r="AN65" s="4">
        <f>-60683.064-AM65-AL65</f>
        <v>-29956.279000000002</v>
      </c>
      <c r="AO65" s="30">
        <f>M65-AL65-AM65-AN65</f>
        <v>-6326.9939999999988</v>
      </c>
      <c r="AP65" s="4">
        <v>-17987.881000000001</v>
      </c>
      <c r="AQ65" s="4">
        <f>-26457.204-AP65</f>
        <v>-8469.3230000000003</v>
      </c>
      <c r="AR65" s="4">
        <f>-52932.146-AQ65-AP65</f>
        <v>-26474.942000000003</v>
      </c>
      <c r="AS65" s="30">
        <f t="shared" si="484"/>
        <v>-12905.262999999992</v>
      </c>
      <c r="AT65" s="4">
        <v>-20034.688999999998</v>
      </c>
      <c r="AU65" s="4">
        <f>-21339.689-AT65</f>
        <v>-1305</v>
      </c>
      <c r="AV65" s="4">
        <f>-55085.308-AU65-AT65</f>
        <v>-33745.618999999999</v>
      </c>
      <c r="AW65" s="30">
        <f t="shared" si="486"/>
        <v>-2246.25</v>
      </c>
      <c r="AX65" s="4">
        <v>-17491.09</v>
      </c>
      <c r="AY65" s="4"/>
      <c r="AZ65" s="4"/>
      <c r="BA65" s="4"/>
    </row>
    <row r="66" spans="1:66" s="5" customFormat="1" ht="13.5" customHeight="1">
      <c r="B66" s="5" t="s">
        <v>250</v>
      </c>
      <c r="C66" s="31"/>
      <c r="D66" s="31">
        <f t="shared" ref="D66:H66" si="487">SUM(D62:D65)</f>
        <v>504610.81200000009</v>
      </c>
      <c r="E66" s="31">
        <f t="shared" si="487"/>
        <v>580025.29799999984</v>
      </c>
      <c r="F66" s="31">
        <f t="shared" si="487"/>
        <v>534675.74199999985</v>
      </c>
      <c r="G66" s="31">
        <f t="shared" si="487"/>
        <v>583243.22599999991</v>
      </c>
      <c r="H66" s="31">
        <f t="shared" si="487"/>
        <v>556804.57899999991</v>
      </c>
      <c r="I66" s="31">
        <f t="shared" ref="I66:J66" si="488">SUM(I62:I65)</f>
        <v>605511.72899999982</v>
      </c>
      <c r="J66" s="31">
        <f t="shared" si="488"/>
        <v>625514.16300000018</v>
      </c>
      <c r="K66" s="31">
        <f t="shared" ref="K66:L66" si="489">SUM(K62:K65)</f>
        <v>706684.076</v>
      </c>
      <c r="L66" s="31">
        <f t="shared" si="489"/>
        <v>840805.14499999979</v>
      </c>
      <c r="M66" s="31">
        <f t="shared" ref="M66:N66" si="490">SUM(M62:M65)</f>
        <v>816674.1860000001</v>
      </c>
      <c r="N66" s="31">
        <f t="shared" si="490"/>
        <v>939233.49399999983</v>
      </c>
      <c r="O66" s="31">
        <f t="shared" ref="O66" si="491">SUM(O62:O65)</f>
        <v>1070195.2939999998</v>
      </c>
      <c r="P66" s="31">
        <f t="shared" ref="P66" si="492">SUM(P62:P65)</f>
        <v>1079129.9469999995</v>
      </c>
      <c r="Q66" s="31"/>
      <c r="R66" s="31">
        <f t="shared" ref="R66:X66" si="493">SUM(R62:R65)</f>
        <v>134968.15300000002</v>
      </c>
      <c r="S66" s="31">
        <f t="shared" si="493"/>
        <v>322689.712</v>
      </c>
      <c r="T66" s="31">
        <f t="shared" si="493"/>
        <v>-132878.64100000006</v>
      </c>
      <c r="U66" s="31">
        <f t="shared" si="493"/>
        <v>232025.3550000001</v>
      </c>
      <c r="V66" s="31">
        <f t="shared" si="493"/>
        <v>134227.23600000003</v>
      </c>
      <c r="W66" s="31">
        <f t="shared" si="493"/>
        <v>111163.30100000001</v>
      </c>
      <c r="X66" s="31">
        <f t="shared" si="493"/>
        <v>116424.93499999987</v>
      </c>
      <c r="Y66" s="31">
        <f t="shared" ref="Y66:Z66" si="494">SUM(Y62:Y65)</f>
        <v>243696.2569999999</v>
      </c>
      <c r="Z66" s="31">
        <f t="shared" si="494"/>
        <v>152108.90700000004</v>
      </c>
      <c r="AA66" s="31">
        <f t="shared" ref="AA66:AD66" si="495">SUM(AA62:AA65)</f>
        <v>90412.107999999978</v>
      </c>
      <c r="AB66" s="31">
        <f t="shared" si="495"/>
        <v>134803.94299999988</v>
      </c>
      <c r="AC66" s="31">
        <f t="shared" si="495"/>
        <v>248189.20500000025</v>
      </c>
      <c r="AD66" s="31">
        <f t="shared" si="495"/>
        <v>124607.65900000004</v>
      </c>
      <c r="AE66" s="31">
        <f t="shared" ref="AE66:AH66" si="496">SUM(AE62:AE65)</f>
        <v>149526.8079999999</v>
      </c>
      <c r="AF66" s="31">
        <f t="shared" si="496"/>
        <v>161203.90840000007</v>
      </c>
      <c r="AG66" s="31">
        <f t="shared" si="496"/>
        <v>271345.70059999998</v>
      </c>
      <c r="AH66" s="31">
        <f t="shared" si="496"/>
        <v>205779.31300000005</v>
      </c>
      <c r="AI66" s="31">
        <f t="shared" ref="AI66:AL66" si="497">SUM(AI62:AI65)</f>
        <v>148448.32200000016</v>
      </c>
      <c r="AJ66" s="31">
        <f t="shared" si="497"/>
        <v>162950.69799999983</v>
      </c>
      <c r="AK66" s="31">
        <f t="shared" si="497"/>
        <v>323626.81199999969</v>
      </c>
      <c r="AL66" s="31">
        <f t="shared" si="497"/>
        <v>193794.56199999995</v>
      </c>
      <c r="AM66" s="31">
        <f t="shared" ref="AM66:AP66" si="498">SUM(AM62:AM65)</f>
        <v>150207.34100000001</v>
      </c>
      <c r="AN66" s="31">
        <f t="shared" si="498"/>
        <v>181299.95600000033</v>
      </c>
      <c r="AO66" s="31">
        <f t="shared" si="498"/>
        <v>291372.32699999982</v>
      </c>
      <c r="AP66" s="31">
        <f t="shared" si="498"/>
        <v>228501.38</v>
      </c>
      <c r="AQ66" s="31">
        <f t="shared" ref="AQ66:AT66" si="499">SUM(AQ62:AQ65)</f>
        <v>181204.97799999997</v>
      </c>
      <c r="AR66" s="31">
        <f t="shared" si="499"/>
        <v>194640.95599999995</v>
      </c>
      <c r="AS66" s="31">
        <f t="shared" si="499"/>
        <v>334886.17999999993</v>
      </c>
      <c r="AT66" s="31">
        <f t="shared" si="499"/>
        <v>275103.06699999998</v>
      </c>
      <c r="AU66" s="31">
        <f t="shared" ref="AU66:AX66" si="500">SUM(AU62:AU65)</f>
        <v>170966.43599999978</v>
      </c>
      <c r="AV66" s="31">
        <f t="shared" si="500"/>
        <v>226309.55400000018</v>
      </c>
      <c r="AW66" s="31">
        <f t="shared" si="500"/>
        <v>397816.23699999979</v>
      </c>
      <c r="AX66" s="31">
        <f t="shared" si="500"/>
        <v>284037.71999999991</v>
      </c>
      <c r="AY66" s="31"/>
      <c r="AZ66" s="31"/>
      <c r="BA66" s="31"/>
    </row>
    <row r="67" spans="1:66" ht="13.5" customHeight="1">
      <c r="B67" s="6" t="s">
        <v>251</v>
      </c>
      <c r="C67" s="4"/>
      <c r="D67" s="4">
        <f>-114216.855-2273.241</f>
        <v>-116490.09599999999</v>
      </c>
      <c r="E67" s="4">
        <v>-112399.52800000001</v>
      </c>
      <c r="F67" s="4">
        <f>-128217.485+70.431</f>
        <v>-128147.054</v>
      </c>
      <c r="G67" s="4">
        <f>-168857.68+99.421</f>
        <v>-168758.25899999999</v>
      </c>
      <c r="H67" s="4">
        <f>-121063.273+260.116</f>
        <v>-120803.15700000001</v>
      </c>
      <c r="I67" s="4">
        <f>-110683.258+18.904</f>
        <v>-110664.35400000001</v>
      </c>
      <c r="J67" s="4">
        <f>-85874.958+3.57</f>
        <v>-85871.387999999992</v>
      </c>
      <c r="K67" s="4">
        <f>-138856.157+39.919</f>
        <v>-138816.23800000001</v>
      </c>
      <c r="L67" s="4">
        <f>-186702.179+92.253</f>
        <v>-186609.92600000001</v>
      </c>
      <c r="M67" s="4">
        <f>-192707.498+142.208</f>
        <v>-192565.28999999998</v>
      </c>
      <c r="N67" s="4">
        <f>-291541.611+1222.276</f>
        <v>-290319.33499999996</v>
      </c>
      <c r="O67" s="286">
        <f>-277822.215+171.461</f>
        <v>-277650.75400000002</v>
      </c>
      <c r="P67" s="75">
        <f t="shared" ref="P67:P68" si="501">SUM(AU67:AX67)</f>
        <v>-267319.16800000001</v>
      </c>
      <c r="Q67" s="75"/>
      <c r="R67" s="4">
        <f>0.889-30467.446</f>
        <v>-30466.557000000001</v>
      </c>
      <c r="S67" s="4">
        <f>-57250.05+1.989-R67</f>
        <v>-26781.504000000001</v>
      </c>
      <c r="T67" s="4">
        <f>-86331.506+143.431-S67-R67</f>
        <v>-28940.013999999996</v>
      </c>
      <c r="U67" s="30">
        <f>H67-T67-S67-R67</f>
        <v>-34615.082000000009</v>
      </c>
      <c r="V67" s="4">
        <f>-28250.509+1.96</f>
        <v>-28248.548999999999</v>
      </c>
      <c r="W67" s="4">
        <f>-57250.05+1.989-V67</f>
        <v>-28999.512000000002</v>
      </c>
      <c r="X67" s="4">
        <f>-80278.243+2.251-W67-V67</f>
        <v>-23027.930999999997</v>
      </c>
      <c r="Y67" s="30">
        <f>I67-X67-W67-V67</f>
        <v>-30388.362000000008</v>
      </c>
      <c r="Z67" s="4">
        <v>-30212.523000000001</v>
      </c>
      <c r="AA67" s="4">
        <f>-52980.811-Z67</f>
        <v>-22768.288</v>
      </c>
      <c r="AB67" s="4">
        <f>-66434.338+0-AA67-Z67</f>
        <v>-13453.527000000002</v>
      </c>
      <c r="AC67" s="30">
        <f>J67-AB67-AA67-Z67</f>
        <v>-19437.049999999988</v>
      </c>
      <c r="AD67" s="4">
        <f>-13367.344+3.089</f>
        <v>-13364.254999999999</v>
      </c>
      <c r="AE67" s="4">
        <f>-26097.737+3.946-AD67</f>
        <v>-12729.536000000002</v>
      </c>
      <c r="AF67" s="4">
        <f>-59208.445+18.596-AE67-AD67</f>
        <v>-33096.058000000005</v>
      </c>
      <c r="AG67" s="30">
        <f>K67-AF67-AE67-AD67</f>
        <v>-79626.388999999996</v>
      </c>
      <c r="AH67" s="4">
        <f>-35921.307 +52.196</f>
        <v>-35869.110999999997</v>
      </c>
      <c r="AI67" s="4">
        <f>-72894.807+92.253-AH67</f>
        <v>-36933.443000000007</v>
      </c>
      <c r="AJ67" s="4">
        <f>-135387.52+92.253-AI67-AH67</f>
        <v>-62492.712999999996</v>
      </c>
      <c r="AK67" s="30">
        <f>L67-AH67-AI67-AJ67</f>
        <v>-51314.659000000007</v>
      </c>
      <c r="AL67" s="4">
        <f>-50996.01</f>
        <v>-50996.01</v>
      </c>
      <c r="AM67" s="4">
        <f>-119058.91-AL67</f>
        <v>-68062.899999999994</v>
      </c>
      <c r="AN67" s="4">
        <f>-151161.097+76.968-AM67-AL67</f>
        <v>-32025.219000000019</v>
      </c>
      <c r="AO67" s="30">
        <f>M67-AL67-AM67-AN67</f>
        <v>-41481.160999999956</v>
      </c>
      <c r="AP67" s="4">
        <f>-62696.37+73.983</f>
        <v>-62622.387000000002</v>
      </c>
      <c r="AQ67" s="4">
        <f>-147570.101+77.361-AP67</f>
        <v>-84870.352999999988</v>
      </c>
      <c r="AR67" s="4">
        <f>-210512.294+78.707-AQ67-AP67</f>
        <v>-62940.847000000009</v>
      </c>
      <c r="AS67" s="30">
        <f t="shared" ref="AS67:AS68" si="502">N67-SUM(AP67:AR67)</f>
        <v>-79885.747999999963</v>
      </c>
      <c r="AT67" s="4">
        <f>-64377.168+91.837</f>
        <v>-64285.330999999998</v>
      </c>
      <c r="AU67" s="4">
        <f>-112228.461+127.841-AT67</f>
        <v>-47815.288999999997</v>
      </c>
      <c r="AV67" s="4">
        <f>-192634.783+160-AU67-AT67</f>
        <v>-80374.163</v>
      </c>
      <c r="AW67" s="30">
        <f t="shared" ref="AW67:AW68" si="503">O67-SUM(AT67:AV67)</f>
        <v>-85175.97100000002</v>
      </c>
      <c r="AX67" s="4">
        <f>-53962.895+9.15</f>
        <v>-53953.744999999995</v>
      </c>
      <c r="AY67" s="4"/>
      <c r="AZ67" s="4"/>
      <c r="BA67" s="4"/>
    </row>
    <row r="68" spans="1:66" ht="13.5" customHeight="1">
      <c r="B68" s="6" t="s">
        <v>252</v>
      </c>
      <c r="C68" s="4"/>
      <c r="D68" s="4">
        <v>0</v>
      </c>
      <c r="E68" s="4">
        <v>0</v>
      </c>
      <c r="F68" s="4">
        <v>0</v>
      </c>
      <c r="G68" s="4">
        <v>-11923.449000000001</v>
      </c>
      <c r="H68" s="4">
        <v>0</v>
      </c>
      <c r="I68" s="4">
        <v>-448.30700000000002</v>
      </c>
      <c r="J68" s="4">
        <v>-207.88900000000001</v>
      </c>
      <c r="K68" s="4">
        <v>-5171.1390000000001</v>
      </c>
      <c r="L68" s="4">
        <v>0</v>
      </c>
      <c r="M68" s="4">
        <v>0</v>
      </c>
      <c r="N68" s="4">
        <v>0</v>
      </c>
      <c r="O68" s="4">
        <v>0</v>
      </c>
      <c r="P68" s="75">
        <f t="shared" si="501"/>
        <v>0</v>
      </c>
      <c r="Q68" s="75"/>
      <c r="R68" s="4">
        <v>0</v>
      </c>
      <c r="S68" s="4">
        <v>0</v>
      </c>
      <c r="T68" s="4">
        <v>0</v>
      </c>
      <c r="U68" s="30">
        <f>H68-T68-S68-R68</f>
        <v>0</v>
      </c>
      <c r="V68" s="4">
        <v>0</v>
      </c>
      <c r="W68" s="4">
        <f>-426.949-V68</f>
        <v>-426.94900000000001</v>
      </c>
      <c r="X68" s="4">
        <f>-403.115-W68-V68</f>
        <v>23.834000000000003</v>
      </c>
      <c r="Y68" s="30">
        <f>I68-X68-W68-V68</f>
        <v>-45.192000000000007</v>
      </c>
      <c r="Z68" s="4">
        <v>0</v>
      </c>
      <c r="AA68" s="4">
        <f>-117.114-Z68</f>
        <v>-117.114</v>
      </c>
      <c r="AB68" s="4">
        <f>-122.277-AA68-Z68</f>
        <v>-5.1629999999999967</v>
      </c>
      <c r="AC68" s="30">
        <f>J68-AB68-AA68-Z68</f>
        <v>-85.611999999999995</v>
      </c>
      <c r="AD68" s="4">
        <v>0</v>
      </c>
      <c r="AE68" s="4">
        <f>0-AD68</f>
        <v>0</v>
      </c>
      <c r="AF68" s="4">
        <f>-5171.139-AE68-AD68</f>
        <v>-5171.1390000000001</v>
      </c>
      <c r="AG68" s="30">
        <f>K68-AF68-AE68-AD68</f>
        <v>0</v>
      </c>
      <c r="AH68" s="4">
        <v>0</v>
      </c>
      <c r="AI68" s="4">
        <f>0-AH68</f>
        <v>0</v>
      </c>
      <c r="AJ68" s="4">
        <f>0-AI68-AH68</f>
        <v>0</v>
      </c>
      <c r="AK68" s="30">
        <f>L68-AH68-AI68-AJ68</f>
        <v>0</v>
      </c>
      <c r="AL68" s="4">
        <v>0</v>
      </c>
      <c r="AM68" s="4">
        <f>0-AL68</f>
        <v>0</v>
      </c>
      <c r="AN68" s="4">
        <f>0-AM68-AL68</f>
        <v>0</v>
      </c>
      <c r="AO68" s="30">
        <f>M68-AL68-AM68-AN68</f>
        <v>0</v>
      </c>
      <c r="AP68" s="4">
        <v>0</v>
      </c>
      <c r="AQ68" s="4">
        <f>0-AP68</f>
        <v>0</v>
      </c>
      <c r="AR68" s="4">
        <f>0-AQ68-AP68</f>
        <v>0</v>
      </c>
      <c r="AS68" s="30">
        <f t="shared" si="502"/>
        <v>0</v>
      </c>
      <c r="AT68" s="4">
        <v>0</v>
      </c>
      <c r="AU68" s="4">
        <f>0-AT68</f>
        <v>0</v>
      </c>
      <c r="AV68" s="4">
        <f>0-AU68-AT68</f>
        <v>0</v>
      </c>
      <c r="AW68" s="30">
        <f t="shared" si="503"/>
        <v>0</v>
      </c>
      <c r="AX68" s="4">
        <v>0</v>
      </c>
      <c r="AY68" s="4"/>
      <c r="AZ68" s="4"/>
      <c r="BA68" s="4"/>
    </row>
    <row r="69" spans="1:66" s="5" customFormat="1" ht="13.5" customHeight="1">
      <c r="B69" s="14" t="s">
        <v>253</v>
      </c>
      <c r="C69" s="7"/>
      <c r="D69" s="7">
        <f t="shared" ref="D69:H69" si="504">SUM(D66:D68)</f>
        <v>388120.71600000013</v>
      </c>
      <c r="E69" s="7">
        <f t="shared" si="504"/>
        <v>467625.76999999984</v>
      </c>
      <c r="F69" s="7">
        <f t="shared" si="504"/>
        <v>406528.68799999985</v>
      </c>
      <c r="G69" s="7">
        <f t="shared" si="504"/>
        <v>402561.51799999992</v>
      </c>
      <c r="H69" s="7">
        <f t="shared" si="504"/>
        <v>436001.4219999999</v>
      </c>
      <c r="I69" s="7">
        <f t="shared" ref="I69:J69" si="505">SUM(I66:I68)</f>
        <v>494399.06799999985</v>
      </c>
      <c r="J69" s="7">
        <f t="shared" si="505"/>
        <v>539434.88600000017</v>
      </c>
      <c r="K69" s="7">
        <f t="shared" ref="K69:L69" si="506">SUM(K66:K68)</f>
        <v>562696.69900000002</v>
      </c>
      <c r="L69" s="7">
        <f t="shared" si="506"/>
        <v>654195.21899999981</v>
      </c>
      <c r="M69" s="7">
        <f t="shared" ref="M69:N69" si="507">SUM(M66:M68)</f>
        <v>624108.89600000018</v>
      </c>
      <c r="N69" s="7">
        <f t="shared" si="507"/>
        <v>648914.15899999987</v>
      </c>
      <c r="O69" s="7">
        <f t="shared" ref="O69" si="508">SUM(O66:O68)</f>
        <v>792544.5399999998</v>
      </c>
      <c r="P69" s="7">
        <f t="shared" ref="P69" si="509">SUM(P66:P68)</f>
        <v>811810.7789999994</v>
      </c>
      <c r="Q69" s="7"/>
      <c r="R69" s="7">
        <f t="shared" ref="R69:X69" si="510">SUM(R66:R68)</f>
        <v>104501.59600000002</v>
      </c>
      <c r="S69" s="7">
        <f t="shared" si="510"/>
        <v>295908.20799999998</v>
      </c>
      <c r="T69" s="7">
        <f t="shared" si="510"/>
        <v>-161818.65500000006</v>
      </c>
      <c r="U69" s="7">
        <f t="shared" si="510"/>
        <v>197410.2730000001</v>
      </c>
      <c r="V69" s="7">
        <f t="shared" si="510"/>
        <v>105978.68700000003</v>
      </c>
      <c r="W69" s="7">
        <f t="shared" si="510"/>
        <v>81736.840000000011</v>
      </c>
      <c r="X69" s="7">
        <f t="shared" si="510"/>
        <v>93420.837999999872</v>
      </c>
      <c r="Y69" s="7">
        <f t="shared" ref="Y69:Z69" si="511">SUM(Y66:Y68)</f>
        <v>213262.70299999989</v>
      </c>
      <c r="Z69" s="7">
        <f t="shared" si="511"/>
        <v>121896.38400000003</v>
      </c>
      <c r="AA69" s="7">
        <f t="shared" ref="AA69:AD69" si="512">SUM(AA66:AA68)</f>
        <v>67526.705999999976</v>
      </c>
      <c r="AB69" s="7">
        <f t="shared" si="512"/>
        <v>121345.25299999988</v>
      </c>
      <c r="AC69" s="7">
        <f t="shared" si="512"/>
        <v>228666.54300000027</v>
      </c>
      <c r="AD69" s="7">
        <f t="shared" si="512"/>
        <v>111243.40400000004</v>
      </c>
      <c r="AE69" s="7">
        <f t="shared" ref="AE69:AH69" si="513">SUM(AE66:AE68)</f>
        <v>136797.27199999991</v>
      </c>
      <c r="AF69" s="7">
        <f t="shared" si="513"/>
        <v>122936.71140000007</v>
      </c>
      <c r="AG69" s="7">
        <f t="shared" si="513"/>
        <v>191719.31159999999</v>
      </c>
      <c r="AH69" s="7">
        <f t="shared" si="513"/>
        <v>169910.20200000005</v>
      </c>
      <c r="AI69" s="7">
        <f t="shared" ref="AI69:AL69" si="514">SUM(AI66:AI68)</f>
        <v>111514.87900000016</v>
      </c>
      <c r="AJ69" s="7">
        <f t="shared" si="514"/>
        <v>100457.98499999984</v>
      </c>
      <c r="AK69" s="7">
        <f t="shared" si="514"/>
        <v>272312.1529999997</v>
      </c>
      <c r="AL69" s="7">
        <f t="shared" si="514"/>
        <v>142798.55199999994</v>
      </c>
      <c r="AM69" s="7">
        <f t="shared" ref="AM69:AP69" si="515">SUM(AM66:AM68)</f>
        <v>82144.441000000021</v>
      </c>
      <c r="AN69" s="7">
        <f t="shared" si="515"/>
        <v>149274.73700000031</v>
      </c>
      <c r="AO69" s="7">
        <f t="shared" si="515"/>
        <v>249891.16599999985</v>
      </c>
      <c r="AP69" s="7">
        <f t="shared" si="515"/>
        <v>165878.99300000002</v>
      </c>
      <c r="AQ69" s="7">
        <f t="shared" ref="AQ69:AT69" si="516">SUM(AQ66:AQ68)</f>
        <v>96334.624999999985</v>
      </c>
      <c r="AR69" s="7">
        <f t="shared" si="516"/>
        <v>131700.10899999994</v>
      </c>
      <c r="AS69" s="7">
        <f t="shared" si="516"/>
        <v>255000.43199999997</v>
      </c>
      <c r="AT69" s="7">
        <f t="shared" si="516"/>
        <v>210817.73599999998</v>
      </c>
      <c r="AU69" s="7">
        <f t="shared" ref="AU69:AX69" si="517">SUM(AU66:AU68)</f>
        <v>123151.14699999979</v>
      </c>
      <c r="AV69" s="7">
        <f t="shared" si="517"/>
        <v>145935.39100000018</v>
      </c>
      <c r="AW69" s="7">
        <f t="shared" si="517"/>
        <v>312640.26599999977</v>
      </c>
      <c r="AX69" s="7">
        <f t="shared" si="517"/>
        <v>230083.97499999992</v>
      </c>
      <c r="AY69" s="7"/>
      <c r="AZ69" s="7"/>
      <c r="BA69" s="7"/>
    </row>
    <row r="70" spans="1:66" s="5" customFormat="1" ht="13.5" customHeight="1">
      <c r="B70" s="6" t="s">
        <v>254</v>
      </c>
      <c r="C70" s="4"/>
      <c r="D70" s="4"/>
      <c r="E70" s="4"/>
      <c r="F70" s="4"/>
      <c r="G70" s="4"/>
      <c r="H70" s="4">
        <f>13883.132+6403.152</f>
        <v>20286.284</v>
      </c>
      <c r="I70" s="4">
        <v>1135.0340000000001</v>
      </c>
      <c r="J70" s="4">
        <f>2122.954-472.551-139449.884</f>
        <v>-137799.481</v>
      </c>
      <c r="K70" s="4">
        <f>-375.579+678.274-54567.998</f>
        <v>-54265.303</v>
      </c>
      <c r="L70" s="4">
        <f>146.07+101191.506+103.879</f>
        <v>101441.455</v>
      </c>
      <c r="M70" s="4">
        <f>156.738+32000+2119.674</f>
        <v>34276.412000000004</v>
      </c>
      <c r="N70" s="4">
        <v>466.70400000000001</v>
      </c>
      <c r="O70" s="286">
        <f>27785.812+1289.585</f>
        <v>29075.397000000001</v>
      </c>
      <c r="P70" s="75">
        <f t="shared" ref="P70:P74" si="518">SUM(AU70:AX70)</f>
        <v>-48392.401000000013</v>
      </c>
      <c r="Q70" s="75"/>
      <c r="R70" s="4"/>
      <c r="S70" s="4"/>
      <c r="T70" s="4"/>
      <c r="U70" s="30">
        <f>H70-T70-S70-R70</f>
        <v>20286.284</v>
      </c>
      <c r="V70" s="4"/>
      <c r="W70" s="4">
        <f>240.809+117.814</f>
        <v>358.62299999999999</v>
      </c>
      <c r="X70" s="4"/>
      <c r="Y70" s="30">
        <f>I70-X70-W70-V70</f>
        <v>776.41100000000006</v>
      </c>
      <c r="Z70" s="4">
        <f>3493.069-30.747</f>
        <v>3462.3220000000001</v>
      </c>
      <c r="AA70" s="4">
        <f>4039.956-51.345-Z70</f>
        <v>526.28900000000021</v>
      </c>
      <c r="AB70" s="4"/>
      <c r="AC70" s="30">
        <f>J70-AB70-AA70-Z70</f>
        <v>-141788.092</v>
      </c>
      <c r="AD70" s="4">
        <f>100.937-80463.998+18.956</f>
        <v>-80344.104999999996</v>
      </c>
      <c r="AE70" s="4">
        <f>194.795-73409.66+38.006+24.553-AD70</f>
        <v>7191.7989999999845</v>
      </c>
      <c r="AF70" s="4">
        <f>367.224-56511.461-164.14-AE70-AD70</f>
        <v>16843.929000000011</v>
      </c>
      <c r="AG70" s="30">
        <f>K70-AF70-AE70-AD70</f>
        <v>2043.0739999999932</v>
      </c>
      <c r="AH70" s="4">
        <f>-1402.194+68549.666</f>
        <v>67147.471999999994</v>
      </c>
      <c r="AI70" s="4">
        <f>-13267.711+114798.151-64.996-1920-AH70</f>
        <v>32397.972000000009</v>
      </c>
      <c r="AJ70" s="4">
        <f>1280+111.607+104325.362-405.583+673.052-AI70-AH70</f>
        <v>6438.9939999999915</v>
      </c>
      <c r="AK70" s="30">
        <f>L70-AH70-AI70-AJ70</f>
        <v>-4542.9829999999929</v>
      </c>
      <c r="AL70" s="4">
        <f>35.197-571.211</f>
        <v>-536.01400000000001</v>
      </c>
      <c r="AM70" s="4">
        <f>40.478+63159.39-132.54-AL70</f>
        <v>63603.342000000004</v>
      </c>
      <c r="AN70" s="4">
        <f>0+126.95+63159.39+2768.326+4109.768-AM70-AL70</f>
        <v>7097.1059999999898</v>
      </c>
      <c r="AO70" s="30">
        <f>M70-AL70-AM70-AN70</f>
        <v>-35888.02199999999</v>
      </c>
      <c r="AP70" s="4">
        <v>101.36</v>
      </c>
      <c r="AQ70" s="4">
        <f>369.626-AP70</f>
        <v>268.26599999999996</v>
      </c>
      <c r="AR70" s="4">
        <f>519.371-AQ70-AP70</f>
        <v>149.745</v>
      </c>
      <c r="AS70" s="30">
        <f t="shared" ref="AS70:AS74" si="519">N70-SUM(AP70:AR70)</f>
        <v>-52.666999999999973</v>
      </c>
      <c r="AT70" s="4">
        <f>72785.812+466.596</f>
        <v>73252.40800000001</v>
      </c>
      <c r="AU70" s="4">
        <f>72785.812-385.327-AT70</f>
        <v>-851.92300000000978</v>
      </c>
      <c r="AV70" s="4">
        <f>72785.812-1385.793-AU70-AT70</f>
        <v>-1000.4660000000003</v>
      </c>
      <c r="AW70" s="30">
        <f t="shared" ref="AW70:AW74" si="520">O70-SUM(AT70:AV70)</f>
        <v>-42324.622000000003</v>
      </c>
      <c r="AX70" s="4">
        <v>-4215.3900000000003</v>
      </c>
      <c r="AY70" s="4"/>
      <c r="AZ70" s="4"/>
      <c r="BA70" s="4"/>
    </row>
    <row r="71" spans="1:66" ht="13.5" customHeight="1">
      <c r="B71" s="6" t="s">
        <v>255</v>
      </c>
      <c r="C71" s="4"/>
      <c r="D71" s="4">
        <v>0</v>
      </c>
      <c r="E71" s="4">
        <v>0</v>
      </c>
      <c r="F71" s="4">
        <v>0</v>
      </c>
      <c r="G71" s="4">
        <v>-18286.456999999999</v>
      </c>
      <c r="H71" s="4">
        <v>-10319.483</v>
      </c>
      <c r="I71" s="4">
        <v>-13821.732</v>
      </c>
      <c r="J71" s="4">
        <v>214565.128</v>
      </c>
      <c r="K71" s="4">
        <v>-7165.9970000000003</v>
      </c>
      <c r="L71" s="4">
        <v>0</v>
      </c>
      <c r="M71" s="4">
        <v>0</v>
      </c>
      <c r="N71" s="4">
        <v>0</v>
      </c>
      <c r="O71" s="4">
        <v>0</v>
      </c>
      <c r="P71" s="75">
        <f t="shared" si="518"/>
        <v>0</v>
      </c>
      <c r="Q71" s="75"/>
      <c r="R71" s="4">
        <v>-3295.4479999999999</v>
      </c>
      <c r="S71" s="4">
        <f>-6339.409-R71</f>
        <v>-3043.9609999999998</v>
      </c>
      <c r="T71" s="4">
        <f>-9975.184-S71-R71</f>
        <v>-3635.7750000000001</v>
      </c>
      <c r="U71" s="30">
        <f>H71-T71-S71-R71</f>
        <v>-344.29900000000089</v>
      </c>
      <c r="V71" s="4">
        <v>-3455.681</v>
      </c>
      <c r="W71" s="4">
        <f>-6686.473-V71</f>
        <v>-3230.7919999999999</v>
      </c>
      <c r="X71" s="4">
        <f>-10286.937-W71-V71</f>
        <v>-3600.4640000000004</v>
      </c>
      <c r="Y71" s="30">
        <f>I71-X71-W71-V71</f>
        <v>-3534.7950000000005</v>
      </c>
      <c r="Z71" s="4">
        <v>225028.027</v>
      </c>
      <c r="AA71" s="4">
        <f>221468.226-Z71</f>
        <v>-3559.8010000000068</v>
      </c>
      <c r="AB71" s="4">
        <f>213462.801-AA71-Z71</f>
        <v>-8005.4249999999884</v>
      </c>
      <c r="AC71" s="30">
        <f>J71-AB71-AA71-Z71</f>
        <v>1102.3269999999902</v>
      </c>
      <c r="AD71" s="4">
        <v>-4308.8599999999997</v>
      </c>
      <c r="AE71" s="4">
        <f>-4798.025-AD71</f>
        <v>-489.16499999999996</v>
      </c>
      <c r="AF71" s="4">
        <f>-6848.037-AE71-AD71</f>
        <v>-2050.0120000000006</v>
      </c>
      <c r="AG71" s="30">
        <f>K71-AF71-AE71-AD71</f>
        <v>-317.96000000000004</v>
      </c>
      <c r="AH71" s="4">
        <v>-4733.9790000000003</v>
      </c>
      <c r="AI71" s="4">
        <f>-9076.666-AH71</f>
        <v>-4342.686999999999</v>
      </c>
      <c r="AJ71" s="4">
        <f>-13289.752-AI71-AH71</f>
        <v>-4213.0860000000021</v>
      </c>
      <c r="AK71" s="30">
        <f>L71-AH71-AI71-AJ71</f>
        <v>13289.752</v>
      </c>
      <c r="AL71" s="4">
        <v>0</v>
      </c>
      <c r="AM71" s="4">
        <f>0-AL71</f>
        <v>0</v>
      </c>
      <c r="AN71" s="4">
        <f>0-AM71-AL71</f>
        <v>0</v>
      </c>
      <c r="AO71" s="30">
        <f>M71-AL71-AM71-AN71</f>
        <v>0</v>
      </c>
      <c r="AP71" s="4">
        <v>0</v>
      </c>
      <c r="AQ71" s="4">
        <f>0-AP71</f>
        <v>0</v>
      </c>
      <c r="AR71" s="4">
        <f>0-AQ71-AP71</f>
        <v>0</v>
      </c>
      <c r="AS71" s="30">
        <f t="shared" si="519"/>
        <v>0</v>
      </c>
      <c r="AT71" s="4">
        <v>0</v>
      </c>
      <c r="AU71" s="4">
        <f>0-AT71</f>
        <v>0</v>
      </c>
      <c r="AV71" s="4">
        <f>0-AU71-AT71</f>
        <v>0</v>
      </c>
      <c r="AW71" s="30">
        <f t="shared" si="520"/>
        <v>0</v>
      </c>
      <c r="AX71" s="4">
        <v>0</v>
      </c>
      <c r="AY71" s="4"/>
      <c r="AZ71" s="4"/>
      <c r="BA71" s="4"/>
    </row>
    <row r="72" spans="1:66" ht="13.5" customHeight="1">
      <c r="B72" s="6" t="s">
        <v>256</v>
      </c>
      <c r="C72" s="4"/>
      <c r="D72" s="4">
        <v>-52268.909</v>
      </c>
      <c r="E72" s="4">
        <v>-54319.680999999997</v>
      </c>
      <c r="F72" s="4">
        <v>-67591.929999999993</v>
      </c>
      <c r="G72" s="4">
        <v>-74968.175000000003</v>
      </c>
      <c r="H72" s="4">
        <v>-87535.698000000004</v>
      </c>
      <c r="I72" s="4">
        <v>-86265.895999999993</v>
      </c>
      <c r="J72" s="4">
        <v>-99985.5</v>
      </c>
      <c r="K72" s="4">
        <v>-106347.16499999999</v>
      </c>
      <c r="L72" s="4">
        <v>-274316.05</v>
      </c>
      <c r="M72" s="4">
        <v>-165877.42199999999</v>
      </c>
      <c r="N72" s="4">
        <v>-158408.12</v>
      </c>
      <c r="O72" s="4">
        <v>-195890.117</v>
      </c>
      <c r="P72" s="75">
        <f t="shared" si="518"/>
        <v>-55750.39499999999</v>
      </c>
      <c r="Q72" s="75"/>
      <c r="R72" s="4">
        <v>-21370.021000000001</v>
      </c>
      <c r="S72" s="4">
        <v>-43699.277999999998</v>
      </c>
      <c r="T72" s="4">
        <f>-65039.907-S72-R72</f>
        <v>29.391999999999825</v>
      </c>
      <c r="U72" s="30">
        <f>H72-T72-S72-R72</f>
        <v>-22495.790999999997</v>
      </c>
      <c r="V72" s="4">
        <v>-21369.142</v>
      </c>
      <c r="W72" s="4">
        <f>-42737.646-V72</f>
        <v>-21368.504000000001</v>
      </c>
      <c r="X72" s="4">
        <f>-64108.087-W72-V72</f>
        <v>-21370.440999999999</v>
      </c>
      <c r="Y72" s="30">
        <f>I72-X72-W72-V72</f>
        <v>-22157.808999999994</v>
      </c>
      <c r="Z72" s="4">
        <v>-22471.138999999999</v>
      </c>
      <c r="AA72" s="4">
        <f>-48312.85-Z72</f>
        <v>-25841.710999999999</v>
      </c>
      <c r="AB72" s="4">
        <f>-74154.527-AA72-Z72</f>
        <v>-25841.677000000007</v>
      </c>
      <c r="AC72" s="30">
        <f>J72-AB72-AA72-Z72</f>
        <v>-25830.972999999994</v>
      </c>
      <c r="AD72" s="4">
        <v>-25841.366999999998</v>
      </c>
      <c r="AE72" s="4">
        <f>-51682.734-AD72</f>
        <v>-25841.366999999998</v>
      </c>
      <c r="AF72" s="4">
        <f>-77526.179+1074.478-AE72-AD72</f>
        <v>-24768.967000000004</v>
      </c>
      <c r="AG72" s="30">
        <f>K72-AF72-AE72-AD72</f>
        <v>-29895.463999999993</v>
      </c>
      <c r="AH72" s="4">
        <v>-28823.062999999998</v>
      </c>
      <c r="AI72" s="4">
        <f>-216669.924-AH72</f>
        <v>-187846.861</v>
      </c>
      <c r="AJ72" s="4">
        <f>-245492.988-AI72-AH72</f>
        <v>-28823.064000000009</v>
      </c>
      <c r="AK72" s="30">
        <f>L72-AH72-AI72-AJ72</f>
        <v>-28823.06199999998</v>
      </c>
      <c r="AL72" s="4">
        <v>-28823.062999999998</v>
      </c>
      <c r="AM72" s="4">
        <f>-107341.063-AL72</f>
        <v>-78518</v>
      </c>
      <c r="AN72" s="4">
        <f>-136164.127-AM72-AL72</f>
        <v>-28823.064000000009</v>
      </c>
      <c r="AO72" s="30">
        <f>M72-AL72-AM72-AN72</f>
        <v>-29713.294999999987</v>
      </c>
      <c r="AP72" s="4">
        <v>-31826.348999999998</v>
      </c>
      <c r="AQ72" s="4">
        <f>-94798.6-AP72</f>
        <v>-62972.251000000004</v>
      </c>
      <c r="AR72" s="4">
        <f>-126603.36-AQ72-AP72</f>
        <v>-31804.76</v>
      </c>
      <c r="AS72" s="30">
        <f t="shared" si="519"/>
        <v>-31804.759999999995</v>
      </c>
      <c r="AT72" s="4">
        <v>-140139.72200000001</v>
      </c>
      <c r="AU72" s="4">
        <f>-140832.348-AT72</f>
        <v>-692.62599999998929</v>
      </c>
      <c r="AV72" s="4">
        <f>-140973.626-AU72-AT72</f>
        <v>-141.27799999999115</v>
      </c>
      <c r="AW72" s="30">
        <f t="shared" si="520"/>
        <v>-54916.491000000009</v>
      </c>
      <c r="AX72" s="4">
        <v>0</v>
      </c>
      <c r="AY72" s="4"/>
      <c r="AZ72" s="4"/>
      <c r="BA72" s="4"/>
    </row>
    <row r="73" spans="1:66" ht="13.5" customHeight="1">
      <c r="B73" s="6" t="s">
        <v>257</v>
      </c>
      <c r="C73" s="4"/>
      <c r="D73" s="4">
        <f>73087.596+106645.178-167480.619</f>
        <v>12252.154999999999</v>
      </c>
      <c r="E73" s="4">
        <f>-130503.764+89423.068</f>
        <v>-41080.695999999996</v>
      </c>
      <c r="F73" s="4">
        <f>22188.721-47288.156</f>
        <v>-25099.435000000001</v>
      </c>
      <c r="G73" s="4">
        <f>71801.741-52146.995</f>
        <v>19654.745999999992</v>
      </c>
      <c r="H73" s="4">
        <f>-14384.131-2395.966</f>
        <v>-16780.096999999998</v>
      </c>
      <c r="I73" s="4">
        <f>-24035.552-2989.457</f>
        <v>-27025.008999999998</v>
      </c>
      <c r="J73" s="4">
        <f>27633.156-25197.737-3974.086</f>
        <v>-1538.6670000000017</v>
      </c>
      <c r="K73" s="4">
        <f>3000-797.428-4008.924</f>
        <v>-1806.3519999999999</v>
      </c>
      <c r="L73" s="4">
        <f>23625.853-13934.477-5385.167</f>
        <v>4306.208999999998</v>
      </c>
      <c r="M73" s="4">
        <f>31850.233-26378.491-6299.217</f>
        <v>-827.47500000000127</v>
      </c>
      <c r="N73" s="4">
        <f>123752.721-79687.329-10347.356</f>
        <v>33718.036000000007</v>
      </c>
      <c r="O73" s="4">
        <f>153154.775-84947.461-14446.41</f>
        <v>53760.903999999995</v>
      </c>
      <c r="P73" s="75">
        <f t="shared" si="518"/>
        <v>53667.702999999994</v>
      </c>
      <c r="Q73" s="75"/>
      <c r="R73" s="4">
        <f>14217.827-18099.538</f>
        <v>-3881.7110000000011</v>
      </c>
      <c r="S73" s="4">
        <v>22575.208999999999</v>
      </c>
      <c r="T73" s="4">
        <f>-10378.491-S73-R73</f>
        <v>-29071.988999999994</v>
      </c>
      <c r="U73" s="30">
        <f>H73-T73-S73-R73</f>
        <v>-6401.6060000000016</v>
      </c>
      <c r="V73" s="4">
        <f>480.608-696.092</f>
        <v>-215.48399999999998</v>
      </c>
      <c r="W73" s="4">
        <f>1494.143-1093.885-1228.976-V73</f>
        <v>-613.23400000000015</v>
      </c>
      <c r="X73" s="4">
        <f>-14135.734-W73-V73</f>
        <v>-13307.016</v>
      </c>
      <c r="Y73" s="30">
        <f>I73-X73-W73-V73</f>
        <v>-12889.274999999998</v>
      </c>
      <c r="Z73" s="4">
        <f>-1306.019-988.415</f>
        <v>-2294.4340000000002</v>
      </c>
      <c r="AA73" s="4">
        <f>-1079.271-1665.591-Z73</f>
        <v>-450.42799999999988</v>
      </c>
      <c r="AB73" s="4">
        <f>2673.798-AA73-Z73</f>
        <v>5418.66</v>
      </c>
      <c r="AC73" s="30">
        <f>J73-AB73-AA73-Z73</f>
        <v>-4212.4650000000011</v>
      </c>
      <c r="AD73" s="4">
        <f>-5.28-827.263</f>
        <v>-832.54300000000001</v>
      </c>
      <c r="AE73" s="4">
        <f>-397.241-1818.032-AD73</f>
        <v>-1382.73</v>
      </c>
      <c r="AF73" s="4">
        <f>-399.131-2804.601-AE73-AD73</f>
        <v>-988.45899999999995</v>
      </c>
      <c r="AG73" s="30">
        <f>K73-AF73-AE73-AD73</f>
        <v>1397.38</v>
      </c>
      <c r="AH73" s="4">
        <f>-40.871-1301.501</f>
        <v>-1342.3720000000001</v>
      </c>
      <c r="AI73" s="4">
        <f>-40.871-2682.368+5512.361-AH73</f>
        <v>4131.4939999999997</v>
      </c>
      <c r="AJ73" s="4">
        <f>25603.218-11195.854-4084.049-AI73-AH73</f>
        <v>7534.1930000000029</v>
      </c>
      <c r="AK73" s="30">
        <f>L73-AH73-AI73-AJ73</f>
        <v>-6017.1060000000043</v>
      </c>
      <c r="AL73" s="4">
        <f>-26.222-1602.069</f>
        <v>-1628.2909999999999</v>
      </c>
      <c r="AM73" s="4">
        <f>-3382.95-46.444+30727.938+2119.966-AL73</f>
        <v>31046.800999999999</v>
      </c>
      <c r="AN73" s="4">
        <f>48837.032-18407.304-5072.078-AM73-AL73</f>
        <v>-4060.8600000000015</v>
      </c>
      <c r="AO73" s="30">
        <f>M73-AL73-AM73-AN73</f>
        <v>-26185.125</v>
      </c>
      <c r="AP73" s="4">
        <f>-41.095-2219.59</f>
        <v>-2260.6849999999999</v>
      </c>
      <c r="AQ73" s="4">
        <f>-4705.578-6608.885+41353.395+0-AP73</f>
        <v>32299.616999999998</v>
      </c>
      <c r="AR73" s="4">
        <f>96895.821-56301.591-7082.373-AQ73-AP73</f>
        <v>3472.9249999999979</v>
      </c>
      <c r="AS73" s="30">
        <f t="shared" si="519"/>
        <v>206.179000000011</v>
      </c>
      <c r="AT73" s="4">
        <f>-26956.559-2154.943+24994.654-2623.786</f>
        <v>-6740.6340000000018</v>
      </c>
      <c r="AU73" s="4">
        <f>27506.388-29364.981-4404.224-AT73</f>
        <v>477.81700000000092</v>
      </c>
      <c r="AV73" s="4">
        <f>122049.812-50481.308-11250.072-AU73-AT73</f>
        <v>66581.249000000011</v>
      </c>
      <c r="AW73" s="30">
        <f t="shared" si="520"/>
        <v>-6557.528000000013</v>
      </c>
      <c r="AX73" s="4">
        <f>-4125.475-2708.36</f>
        <v>-6833.8350000000009</v>
      </c>
      <c r="AY73" s="4"/>
      <c r="AZ73" s="4"/>
      <c r="BA73" s="4"/>
    </row>
    <row r="74" spans="1:66" ht="13.5" customHeight="1">
      <c r="B74" s="6" t="s">
        <v>258</v>
      </c>
      <c r="C74" s="4"/>
      <c r="D74" s="4">
        <v>0</v>
      </c>
      <c r="E74" s="4">
        <v>0</v>
      </c>
      <c r="F74" s="4">
        <v>0</v>
      </c>
      <c r="G74" s="4">
        <v>0</v>
      </c>
      <c r="H74" s="4">
        <v>0</v>
      </c>
      <c r="I74" s="4">
        <v>0</v>
      </c>
      <c r="J74" s="4">
        <v>0</v>
      </c>
      <c r="K74" s="4">
        <v>0</v>
      </c>
      <c r="L74" s="4">
        <v>-16953.541000000001</v>
      </c>
      <c r="M74" s="4">
        <f>-24541.867+4119.966</f>
        <v>-20421.900999999998</v>
      </c>
      <c r="N74" s="4">
        <f>2344.883+2587.025</f>
        <v>4931.9079999999994</v>
      </c>
      <c r="O74" s="4">
        <f>-1857.649-18425.349</f>
        <v>-20282.998</v>
      </c>
      <c r="P74" s="75">
        <f t="shared" si="518"/>
        <v>-20745.292000000001</v>
      </c>
      <c r="Q74" s="75"/>
      <c r="R74" s="4">
        <v>0</v>
      </c>
      <c r="S74" s="4">
        <v>0</v>
      </c>
      <c r="T74" s="4">
        <v>0</v>
      </c>
      <c r="U74" s="30">
        <f>H74-T74-S74-R74</f>
        <v>0</v>
      </c>
      <c r="V74" s="4">
        <v>0</v>
      </c>
      <c r="W74" s="4">
        <f>-V74</f>
        <v>0</v>
      </c>
      <c r="X74" s="4">
        <v>0</v>
      </c>
      <c r="Y74" s="30">
        <f>I74-X74-W74-V74</f>
        <v>0</v>
      </c>
      <c r="Z74" s="4">
        <v>0</v>
      </c>
      <c r="AA74" s="4">
        <f>-Z74</f>
        <v>0</v>
      </c>
      <c r="AB74" s="4">
        <v>0</v>
      </c>
      <c r="AC74" s="30">
        <f>J74-AB74-AA74-Z74</f>
        <v>0</v>
      </c>
      <c r="AD74" s="4">
        <v>0</v>
      </c>
      <c r="AE74" s="4">
        <f>-AD74</f>
        <v>0</v>
      </c>
      <c r="AF74" s="4">
        <f>3000-AE74-AD74</f>
        <v>3000</v>
      </c>
      <c r="AG74" s="30">
        <f>K74-AF74-AE74-AD74</f>
        <v>-3000</v>
      </c>
      <c r="AH74" s="4">
        <v>94.86</v>
      </c>
      <c r="AI74" s="4">
        <f>0-AH74</f>
        <v>-94.86</v>
      </c>
      <c r="AJ74" s="4">
        <f>0-AI74-AH74</f>
        <v>0</v>
      </c>
      <c r="AK74" s="30">
        <f>L74-AH74-AI74-AJ74</f>
        <v>-16953.541000000001</v>
      </c>
      <c r="AL74" s="4">
        <f>-3056.461</f>
        <v>-3056.4609999999998</v>
      </c>
      <c r="AM74" s="4">
        <f>2066.578-AL74</f>
        <v>5123.0389999999998</v>
      </c>
      <c r="AN74" s="4">
        <f>4119.966-57388.084-AM74-AL74</f>
        <v>-55334.695999999996</v>
      </c>
      <c r="AO74" s="30">
        <f>M74-AL74-AM74-AN74</f>
        <v>32846.216999999997</v>
      </c>
      <c r="AP74" s="4">
        <f>-904.912+7409.15</f>
        <v>6504.2379999999994</v>
      </c>
      <c r="AQ74" s="4">
        <f>1415.423-AP74</f>
        <v>-5088.8149999999996</v>
      </c>
      <c r="AR74" s="4">
        <f>1133.489-AQ74-AP74</f>
        <v>-281.93399999999929</v>
      </c>
      <c r="AS74" s="30">
        <f t="shared" si="519"/>
        <v>3798.418999999999</v>
      </c>
      <c r="AT74" s="4">
        <v>-1990.8330000000001</v>
      </c>
      <c r="AU74" s="4">
        <f>-9347.503-AT74</f>
        <v>-7356.67</v>
      </c>
      <c r="AV74" s="4">
        <f>-15943.974-AU74-AT74</f>
        <v>-6596.4709999999995</v>
      </c>
      <c r="AW74" s="30">
        <f t="shared" si="520"/>
        <v>-4339.0239999999994</v>
      </c>
      <c r="AX74" s="4">
        <v>-2453.127</v>
      </c>
      <c r="AY74" s="4"/>
      <c r="AZ74" s="4"/>
      <c r="BA74" s="4"/>
    </row>
    <row r="75" spans="1:66" s="5" customFormat="1" ht="13.5" customHeight="1">
      <c r="B75" s="14" t="s">
        <v>259</v>
      </c>
      <c r="C75" s="7"/>
      <c r="D75" s="7">
        <f t="shared" ref="D75:H75" si="521">SUM(D69:D74)</f>
        <v>348103.96200000017</v>
      </c>
      <c r="E75" s="7">
        <f t="shared" si="521"/>
        <v>372225.39299999987</v>
      </c>
      <c r="F75" s="7">
        <f t="shared" si="521"/>
        <v>313837.32299999986</v>
      </c>
      <c r="G75" s="7">
        <f t="shared" si="521"/>
        <v>328961.63199999993</v>
      </c>
      <c r="H75" s="7">
        <f t="shared" si="521"/>
        <v>341652.4279999999</v>
      </c>
      <c r="I75" s="7">
        <f t="shared" ref="I75:J75" si="522">SUM(I69:I74)</f>
        <v>368421.46499999979</v>
      </c>
      <c r="J75" s="7">
        <f t="shared" si="522"/>
        <v>514676.36600000015</v>
      </c>
      <c r="K75" s="7">
        <f t="shared" ref="K75:L75" si="523">SUM(K69:K74)</f>
        <v>393111.88200000004</v>
      </c>
      <c r="L75" s="7">
        <f t="shared" si="523"/>
        <v>468673.29199999972</v>
      </c>
      <c r="M75" s="7">
        <f t="shared" ref="M75:N75" si="524">SUM(M69:M74)</f>
        <v>471258.51000000018</v>
      </c>
      <c r="N75" s="7">
        <f t="shared" si="524"/>
        <v>529622.68699999992</v>
      </c>
      <c r="O75" s="7">
        <f t="shared" ref="O75" si="525">SUM(O69:O74)</f>
        <v>659207.72599999979</v>
      </c>
      <c r="P75" s="7">
        <f t="shared" ref="P75" si="526">SUM(P69:P74)</f>
        <v>740590.39399999927</v>
      </c>
      <c r="Q75" s="7"/>
      <c r="R75" s="7">
        <f t="shared" ref="R75:X75" si="527">SUM(R69:R74)</f>
        <v>75954.416000000012</v>
      </c>
      <c r="S75" s="7">
        <f t="shared" si="527"/>
        <v>271740.17799999996</v>
      </c>
      <c r="T75" s="7">
        <f t="shared" si="527"/>
        <v>-194497.02700000006</v>
      </c>
      <c r="U75" s="7">
        <f t="shared" si="527"/>
        <v>188454.86100000009</v>
      </c>
      <c r="V75" s="7">
        <f t="shared" si="527"/>
        <v>80938.380000000034</v>
      </c>
      <c r="W75" s="7">
        <f t="shared" si="527"/>
        <v>56882.933000000019</v>
      </c>
      <c r="X75" s="7">
        <f t="shared" si="527"/>
        <v>55142.91699999987</v>
      </c>
      <c r="Y75" s="7">
        <f t="shared" ref="Y75:Z75" si="528">SUM(Y69:Y74)</f>
        <v>175457.2349999999</v>
      </c>
      <c r="Z75" s="7">
        <f t="shared" si="528"/>
        <v>325621.15999999997</v>
      </c>
      <c r="AA75" s="7">
        <f t="shared" ref="AA75:AD75" si="529">SUM(AA69:AA74)</f>
        <v>38201.054999999978</v>
      </c>
      <c r="AB75" s="7">
        <f t="shared" si="529"/>
        <v>92916.810999999885</v>
      </c>
      <c r="AC75" s="7">
        <f t="shared" si="529"/>
        <v>57937.340000000251</v>
      </c>
      <c r="AD75" s="7">
        <f t="shared" si="529"/>
        <v>-83.470999999956234</v>
      </c>
      <c r="AE75" s="7">
        <f t="shared" ref="AE75:AH75" si="530">SUM(AE69:AE74)</f>
        <v>116275.80899999988</v>
      </c>
      <c r="AF75" s="7">
        <f t="shared" si="530"/>
        <v>114973.2024000001</v>
      </c>
      <c r="AG75" s="7">
        <f t="shared" si="530"/>
        <v>161946.34159999999</v>
      </c>
      <c r="AH75" s="7">
        <f t="shared" si="530"/>
        <v>202253.12000000005</v>
      </c>
      <c r="AI75" s="7">
        <f t="shared" ref="AI75:AL75" si="531">SUM(AI69:AI74)</f>
        <v>-44240.062999999842</v>
      </c>
      <c r="AJ75" s="7">
        <f t="shared" si="531"/>
        <v>81395.021999999823</v>
      </c>
      <c r="AK75" s="7">
        <f t="shared" si="531"/>
        <v>229265.2129999997</v>
      </c>
      <c r="AL75" s="7">
        <f t="shared" si="531"/>
        <v>108754.72299999995</v>
      </c>
      <c r="AM75" s="7">
        <f t="shared" ref="AM75:AP75" si="532">SUM(AM69:AM74)</f>
        <v>103399.62300000004</v>
      </c>
      <c r="AN75" s="7">
        <f t="shared" si="532"/>
        <v>68153.223000000304</v>
      </c>
      <c r="AO75" s="7">
        <f t="shared" si="532"/>
        <v>190950.94099999988</v>
      </c>
      <c r="AP75" s="7">
        <f t="shared" si="532"/>
        <v>138397.55700000003</v>
      </c>
      <c r="AQ75" s="7">
        <f t="shared" ref="AQ75:AT75" si="533">SUM(AQ69:AQ74)</f>
        <v>60841.441999999981</v>
      </c>
      <c r="AR75" s="7">
        <f t="shared" si="533"/>
        <v>103236.08499999995</v>
      </c>
      <c r="AS75" s="7">
        <f t="shared" si="533"/>
        <v>227147.603</v>
      </c>
      <c r="AT75" s="7">
        <f t="shared" si="533"/>
        <v>135198.95499999996</v>
      </c>
      <c r="AU75" s="7">
        <f t="shared" ref="AU75:AX75" si="534">SUM(AU69:AU74)</f>
        <v>114727.74499999979</v>
      </c>
      <c r="AV75" s="7">
        <f t="shared" si="534"/>
        <v>204778.42500000019</v>
      </c>
      <c r="AW75" s="7">
        <f t="shared" si="534"/>
        <v>204502.6009999997</v>
      </c>
      <c r="AX75" s="7">
        <f t="shared" si="534"/>
        <v>216581.62299999991</v>
      </c>
      <c r="AY75" s="7"/>
      <c r="AZ75" s="7"/>
      <c r="BA75" s="7"/>
    </row>
    <row r="76" spans="1:66" ht="13.5" customHeight="1">
      <c r="A76" s="76"/>
      <c r="B76" s="6" t="s">
        <v>260</v>
      </c>
      <c r="C76" s="55"/>
      <c r="D76" s="55">
        <v>-2280.1460000000002</v>
      </c>
      <c r="E76" s="55">
        <v>-13571.278</v>
      </c>
      <c r="F76" s="55">
        <v>797.22299999999996</v>
      </c>
      <c r="G76" s="55">
        <v>-5804.9319999999998</v>
      </c>
      <c r="H76" s="55">
        <f>3574.34-4836.279</f>
        <v>-1261.9390000000003</v>
      </c>
      <c r="I76" s="55">
        <f>4048.168-2006.632</f>
        <v>2041.5360000000001</v>
      </c>
      <c r="J76" s="55">
        <f>-13574.854-2393.634</f>
        <v>-15968.487999999999</v>
      </c>
      <c r="K76" s="55">
        <f>9501.803-6203.271</f>
        <v>3298.5320000000002</v>
      </c>
      <c r="L76" s="55">
        <f>-21352.255-16598.349</f>
        <v>-37950.603999999999</v>
      </c>
      <c r="M76" s="55">
        <f>4547.79-13960.654</f>
        <v>-9412.8640000000014</v>
      </c>
      <c r="N76" s="55">
        <f>13281.14-15696.923</f>
        <v>-2415.7830000000013</v>
      </c>
      <c r="O76" s="55">
        <f>645.741-3144.87</f>
        <v>-2499.1289999999999</v>
      </c>
      <c r="P76" s="75">
        <f>SUM(AU76:AX76)</f>
        <v>6933.5590000000002</v>
      </c>
      <c r="Q76" s="75"/>
      <c r="R76" s="55">
        <f>-2177.031+287.442</f>
        <v>-1889.5889999999999</v>
      </c>
      <c r="S76" s="55">
        <f>-853.934-5703.105-R76</f>
        <v>-4667.45</v>
      </c>
      <c r="T76" s="55">
        <f>476.801-8371.775-S76-R76</f>
        <v>-1337.9349999999995</v>
      </c>
      <c r="U76" s="30">
        <f>H76-T76-S76-R76</f>
        <v>6633.0349999999989</v>
      </c>
      <c r="V76" s="55">
        <f>-1749.589-223.727</f>
        <v>-1973.316</v>
      </c>
      <c r="W76" s="55">
        <f>-136.948-1116.131-V76</f>
        <v>720.23699999999985</v>
      </c>
      <c r="X76" s="55">
        <f>1966.661-1970.598-W76-V76</f>
        <v>1249.1420000000003</v>
      </c>
      <c r="Y76" s="30">
        <f>I76-X76-W76-V76</f>
        <v>2045.473</v>
      </c>
      <c r="Z76" s="55">
        <f>1294.477+1244.27</f>
        <v>2538.7470000000003</v>
      </c>
      <c r="AA76" s="55">
        <f>-3890.029-331.713-Z76</f>
        <v>-6760.4890000000005</v>
      </c>
      <c r="AB76" s="55">
        <f>-10694.947-931.68-AA76-Z76</f>
        <v>-7404.8850000000002</v>
      </c>
      <c r="AC76" s="30">
        <f>J76-AB76-AA76-Z76</f>
        <v>-4341.860999999999</v>
      </c>
      <c r="AD76" s="55">
        <f>-661.67-802.578</f>
        <v>-1464.248</v>
      </c>
      <c r="AE76" s="55">
        <f>-696.013-3707.067-AD76</f>
        <v>-2938.8319999999999</v>
      </c>
      <c r="AF76" s="55">
        <f>5357.68-4762.225-AE76-AD76</f>
        <v>4998.5349999999999</v>
      </c>
      <c r="AG76" s="30">
        <f>K76-AF76-AE76-AD76</f>
        <v>2703.0770000000002</v>
      </c>
      <c r="AH76" s="55">
        <f>1377.289-3941.344</f>
        <v>-2564.0550000000003</v>
      </c>
      <c r="AI76" s="55">
        <f>-5679.404-14948.825-AH76</f>
        <v>-18064.173999999999</v>
      </c>
      <c r="AJ76" s="55">
        <f>-9060.392-17119.488-AI76-AH76</f>
        <v>-5551.6510000000017</v>
      </c>
      <c r="AK76" s="30">
        <f>L76-AH76-AI76-AJ76</f>
        <v>-11770.723999999998</v>
      </c>
      <c r="AL76" s="55">
        <f>-11496.641-5499.405</f>
        <v>-16996.045999999998</v>
      </c>
      <c r="AM76" s="55">
        <f>-23819.272-14033.688-AL76</f>
        <v>-20856.914000000001</v>
      </c>
      <c r="AN76" s="55">
        <f>-3860.405-16448.729-AM76-AL76</f>
        <v>17543.826000000001</v>
      </c>
      <c r="AO76" s="30">
        <f>M76-AL76-AM76-AN76</f>
        <v>10896.269999999997</v>
      </c>
      <c r="AP76" s="55">
        <f>26742.106-11736.56</f>
        <v>15005.546</v>
      </c>
      <c r="AQ76" s="55">
        <f>6964.819-13133.718-AP76</f>
        <v>-21174.445</v>
      </c>
      <c r="AR76" s="55">
        <f>4133.318-13513.822-AQ76-AP76</f>
        <v>-3211.6050000000014</v>
      </c>
      <c r="AS76" s="30">
        <f>N76-SUM(AP76:AR76)</f>
        <v>6964.7209999999995</v>
      </c>
      <c r="AT76" s="55">
        <f>-1174.826-1051.293</f>
        <v>-2226.1189999999997</v>
      </c>
      <c r="AU76" s="55">
        <f>-582.718-1662.119-AT76</f>
        <v>-18.718000000000302</v>
      </c>
      <c r="AV76" s="55">
        <f>6930.578-2033.486-AU76-AT76</f>
        <v>7141.929000000001</v>
      </c>
      <c r="AW76" s="30">
        <f>O76-SUM(AT76:AV76)</f>
        <v>-7396.2210000000005</v>
      </c>
      <c r="AX76" s="55">
        <f>8345.097-1138.528</f>
        <v>7206.5689999999995</v>
      </c>
      <c r="AY76" s="55"/>
      <c r="AZ76" s="55"/>
      <c r="BA76" s="55"/>
    </row>
    <row r="77" spans="1:66" ht="13.5" customHeight="1">
      <c r="B77" s="6" t="s">
        <v>261</v>
      </c>
      <c r="C77" s="4"/>
      <c r="D77" s="4">
        <f>-461.692-D75-D76</f>
        <v>-346285.50800000015</v>
      </c>
      <c r="E77" s="4">
        <f>49646.505-E75-E76</f>
        <v>-309007.60999999987</v>
      </c>
      <c r="F77" s="4">
        <f>12102.941-F75-F76</f>
        <v>-302531.60499999986</v>
      </c>
      <c r="G77" s="4">
        <f>-5021.764-G75-G76</f>
        <v>-328178.46399999998</v>
      </c>
      <c r="H77" s="4">
        <f>1296.497-H75-H76</f>
        <v>-339093.99199999991</v>
      </c>
      <c r="I77" s="4">
        <f>20029.373-I75-I76</f>
        <v>-350433.62799999979</v>
      </c>
      <c r="J77" s="4">
        <f>151962.713-J75-J76</f>
        <v>-346745.16500000015</v>
      </c>
      <c r="K77" s="4">
        <f>-5218.679-K75-K76</f>
        <v>-401629.09300000005</v>
      </c>
      <c r="L77" s="4">
        <f>-12630.033-L75-L76</f>
        <v>-443352.72099999973</v>
      </c>
      <c r="M77" s="4">
        <f>12001.696-M75-M76</f>
        <v>-449843.95000000019</v>
      </c>
      <c r="N77" s="4">
        <f>-54784.679-N75-N76</f>
        <v>-581991.58299999987</v>
      </c>
      <c r="O77" s="4">
        <f>47640.705-O75-O76</f>
        <v>-609067.89199999988</v>
      </c>
      <c r="P77" s="75">
        <f>SUM(AU77:AX77)</f>
        <v>-630335.08199999994</v>
      </c>
      <c r="Q77" s="75"/>
      <c r="R77" s="4">
        <f>-21141.42-R75-R76</f>
        <v>-95206.247000000003</v>
      </c>
      <c r="S77" s="4">
        <f>-26586.377-R77-S75-R75-R76-S76</f>
        <v>-272517.685</v>
      </c>
      <c r="T77" s="4">
        <f>-62533.03-S77-R77-T75-S75-R75-R76-S76-T76</f>
        <v>159888.3090000001</v>
      </c>
      <c r="U77" s="30">
        <f>H77-T77-S77-R77</f>
        <v>-131258.36899999998</v>
      </c>
      <c r="V77" s="4">
        <f>-15743.224-V75-V76</f>
        <v>-94708.28800000003</v>
      </c>
      <c r="W77" s="4">
        <f>-20088.272-V77-W75-V75-V76-W76</f>
        <v>-61948.218000000023</v>
      </c>
      <c r="X77" s="4">
        <f>-31871.499-X75-W75-V75-W77-V77-V76-W76-X76</f>
        <v>-68175.285999999847</v>
      </c>
      <c r="Y77" s="30">
        <f>I77-X77-W77-V77</f>
        <v>-125601.83599999989</v>
      </c>
      <c r="Z77" s="4">
        <f>224576.853-Z75-Z76</f>
        <v>-103583.05399999997</v>
      </c>
      <c r="AA77" s="4">
        <f>213537.263-Z77-AA75-Z75-Z76-AA76</f>
        <v>-42480.155999999988</v>
      </c>
      <c r="AB77" s="4">
        <f>131030.863-AB75-AA75-Z75-AA77-Z77-Z76-AA76-AB76</f>
        <v>-168018.32599999988</v>
      </c>
      <c r="AC77" s="30">
        <f>J77-AB77-AA77-Z77</f>
        <v>-32663.629000000306</v>
      </c>
      <c r="AD77" s="4">
        <f>-101235.963-AD75-AD76</f>
        <v>-99688.244000000035</v>
      </c>
      <c r="AE77" s="4">
        <f>-64448.978-AD77-AE75-AD75-AD76-AE76</f>
        <v>-76549.991999999882</v>
      </c>
      <c r="AF77" s="4">
        <f>-31489.654-AF75-AE75-AD75-AE77-AD77-AD76-AE76-AF76</f>
        <v>-87012.413400000121</v>
      </c>
      <c r="AG77" s="30">
        <f>K77-AF77-AE77-AD77</f>
        <v>-138378.4436</v>
      </c>
      <c r="AH77" s="4">
        <f>85425.816-AH75-AH76</f>
        <v>-114263.24900000004</v>
      </c>
      <c r="AI77" s="4">
        <f>-42670.678-AH77-AI75-AH75-AH76-AI76</f>
        <v>-65792.257000000187</v>
      </c>
      <c r="AJ77" s="4">
        <f>-60674.771-AJ75-AI75-AH75-AI77-AH77-AH76-AI76-AJ76</f>
        <v>-93847.463999999818</v>
      </c>
      <c r="AK77" s="30">
        <f>L77-AH77-AI77-AJ77</f>
        <v>-169449.7509999997</v>
      </c>
      <c r="AL77" s="4">
        <f>-32414.151-AL75-AL76</f>
        <v>-124172.82799999995</v>
      </c>
      <c r="AM77" s="4">
        <f>-42692.331-AL77-AM75-AL75-AL76-AM76</f>
        <v>-92820.889000000039</v>
      </c>
      <c r="AN77" s="4">
        <f>-66906.025-AN75-AM75-AL75-AM77-AL77-AL76-AM76-AN76</f>
        <v>-109910.74300000029</v>
      </c>
      <c r="AO77" s="30">
        <f>M77-AL77-AM77-AN77</f>
        <v>-122939.48999999989</v>
      </c>
      <c r="AP77" s="4">
        <f>-2160.576-AP75-AP76</f>
        <v>-155563.67900000003</v>
      </c>
      <c r="AQ77" s="4">
        <f>-71252.544-AP77-AQ75-AP75-AP76-AQ76</f>
        <v>-108758.96499999997</v>
      </c>
      <c r="AR77" s="4">
        <f>-92998.416-AR75-AQ75-AP75-AQ77-AP77-AP76-AQ76-AR76</f>
        <v>-121770.35199999994</v>
      </c>
      <c r="AS77" s="30">
        <f>N77-SUM(AP77:AR77)</f>
        <v>-195898.58699999994</v>
      </c>
      <c r="AT77" s="4">
        <f>-40420.865-AT75-AT76</f>
        <v>-173393.70099999994</v>
      </c>
      <c r="AU77" s="4">
        <f>-47712.114-AT77-AU75-AT75-AT76-AU76</f>
        <v>-122000.27599999981</v>
      </c>
      <c r="AV77" s="4">
        <f>33928.768-AV75-AU75-AT75-AU77-AT77-AT76-AU76-AV76</f>
        <v>-130279.47200000018</v>
      </c>
      <c r="AW77" s="30">
        <f>O77-SUM(AT77:AV77)</f>
        <v>-183394.44299999997</v>
      </c>
      <c r="AX77" s="4">
        <f>29127.301-AX75-AX76</f>
        <v>-194660.89099999989</v>
      </c>
      <c r="AY77" s="4"/>
      <c r="AZ77" s="4"/>
      <c r="BA77" s="4"/>
      <c r="BJ77" s="240"/>
      <c r="BN77" s="240"/>
    </row>
    <row r="78" spans="1:66" ht="13.5" customHeight="1">
      <c r="B78" s="14" t="s">
        <v>262</v>
      </c>
      <c r="C78" s="7"/>
      <c r="D78" s="7">
        <f t="shared" ref="D78:H78" si="535">SUM(D75:D77)</f>
        <v>-461.69199999998091</v>
      </c>
      <c r="E78" s="7">
        <f t="shared" si="535"/>
        <v>49646.505000000005</v>
      </c>
      <c r="F78" s="7">
        <f t="shared" si="535"/>
        <v>12102.940999999992</v>
      </c>
      <c r="G78" s="7">
        <f t="shared" si="535"/>
        <v>-5021.7640000000247</v>
      </c>
      <c r="H78" s="7">
        <f t="shared" si="535"/>
        <v>1296.4969999999739</v>
      </c>
      <c r="I78" s="7">
        <f t="shared" ref="I78:J78" si="536">SUM(I75:I77)</f>
        <v>20029.373000000021</v>
      </c>
      <c r="J78" s="7">
        <f t="shared" si="536"/>
        <v>151962.71299999999</v>
      </c>
      <c r="K78" s="7">
        <f t="shared" ref="K78:L78" si="537">SUM(K75:K77)</f>
        <v>-5218.6790000000037</v>
      </c>
      <c r="L78" s="7">
        <f t="shared" si="537"/>
        <v>-12630.032999999996</v>
      </c>
      <c r="M78" s="7">
        <f t="shared" ref="M78:N78" si="538">SUM(M75:M77)</f>
        <v>12001.695999999996</v>
      </c>
      <c r="N78" s="7">
        <f t="shared" si="538"/>
        <v>-54784.679000000004</v>
      </c>
      <c r="O78" s="7">
        <f t="shared" ref="O78" si="539">SUM(O75:O77)</f>
        <v>47640.704999999958</v>
      </c>
      <c r="P78" s="7">
        <f t="shared" ref="P78" si="540">SUM(P75:P77)</f>
        <v>117188.87099999934</v>
      </c>
      <c r="Q78" s="7"/>
      <c r="R78" s="7">
        <f t="shared" ref="R78:X78" si="541">SUM(R75:R77)</f>
        <v>-21141.419999999984</v>
      </c>
      <c r="S78" s="7">
        <f t="shared" si="541"/>
        <v>-5444.9570000000531</v>
      </c>
      <c r="T78" s="7">
        <f t="shared" si="541"/>
        <v>-35946.652999999962</v>
      </c>
      <c r="U78" s="7">
        <f t="shared" si="541"/>
        <v>63829.527000000118</v>
      </c>
      <c r="V78" s="7">
        <f t="shared" si="541"/>
        <v>-15743.224000000002</v>
      </c>
      <c r="W78" s="7">
        <f t="shared" si="541"/>
        <v>-4345.0480000000025</v>
      </c>
      <c r="X78" s="7">
        <f t="shared" si="541"/>
        <v>-11783.226999999977</v>
      </c>
      <c r="Y78" s="7">
        <f t="shared" ref="Y78:Z78" si="542">SUM(Y75:Y77)</f>
        <v>51900.872000000003</v>
      </c>
      <c r="Z78" s="7">
        <f t="shared" si="542"/>
        <v>224576.85299999997</v>
      </c>
      <c r="AA78" s="7">
        <f t="shared" ref="AA78:AD78" si="543">SUM(AA75:AA77)</f>
        <v>-11039.590000000011</v>
      </c>
      <c r="AB78" s="7">
        <f t="shared" si="543"/>
        <v>-82506.399999999994</v>
      </c>
      <c r="AC78" s="7">
        <f t="shared" si="543"/>
        <v>20931.849999999948</v>
      </c>
      <c r="AD78" s="7">
        <f t="shared" si="543"/>
        <v>-101235.96299999999</v>
      </c>
      <c r="AE78" s="7">
        <f t="shared" ref="AE78:AH78" si="544">SUM(AE75:AE77)</f>
        <v>36786.985000000001</v>
      </c>
      <c r="AF78" s="7">
        <f t="shared" si="544"/>
        <v>32959.323999999979</v>
      </c>
      <c r="AG78" s="7">
        <f t="shared" si="544"/>
        <v>26270.974999999977</v>
      </c>
      <c r="AH78" s="7">
        <f t="shared" si="544"/>
        <v>85425.816000000021</v>
      </c>
      <c r="AI78" s="7">
        <f t="shared" ref="AI78:AJ78" si="545">SUM(AI75:AI77)</f>
        <v>-128096.49400000004</v>
      </c>
      <c r="AJ78" s="7">
        <f t="shared" si="545"/>
        <v>-18004.092999999993</v>
      </c>
      <c r="AK78" s="7">
        <f t="shared" ref="AK78:AN78" si="546">SUM(AK75:AK77)</f>
        <v>48044.738000000012</v>
      </c>
      <c r="AL78" s="7">
        <f t="shared" si="546"/>
        <v>-32414.150999999998</v>
      </c>
      <c r="AM78" s="7">
        <f t="shared" si="546"/>
        <v>-10278.180000000008</v>
      </c>
      <c r="AN78" s="7">
        <f t="shared" si="546"/>
        <v>-24213.693999999989</v>
      </c>
      <c r="AO78" s="7">
        <f t="shared" ref="AO78:AR78" si="547">SUM(AO75:AO77)</f>
        <v>78907.720999999976</v>
      </c>
      <c r="AP78" s="7">
        <f t="shared" si="547"/>
        <v>-2160.5760000000009</v>
      </c>
      <c r="AQ78" s="7">
        <f t="shared" si="547"/>
        <v>-69091.967999999993</v>
      </c>
      <c r="AR78" s="7">
        <f t="shared" si="547"/>
        <v>-21745.871999999988</v>
      </c>
      <c r="AS78" s="7">
        <f t="shared" ref="AS78:AV78" si="548">SUM(AS75:AS77)</f>
        <v>38213.737000000052</v>
      </c>
      <c r="AT78" s="7">
        <f t="shared" si="548"/>
        <v>-40420.864999999991</v>
      </c>
      <c r="AU78" s="7">
        <f t="shared" si="548"/>
        <v>-7291.2490000000107</v>
      </c>
      <c r="AV78" s="7">
        <f t="shared" si="548"/>
        <v>81640.882000000012</v>
      </c>
      <c r="AW78" s="7">
        <f t="shared" ref="AW78:AX78" si="549">SUM(AW75:AW77)</f>
        <v>13711.936999999743</v>
      </c>
      <c r="AX78" s="7">
        <f t="shared" si="549"/>
        <v>29127.301000000007</v>
      </c>
      <c r="AY78" s="7"/>
      <c r="AZ78" s="7"/>
      <c r="BA78" s="7"/>
      <c r="BI78" s="239"/>
    </row>
    <row r="79" spans="1:66" s="5" customFormat="1" ht="13.5" customHeight="1">
      <c r="B79" s="14" t="s">
        <v>27</v>
      </c>
      <c r="C79" s="273"/>
      <c r="D79" s="273">
        <f>79976.126+D78</f>
        <v>79514.434000000023</v>
      </c>
      <c r="E79" s="7">
        <f t="shared" ref="E79:F79" si="550">D79+E78</f>
        <v>129160.93900000003</v>
      </c>
      <c r="F79" s="7">
        <f t="shared" si="550"/>
        <v>141263.88</v>
      </c>
      <c r="G79" s="7">
        <f t="shared" ref="G79:O79" si="551">F79+G78</f>
        <v>136242.11599999998</v>
      </c>
      <c r="H79" s="7">
        <f t="shared" si="551"/>
        <v>137538.61299999995</v>
      </c>
      <c r="I79" s="7">
        <f t="shared" si="551"/>
        <v>157567.98599999998</v>
      </c>
      <c r="J79" s="7">
        <f t="shared" si="551"/>
        <v>309530.69899999996</v>
      </c>
      <c r="K79" s="7">
        <f t="shared" si="551"/>
        <v>304312.01999999996</v>
      </c>
      <c r="L79" s="7">
        <f t="shared" si="551"/>
        <v>291681.98699999996</v>
      </c>
      <c r="M79" s="7">
        <f t="shared" si="551"/>
        <v>303683.68299999996</v>
      </c>
      <c r="N79" s="7">
        <f t="shared" si="551"/>
        <v>248899.00399999996</v>
      </c>
      <c r="O79" s="7">
        <f t="shared" si="551"/>
        <v>296539.70899999992</v>
      </c>
      <c r="P79" s="7">
        <f>AT79+P78</f>
        <v>325667.00999999943</v>
      </c>
      <c r="Q79" s="7"/>
      <c r="R79" s="7">
        <f>G79+R78</f>
        <v>115100.696</v>
      </c>
      <c r="S79" s="7">
        <f t="shared" ref="S79:AI79" si="552">R79+S78</f>
        <v>109655.73899999994</v>
      </c>
      <c r="T79" s="7">
        <f t="shared" si="552"/>
        <v>73709.085999999981</v>
      </c>
      <c r="U79" s="7">
        <f t="shared" si="552"/>
        <v>137538.6130000001</v>
      </c>
      <c r="V79" s="7">
        <f t="shared" si="552"/>
        <v>121795.3890000001</v>
      </c>
      <c r="W79" s="7">
        <f t="shared" si="552"/>
        <v>117450.3410000001</v>
      </c>
      <c r="X79" s="7">
        <f t="shared" si="552"/>
        <v>105667.11400000012</v>
      </c>
      <c r="Y79" s="7">
        <f t="shared" si="552"/>
        <v>157567.98600000012</v>
      </c>
      <c r="Z79" s="7">
        <f t="shared" si="552"/>
        <v>382144.83900000009</v>
      </c>
      <c r="AA79" s="7">
        <f t="shared" si="552"/>
        <v>371105.24900000007</v>
      </c>
      <c r="AB79" s="7">
        <f>AA79+AB78</f>
        <v>288598.84900000005</v>
      </c>
      <c r="AC79" s="7">
        <f t="shared" si="552"/>
        <v>309530.69900000002</v>
      </c>
      <c r="AD79" s="7">
        <f t="shared" si="552"/>
        <v>208294.73600000003</v>
      </c>
      <c r="AE79" s="7">
        <f t="shared" si="552"/>
        <v>245081.72100000002</v>
      </c>
      <c r="AF79" s="7">
        <f>AE79+AF78</f>
        <v>278041.04499999998</v>
      </c>
      <c r="AG79" s="7">
        <f t="shared" si="552"/>
        <v>304312.01999999996</v>
      </c>
      <c r="AH79" s="7">
        <f t="shared" si="552"/>
        <v>389737.83600000001</v>
      </c>
      <c r="AI79" s="7">
        <f t="shared" si="552"/>
        <v>261641.34199999998</v>
      </c>
      <c r="AJ79" s="7">
        <f>AI79+AJ78</f>
        <v>243637.24899999998</v>
      </c>
      <c r="AK79" s="7">
        <f>AJ79+AK78</f>
        <v>291681.98699999996</v>
      </c>
      <c r="AL79" s="7">
        <f t="shared" ref="AL79:AM79" si="553">AK79+AL78</f>
        <v>259267.83599999995</v>
      </c>
      <c r="AM79" s="7">
        <f t="shared" si="553"/>
        <v>248989.65599999996</v>
      </c>
      <c r="AN79" s="7">
        <f>AM79+AN78</f>
        <v>224775.96199999997</v>
      </c>
      <c r="AO79" s="7">
        <f>AN79+AO78</f>
        <v>303683.68299999996</v>
      </c>
      <c r="AP79" s="7">
        <f t="shared" ref="AP79:AQ79" si="554">AO79+AP78</f>
        <v>301523.10699999996</v>
      </c>
      <c r="AQ79" s="7">
        <f t="shared" si="554"/>
        <v>232431.13899999997</v>
      </c>
      <c r="AR79" s="7">
        <f>AQ79+AR78</f>
        <v>210685.26699999999</v>
      </c>
      <c r="AS79" s="7">
        <f>AR79+AS78</f>
        <v>248899.00400000004</v>
      </c>
      <c r="AT79" s="7">
        <f t="shared" ref="AT79" si="555">AS79+AT78</f>
        <v>208478.13900000005</v>
      </c>
      <c r="AU79" s="274">
        <f>AT79+AU78+6000</f>
        <v>207186.89000000004</v>
      </c>
      <c r="AV79" s="7">
        <f>AU79+AV78-6000</f>
        <v>282827.77200000006</v>
      </c>
      <c r="AW79" s="7">
        <f>AV79+AW78</f>
        <v>296539.7089999998</v>
      </c>
      <c r="AX79" s="7">
        <f t="shared" ref="AX79" si="556">AW79+AX78</f>
        <v>325667.00999999978</v>
      </c>
      <c r="AY79" s="7"/>
      <c r="AZ79" s="7"/>
      <c r="BA79" s="7"/>
      <c r="BI79" s="275"/>
    </row>
    <row r="80" spans="1:66" ht="11.25" customHeight="1">
      <c r="C80" s="40"/>
      <c r="D80" s="40"/>
      <c r="E80" s="40"/>
      <c r="F80" s="40"/>
      <c r="G80" s="40"/>
      <c r="H80" s="40"/>
      <c r="I80" s="40"/>
      <c r="J80" s="40"/>
      <c r="K80" s="40"/>
      <c r="L80" s="40"/>
      <c r="M80" s="40"/>
      <c r="N80" s="40"/>
      <c r="O80" s="40"/>
      <c r="P80" s="40"/>
      <c r="Q80" s="318"/>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I80" s="30"/>
    </row>
    <row r="81" spans="1:54" ht="11.25" customHeight="1">
      <c r="B81" s="72" t="s">
        <v>25</v>
      </c>
      <c r="C81" s="303"/>
      <c r="D81" s="303">
        <f t="shared" ref="D81:H81" si="557">D79-D111</f>
        <v>0</v>
      </c>
      <c r="E81" s="304">
        <f t="shared" si="557"/>
        <v>0</v>
      </c>
      <c r="F81" s="303">
        <f t="shared" si="557"/>
        <v>0</v>
      </c>
      <c r="G81" s="303">
        <f t="shared" si="557"/>
        <v>0</v>
      </c>
      <c r="H81" s="303">
        <f t="shared" si="557"/>
        <v>0</v>
      </c>
      <c r="I81" s="303">
        <f t="shared" ref="I81:J81" si="558">I79-I111</f>
        <v>0</v>
      </c>
      <c r="J81" s="303">
        <f t="shared" si="558"/>
        <v>0</v>
      </c>
      <c r="K81" s="303">
        <f t="shared" ref="K81:L81" si="559">K79-K111</f>
        <v>0</v>
      </c>
      <c r="L81" s="303">
        <f t="shared" si="559"/>
        <v>0</v>
      </c>
      <c r="M81" s="303">
        <f t="shared" ref="M81:N81" si="560">M79-M111</f>
        <v>0</v>
      </c>
      <c r="N81" s="303">
        <f t="shared" si="560"/>
        <v>0</v>
      </c>
      <c r="O81" s="303">
        <f t="shared" ref="O81" si="561">O79-O111</f>
        <v>0</v>
      </c>
      <c r="P81" s="303">
        <f>P79-P111</f>
        <v>-5.8207660913467407E-10</v>
      </c>
      <c r="Q81" s="319"/>
      <c r="R81" s="303">
        <f t="shared" ref="R81:X81" si="562">R79-R111</f>
        <v>0</v>
      </c>
      <c r="S81" s="303">
        <f t="shared" si="562"/>
        <v>0</v>
      </c>
      <c r="T81" s="305">
        <f t="shared" si="562"/>
        <v>0</v>
      </c>
      <c r="U81" s="306">
        <f t="shared" si="562"/>
        <v>0</v>
      </c>
      <c r="V81" s="303">
        <f t="shared" si="562"/>
        <v>1.4551915228366852E-10</v>
      </c>
      <c r="W81" s="303">
        <f t="shared" si="562"/>
        <v>1.4551915228366852E-10</v>
      </c>
      <c r="X81" s="306">
        <f t="shared" si="562"/>
        <v>1.7462298274040222E-10</v>
      </c>
      <c r="Y81" s="303">
        <f t="shared" ref="Y81:Z81" si="563">Y79-Y111</f>
        <v>0</v>
      </c>
      <c r="Z81" s="303">
        <f t="shared" si="563"/>
        <v>0</v>
      </c>
      <c r="AA81" s="303">
        <f t="shared" ref="AA81" si="564">AA79-AA111</f>
        <v>0</v>
      </c>
      <c r="AB81" s="306">
        <f>AB79-AB111</f>
        <v>0</v>
      </c>
      <c r="AC81" s="303">
        <f t="shared" ref="AC81:AE81" si="565">AC79-AC111</f>
        <v>0</v>
      </c>
      <c r="AD81" s="303">
        <f t="shared" si="565"/>
        <v>0</v>
      </c>
      <c r="AE81" s="303">
        <f t="shared" si="565"/>
        <v>0</v>
      </c>
      <c r="AF81" s="306">
        <f>AF79-AF111</f>
        <v>0</v>
      </c>
      <c r="AG81" s="303">
        <f t="shared" ref="AG81:AI81" si="566">AG79-AG111</f>
        <v>0</v>
      </c>
      <c r="AH81" s="303">
        <f t="shared" si="566"/>
        <v>0</v>
      </c>
      <c r="AI81" s="303">
        <f t="shared" si="566"/>
        <v>0</v>
      </c>
      <c r="AJ81" s="306">
        <f>AJ79-AJ111</f>
        <v>0</v>
      </c>
      <c r="AK81" s="306">
        <f>AK79-AK111</f>
        <v>0</v>
      </c>
      <c r="AL81" s="303">
        <f t="shared" ref="AL81:AM81" si="567">AL79-AL111</f>
        <v>0</v>
      </c>
      <c r="AM81" s="303">
        <f t="shared" si="567"/>
        <v>0</v>
      </c>
      <c r="AN81" s="306">
        <f>AN79-AN111</f>
        <v>0</v>
      </c>
      <c r="AO81" s="306">
        <f>AO79-AO111</f>
        <v>0</v>
      </c>
      <c r="AP81" s="303">
        <f t="shared" ref="AP81:AQ81" si="568">AP79-AP111</f>
        <v>0</v>
      </c>
      <c r="AQ81" s="303">
        <f t="shared" si="568"/>
        <v>0</v>
      </c>
      <c r="AR81" s="306">
        <f>AR79-AR111</f>
        <v>0</v>
      </c>
      <c r="AS81" s="306">
        <f>AS79-AS111</f>
        <v>0</v>
      </c>
      <c r="AT81" s="303">
        <f>AT79-AT111</f>
        <v>0</v>
      </c>
      <c r="AU81" s="303">
        <f t="shared" ref="AU81" si="569">AU79-AU111</f>
        <v>0</v>
      </c>
      <c r="AV81" s="306">
        <f>AV79-AV111</f>
        <v>0</v>
      </c>
      <c r="AW81" s="306">
        <f>AW79-AW111</f>
        <v>0</v>
      </c>
      <c r="AX81" s="303">
        <f>AX79-AX111</f>
        <v>0</v>
      </c>
      <c r="AY81" s="147"/>
      <c r="AZ81" s="147"/>
      <c r="BA81" s="147"/>
    </row>
    <row r="82" spans="1:54" ht="11.25" customHeight="1">
      <c r="C82" s="40"/>
      <c r="D82" s="40"/>
      <c r="E82" s="40"/>
      <c r="F82" s="40"/>
      <c r="G82" s="40"/>
      <c r="H82" s="40"/>
      <c r="I82" s="40"/>
      <c r="J82" s="40"/>
      <c r="K82" s="40"/>
      <c r="L82" s="40"/>
      <c r="M82" s="40"/>
      <c r="N82" s="40"/>
      <c r="O82" s="40"/>
      <c r="P82" s="40"/>
      <c r="Q82" s="318"/>
      <c r="R82" s="40"/>
      <c r="S82" s="40"/>
      <c r="T82" s="40"/>
      <c r="U82" s="40"/>
      <c r="V82" s="40"/>
      <c r="W82" s="40"/>
      <c r="X82" s="40"/>
      <c r="Y82" s="40"/>
      <c r="Z82" s="40"/>
      <c r="AA82" s="40"/>
      <c r="AB82" s="40"/>
      <c r="AC82" s="40"/>
      <c r="AD82" s="40"/>
      <c r="AE82" s="40"/>
      <c r="AF82" s="40"/>
      <c r="AG82" s="40"/>
      <c r="AH82" s="40"/>
      <c r="AI82" s="40"/>
      <c r="AJ82" s="40"/>
      <c r="AK82" s="40"/>
      <c r="AL82" s="40"/>
      <c r="AM82" s="40"/>
      <c r="AN82" s="40"/>
      <c r="AO82" s="40"/>
      <c r="AP82" s="40"/>
      <c r="AQ82" s="40"/>
      <c r="AR82" s="40"/>
      <c r="AS82" s="40"/>
      <c r="AT82" s="40"/>
      <c r="AU82" s="40"/>
      <c r="AV82" s="40"/>
      <c r="AW82" s="40"/>
      <c r="AX82" s="40"/>
      <c r="AY82" s="40"/>
      <c r="AZ82" s="40"/>
      <c r="BA82" s="40"/>
    </row>
    <row r="83" spans="1:54" ht="13.5" customHeight="1">
      <c r="A83" s="22"/>
      <c r="B83" s="15" t="s">
        <v>263</v>
      </c>
      <c r="C83" s="33"/>
      <c r="D83" s="33">
        <f t="shared" ref="D83:H83" si="570">+D61</f>
        <v>42004</v>
      </c>
      <c r="E83" s="33">
        <f t="shared" si="570"/>
        <v>42369</v>
      </c>
      <c r="F83" s="33">
        <f t="shared" si="570"/>
        <v>42735</v>
      </c>
      <c r="G83" s="60">
        <f t="shared" si="570"/>
        <v>43100</v>
      </c>
      <c r="H83" s="60">
        <f t="shared" si="570"/>
        <v>43465</v>
      </c>
      <c r="I83" s="60">
        <f t="shared" ref="I83:J83" si="571">+I61</f>
        <v>43830</v>
      </c>
      <c r="J83" s="60">
        <f t="shared" si="571"/>
        <v>44196</v>
      </c>
      <c r="K83" s="60">
        <f t="shared" ref="K83:L83" si="572">+K61</f>
        <v>44561</v>
      </c>
      <c r="L83" s="60">
        <f t="shared" si="572"/>
        <v>44926</v>
      </c>
      <c r="M83" s="60">
        <f t="shared" ref="M83:N83" si="573">+M61</f>
        <v>45291</v>
      </c>
      <c r="N83" s="60">
        <f t="shared" si="573"/>
        <v>45657</v>
      </c>
      <c r="O83" s="60">
        <f t="shared" ref="O83" si="574">+O61</f>
        <v>46022</v>
      </c>
      <c r="P83" s="141">
        <f t="shared" ref="P83" si="575">+P61</f>
        <v>46111</v>
      </c>
      <c r="Q83" s="267"/>
      <c r="R83" s="60">
        <f t="shared" ref="R83:X83" si="576">+R61</f>
        <v>43189</v>
      </c>
      <c r="S83" s="60">
        <f t="shared" si="576"/>
        <v>43281</v>
      </c>
      <c r="T83" s="60">
        <f t="shared" si="576"/>
        <v>43373</v>
      </c>
      <c r="U83" s="60">
        <f t="shared" si="576"/>
        <v>43464</v>
      </c>
      <c r="V83" s="60">
        <f t="shared" si="576"/>
        <v>43554</v>
      </c>
      <c r="W83" s="60">
        <f t="shared" si="576"/>
        <v>43646</v>
      </c>
      <c r="X83" s="60">
        <f t="shared" si="576"/>
        <v>43738</v>
      </c>
      <c r="Y83" s="60">
        <f t="shared" ref="Y83:Z83" si="577">+Y61</f>
        <v>43829</v>
      </c>
      <c r="Z83" s="60">
        <f t="shared" si="577"/>
        <v>43920</v>
      </c>
      <c r="AA83" s="60">
        <f t="shared" ref="AA83:AD83" si="578">+AA61</f>
        <v>44012</v>
      </c>
      <c r="AB83" s="60">
        <f t="shared" si="578"/>
        <v>44104</v>
      </c>
      <c r="AC83" s="60">
        <f t="shared" si="578"/>
        <v>44195</v>
      </c>
      <c r="AD83" s="60">
        <f t="shared" si="578"/>
        <v>44285</v>
      </c>
      <c r="AE83" s="60">
        <f t="shared" ref="AE83:AH83" si="579">+AE61</f>
        <v>44377</v>
      </c>
      <c r="AF83" s="60">
        <f t="shared" si="579"/>
        <v>44469</v>
      </c>
      <c r="AG83" s="60">
        <f t="shared" si="579"/>
        <v>44560</v>
      </c>
      <c r="AH83" s="60">
        <f t="shared" si="579"/>
        <v>44650</v>
      </c>
      <c r="AI83" s="60">
        <f t="shared" ref="AI83:AJ83" si="580">+AI61</f>
        <v>44742</v>
      </c>
      <c r="AJ83" s="60">
        <f t="shared" si="580"/>
        <v>44834</v>
      </c>
      <c r="AK83" s="60">
        <f t="shared" ref="AK83:AN83" si="581">+AK61</f>
        <v>44925</v>
      </c>
      <c r="AL83" s="60">
        <f t="shared" si="581"/>
        <v>45015</v>
      </c>
      <c r="AM83" s="60">
        <f t="shared" si="581"/>
        <v>45107</v>
      </c>
      <c r="AN83" s="60">
        <f t="shared" si="581"/>
        <v>45199</v>
      </c>
      <c r="AO83" s="60">
        <f t="shared" ref="AO83:AR83" si="582">+AO61</f>
        <v>45290</v>
      </c>
      <c r="AP83" s="60">
        <f t="shared" si="582"/>
        <v>45381</v>
      </c>
      <c r="AQ83" s="60">
        <f t="shared" si="582"/>
        <v>45473</v>
      </c>
      <c r="AR83" s="60">
        <f t="shared" si="582"/>
        <v>45565</v>
      </c>
      <c r="AS83" s="60">
        <f t="shared" ref="AS83:AV83" si="583">+AS61</f>
        <v>45656</v>
      </c>
      <c r="AT83" s="60">
        <f t="shared" si="583"/>
        <v>45746</v>
      </c>
      <c r="AU83" s="60">
        <f t="shared" si="583"/>
        <v>45838</v>
      </c>
      <c r="AV83" s="60">
        <f t="shared" si="583"/>
        <v>45930</v>
      </c>
      <c r="AW83" s="60">
        <f t="shared" ref="AW83:AX83" si="584">+AW61</f>
        <v>46021</v>
      </c>
      <c r="AX83" s="60">
        <f t="shared" si="584"/>
        <v>46111</v>
      </c>
      <c r="AY83" s="268"/>
      <c r="AZ83" s="268"/>
      <c r="BA83" s="268"/>
    </row>
    <row r="84" spans="1:54" ht="13.5" customHeight="1">
      <c r="B84" s="1" t="str">
        <f>+B7</f>
        <v>Net Sales</v>
      </c>
      <c r="C84" s="30"/>
      <c r="D84" s="30">
        <f t="shared" ref="D84:H84" si="585">+D7</f>
        <v>1797199.8770000001</v>
      </c>
      <c r="E84" s="30">
        <f t="shared" si="585"/>
        <v>1877394.2560000001</v>
      </c>
      <c r="F84" s="30">
        <f t="shared" si="585"/>
        <v>1777459.32</v>
      </c>
      <c r="G84" s="30">
        <f t="shared" si="585"/>
        <v>1848878.6189999999</v>
      </c>
      <c r="H84" s="30">
        <f t="shared" si="585"/>
        <v>1672915.7990000001</v>
      </c>
      <c r="I84" s="30">
        <f t="shared" ref="I84:J84" si="586">+I7</f>
        <v>1779025.115</v>
      </c>
      <c r="J84" s="30">
        <f t="shared" si="586"/>
        <v>1698281.237</v>
      </c>
      <c r="K84" s="30">
        <f t="shared" ref="K84" si="587">+K7</f>
        <v>2216732.5929999999</v>
      </c>
      <c r="L84" s="30">
        <f>+L7</f>
        <v>2656878.395</v>
      </c>
      <c r="M84" s="30">
        <f>+M7</f>
        <v>2618437.0520000001</v>
      </c>
      <c r="N84" s="30">
        <f>+N7</f>
        <v>3224233.0049999999</v>
      </c>
      <c r="O84" s="30">
        <f>+O7</f>
        <v>3344835.8509999998</v>
      </c>
      <c r="P84" s="30">
        <f t="shared" ref="P84" si="588">+P7</f>
        <v>3380919.9249999998</v>
      </c>
      <c r="Q84" s="30"/>
      <c r="R84" s="30"/>
      <c r="S84" s="30"/>
      <c r="T84" s="30"/>
      <c r="U84" s="30">
        <f>+U7+T7+S7+R7</f>
        <v>1672915.7990000001</v>
      </c>
      <c r="V84" s="30">
        <f t="shared" ref="V84:AI84" si="589">+V7+U7+T7+S7</f>
        <v>1640347.1340000001</v>
      </c>
      <c r="W84" s="30">
        <f t="shared" si="589"/>
        <v>1656580.0480000002</v>
      </c>
      <c r="X84" s="30">
        <f t="shared" si="589"/>
        <v>1717891.1490000002</v>
      </c>
      <c r="Y84" s="30">
        <f t="shared" si="589"/>
        <v>1779025.115</v>
      </c>
      <c r="Z84" s="30">
        <f t="shared" si="589"/>
        <v>1836376.92</v>
      </c>
      <c r="AA84" s="30">
        <f t="shared" si="589"/>
        <v>1768962.112</v>
      </c>
      <c r="AB84" s="30">
        <f>+AB7+AA7+Z7+Y7</f>
        <v>1756624.0559999999</v>
      </c>
      <c r="AC84" s="30">
        <f t="shared" si="589"/>
        <v>1698281.237</v>
      </c>
      <c r="AD84" s="30">
        <f t="shared" si="589"/>
        <v>1702673.868</v>
      </c>
      <c r="AE84" s="30">
        <f t="shared" si="589"/>
        <v>1831973.628</v>
      </c>
      <c r="AF84" s="30">
        <f>+AF7+AE7+AD7+AC7</f>
        <v>1975942.057</v>
      </c>
      <c r="AG84" s="30">
        <f t="shared" si="589"/>
        <v>2216732.5929999994</v>
      </c>
      <c r="AH84" s="30">
        <f t="shared" si="589"/>
        <v>2331953.0279999999</v>
      </c>
      <c r="AI84" s="30">
        <f t="shared" si="589"/>
        <v>2482066.4069999997</v>
      </c>
      <c r="AJ84" s="30">
        <f>+AJ7+AI7+AH7+AG7</f>
        <v>2597541.7799999993</v>
      </c>
      <c r="AK84" s="30">
        <f>+AK7+AJ7+AI7+AH7</f>
        <v>2656878.395</v>
      </c>
      <c r="AL84" s="30">
        <f t="shared" ref="AL84:AM84" si="590">+AL7+AK7+AJ7+AI7</f>
        <v>2734506.3510000007</v>
      </c>
      <c r="AM84" s="30">
        <f t="shared" si="590"/>
        <v>2757218.2250000006</v>
      </c>
      <c r="AN84" s="30">
        <f>+AN7+AM7+AL7+AK7</f>
        <v>2774052.5759999999</v>
      </c>
      <c r="AO84" s="30">
        <f>+AO7+AN7+AM7+AL7</f>
        <v>2618437.0520000006</v>
      </c>
      <c r="AP84" s="30">
        <f t="shared" ref="AP84:AQ84" si="591">+AP7+AO7+AN7+AM7</f>
        <v>2721218.6780000003</v>
      </c>
      <c r="AQ84" s="30">
        <f t="shared" si="591"/>
        <v>2778983.4840000002</v>
      </c>
      <c r="AR84" s="30">
        <f>+AR7+AQ7+AP7+AO7</f>
        <v>2835456.4010000005</v>
      </c>
      <c r="AS84" s="30">
        <f>+AS7+AR7+AQ7+AP7</f>
        <v>3224233.0049999999</v>
      </c>
      <c r="AT84" s="30">
        <f t="shared" ref="AT84:AU84" si="592">+AT7+AS7+AR7+AQ7</f>
        <v>3307774.6319999998</v>
      </c>
      <c r="AU84" s="30">
        <f t="shared" si="592"/>
        <v>3373735.7329999995</v>
      </c>
      <c r="AV84" s="30">
        <f>+AV7+AU7+AT7+AS7</f>
        <v>3447291.3779999996</v>
      </c>
      <c r="AW84" s="30">
        <f>+AW7+AV7+AU7+AT7</f>
        <v>3344835.8509999998</v>
      </c>
      <c r="AX84" s="30">
        <f t="shared" ref="AX84" si="593">+AX7+AW7+AV7+AU7</f>
        <v>3380919.9249999998</v>
      </c>
      <c r="AY84" s="30"/>
      <c r="AZ84" s="30"/>
      <c r="BA84" s="30"/>
      <c r="BB84" s="30"/>
    </row>
    <row r="85" spans="1:54" ht="13.5" customHeight="1">
      <c r="B85" s="1" t="s">
        <v>239</v>
      </c>
      <c r="C85" s="30"/>
      <c r="D85" s="30">
        <f t="shared" ref="D85:H85" si="594">D17</f>
        <v>167759.94100000011</v>
      </c>
      <c r="E85" s="30">
        <f t="shared" si="594"/>
        <v>187783.87200000009</v>
      </c>
      <c r="F85" s="30">
        <f t="shared" si="594"/>
        <v>189277.9580000001</v>
      </c>
      <c r="G85" s="30">
        <f t="shared" si="594"/>
        <v>220038.55300000007</v>
      </c>
      <c r="H85" s="30">
        <f t="shared" si="594"/>
        <v>209213.23400000017</v>
      </c>
      <c r="I85" s="30">
        <f t="shared" ref="I85:J85" si="595">I17</f>
        <v>252548.43699999998</v>
      </c>
      <c r="J85" s="30">
        <f t="shared" si="595"/>
        <v>230537.95399999997</v>
      </c>
      <c r="K85" s="30">
        <f t="shared" ref="K85:L85" si="596">K17</f>
        <v>278563.67199999979</v>
      </c>
      <c r="L85" s="30">
        <f t="shared" si="596"/>
        <v>321771.46999999997</v>
      </c>
      <c r="M85" s="30">
        <f t="shared" ref="M85:N85" si="597">M17</f>
        <v>316296.89200000023</v>
      </c>
      <c r="N85" s="30">
        <f t="shared" si="597"/>
        <v>411911.20799999987</v>
      </c>
      <c r="O85" s="30">
        <f t="shared" ref="O85" si="598">O17</f>
        <v>436817.50399999972</v>
      </c>
      <c r="P85" s="30">
        <f t="shared" ref="P85" si="599">P17</f>
        <v>448413.38499999966</v>
      </c>
      <c r="Q85" s="30"/>
      <c r="R85" s="30"/>
      <c r="S85" s="30"/>
      <c r="T85" s="30"/>
      <c r="U85" s="30">
        <f>U17+T17+S17+R17</f>
        <v>209213.2340000002</v>
      </c>
      <c r="V85" s="30">
        <f t="shared" ref="V85:AX85" si="600">V17+U17+T17+S17</f>
        <v>205127.68800000014</v>
      </c>
      <c r="W85" s="30">
        <f t="shared" si="600"/>
        <v>211121.69200000016</v>
      </c>
      <c r="X85" s="30">
        <f t="shared" si="600"/>
        <v>215934.30100000015</v>
      </c>
      <c r="Y85" s="30">
        <f t="shared" si="600"/>
        <v>252548.43699999995</v>
      </c>
      <c r="Z85" s="30">
        <f t="shared" si="600"/>
        <v>260026.74699999997</v>
      </c>
      <c r="AA85" s="30">
        <f t="shared" si="600"/>
        <v>235099.027</v>
      </c>
      <c r="AB85" s="30">
        <f t="shared" si="600"/>
        <v>252531.67200000008</v>
      </c>
      <c r="AC85" s="30">
        <f t="shared" si="600"/>
        <v>230537.95400000006</v>
      </c>
      <c r="AD85" s="30">
        <f t="shared" si="600"/>
        <v>233366.28700000007</v>
      </c>
      <c r="AE85" s="30">
        <f t="shared" si="600"/>
        <v>266246.1970000001</v>
      </c>
      <c r="AF85" s="30">
        <f t="shared" si="600"/>
        <v>268085.17400000012</v>
      </c>
      <c r="AG85" s="30">
        <f t="shared" si="600"/>
        <v>278563.67199999979</v>
      </c>
      <c r="AH85" s="30">
        <f t="shared" si="600"/>
        <v>294289.51799999969</v>
      </c>
      <c r="AI85" s="30">
        <f t="shared" si="600"/>
        <v>298493.00199999975</v>
      </c>
      <c r="AJ85" s="30">
        <f t="shared" si="600"/>
        <v>313426.51599999971</v>
      </c>
      <c r="AK85" s="30">
        <f t="shared" si="600"/>
        <v>321771.46999999997</v>
      </c>
      <c r="AL85" s="30">
        <f t="shared" si="600"/>
        <v>324136.85800000001</v>
      </c>
      <c r="AM85" s="30">
        <f t="shared" si="600"/>
        <v>316955.03999999992</v>
      </c>
      <c r="AN85" s="30">
        <f t="shared" si="600"/>
        <v>316084.87599999981</v>
      </c>
      <c r="AO85" s="30">
        <f t="shared" si="600"/>
        <v>316296.89200000034</v>
      </c>
      <c r="AP85" s="30">
        <f t="shared" si="600"/>
        <v>337951.75300000038</v>
      </c>
      <c r="AQ85" s="30">
        <f t="shared" si="600"/>
        <v>360928.35000000033</v>
      </c>
      <c r="AR85" s="30">
        <f t="shared" si="600"/>
        <v>365070.07200000033</v>
      </c>
      <c r="AS85" s="30">
        <f t="shared" si="600"/>
        <v>411911.20799999958</v>
      </c>
      <c r="AT85" s="30">
        <f t="shared" si="600"/>
        <v>426455.5099999996</v>
      </c>
      <c r="AU85" s="30">
        <f t="shared" si="600"/>
        <v>436461.56999999966</v>
      </c>
      <c r="AV85" s="30">
        <f t="shared" si="600"/>
        <v>454973.19999999972</v>
      </c>
      <c r="AW85" s="30">
        <f t="shared" si="600"/>
        <v>436817.50399999984</v>
      </c>
      <c r="AX85" s="30">
        <f t="shared" si="600"/>
        <v>448413.38500000001</v>
      </c>
      <c r="AY85" s="30"/>
      <c r="AZ85" s="30"/>
      <c r="BA85" s="30"/>
    </row>
    <row r="86" spans="1:54" ht="13.5" customHeight="1">
      <c r="B86" s="1" t="s">
        <v>75</v>
      </c>
      <c r="C86" s="30"/>
      <c r="D86" s="30">
        <f t="shared" ref="D86:H86" si="601">D52</f>
        <v>270726.94100000011</v>
      </c>
      <c r="E86" s="30">
        <f t="shared" si="601"/>
        <v>288415.87200000009</v>
      </c>
      <c r="F86" s="30">
        <f t="shared" si="601"/>
        <v>286611.9580000001</v>
      </c>
      <c r="G86" s="30">
        <f t="shared" si="601"/>
        <v>319202.55300000007</v>
      </c>
      <c r="H86" s="30">
        <f t="shared" si="601"/>
        <v>308807.68000000017</v>
      </c>
      <c r="I86" s="30">
        <f t="shared" ref="I86:J86" si="602">I52</f>
        <v>363635.72099999996</v>
      </c>
      <c r="J86" s="30">
        <f t="shared" si="602"/>
        <v>341458.47099999996</v>
      </c>
      <c r="K86" s="30">
        <f t="shared" ref="K86:L86" si="603">K52</f>
        <v>383338.9749999998</v>
      </c>
      <c r="L86" s="30">
        <f t="shared" si="603"/>
        <v>441136.90099999995</v>
      </c>
      <c r="M86" s="30">
        <f t="shared" ref="M86:N86" si="604">M52</f>
        <v>429068.21600000025</v>
      </c>
      <c r="N86" s="30">
        <f t="shared" si="604"/>
        <v>563022.14099999983</v>
      </c>
      <c r="O86" s="30">
        <f t="shared" ref="O86" si="605">O52</f>
        <v>596058.99699999974</v>
      </c>
      <c r="P86" s="30">
        <f>P52</f>
        <v>613462.81399999966</v>
      </c>
      <c r="Q86" s="30"/>
      <c r="R86" s="30"/>
      <c r="S86" s="30"/>
      <c r="T86" s="30"/>
      <c r="U86" s="30">
        <f>U52+T52+S52+R52</f>
        <v>308807.68000000017</v>
      </c>
      <c r="V86" s="30">
        <f t="shared" ref="V86:AX86" si="606">V52+U52+T52+S52</f>
        <v>305941.88100000017</v>
      </c>
      <c r="W86" s="30">
        <f t="shared" si="606"/>
        <v>316282.55600000016</v>
      </c>
      <c r="X86" s="30">
        <f t="shared" si="606"/>
        <v>325160.39900000015</v>
      </c>
      <c r="Y86" s="30">
        <f t="shared" si="606"/>
        <v>363635.7209999999</v>
      </c>
      <c r="Z86" s="30">
        <f t="shared" si="606"/>
        <v>373173.79099999997</v>
      </c>
      <c r="AA86" s="30">
        <f t="shared" si="606"/>
        <v>346416.10699999996</v>
      </c>
      <c r="AB86" s="30">
        <f t="shared" si="606"/>
        <v>364401.52200000011</v>
      </c>
      <c r="AC86" s="30">
        <f t="shared" si="606"/>
        <v>341458.47100000008</v>
      </c>
      <c r="AD86" s="30">
        <f t="shared" si="606"/>
        <v>339102.69500000012</v>
      </c>
      <c r="AE86" s="30">
        <f t="shared" si="606"/>
        <v>370347.21700000006</v>
      </c>
      <c r="AF86" s="30">
        <f t="shared" si="606"/>
        <v>373054.0360000002</v>
      </c>
      <c r="AG86" s="30">
        <f t="shared" si="606"/>
        <v>383338.9749999998</v>
      </c>
      <c r="AH86" s="30">
        <f t="shared" si="606"/>
        <v>402204.68899999972</v>
      </c>
      <c r="AI86" s="30">
        <f t="shared" si="606"/>
        <v>413699.80899999972</v>
      </c>
      <c r="AJ86" s="30">
        <f t="shared" si="606"/>
        <v>432721.82199999975</v>
      </c>
      <c r="AK86" s="30">
        <f t="shared" si="606"/>
        <v>441136.90100000007</v>
      </c>
      <c r="AL86" s="30">
        <f t="shared" si="606"/>
        <v>446677.42799999996</v>
      </c>
      <c r="AM86" s="30">
        <f t="shared" si="606"/>
        <v>438201.424</v>
      </c>
      <c r="AN86" s="30">
        <f t="shared" si="606"/>
        <v>439206.53899999982</v>
      </c>
      <c r="AO86" s="30">
        <f t="shared" si="606"/>
        <v>429068.21600000036</v>
      </c>
      <c r="AP86" s="30">
        <f t="shared" si="606"/>
        <v>457405.99800000037</v>
      </c>
      <c r="AQ86" s="30">
        <f t="shared" si="606"/>
        <v>486089.48900000029</v>
      </c>
      <c r="AR86" s="30">
        <f t="shared" si="606"/>
        <v>492515.92900000029</v>
      </c>
      <c r="AS86" s="30">
        <f t="shared" si="606"/>
        <v>563022.1409999996</v>
      </c>
      <c r="AT86" s="30">
        <f t="shared" si="606"/>
        <v>580985.66999999958</v>
      </c>
      <c r="AU86" s="30">
        <f t="shared" si="606"/>
        <v>593531.70499999961</v>
      </c>
      <c r="AV86" s="30">
        <f t="shared" si="606"/>
        <v>616156.71999999974</v>
      </c>
      <c r="AW86" s="30">
        <f t="shared" si="606"/>
        <v>596058.99699999997</v>
      </c>
      <c r="AX86" s="30">
        <f t="shared" si="606"/>
        <v>613462.8139999999</v>
      </c>
      <c r="AY86" s="30"/>
      <c r="AZ86" s="30"/>
      <c r="BA86" s="30"/>
    </row>
    <row r="87" spans="1:54" ht="13.5" customHeight="1">
      <c r="B87" s="1" t="s">
        <v>24</v>
      </c>
      <c r="C87" s="30"/>
      <c r="D87" s="30">
        <f t="shared" ref="D87:H87" si="607">D57</f>
        <v>289740</v>
      </c>
      <c r="E87" s="30">
        <f t="shared" si="607"/>
        <v>316228</v>
      </c>
      <c r="F87" s="30">
        <f t="shared" si="607"/>
        <v>311003</v>
      </c>
      <c r="G87" s="30">
        <f t="shared" si="607"/>
        <v>337891</v>
      </c>
      <c r="H87" s="30">
        <f t="shared" si="607"/>
        <v>324964</v>
      </c>
      <c r="I87" s="30">
        <f t="shared" ref="I87:J87" si="608">I57</f>
        <v>348869</v>
      </c>
      <c r="J87" s="30">
        <f t="shared" si="608"/>
        <v>350532</v>
      </c>
      <c r="K87" s="30">
        <f t="shared" ref="K87:L87" si="609">K57</f>
        <v>397213</v>
      </c>
      <c r="L87" s="30">
        <f t="shared" si="609"/>
        <v>464510</v>
      </c>
      <c r="M87" s="30">
        <f t="shared" ref="M87:N87" si="610">M57</f>
        <v>470108</v>
      </c>
      <c r="N87" s="30">
        <f t="shared" si="610"/>
        <v>578192</v>
      </c>
      <c r="O87" s="30">
        <f t="shared" ref="O87" si="611">O57</f>
        <v>614608</v>
      </c>
      <c r="P87" s="30">
        <f>P57</f>
        <v>636574</v>
      </c>
      <c r="Q87" s="30"/>
      <c r="R87" s="30"/>
      <c r="S87" s="30"/>
      <c r="T87" s="30"/>
      <c r="U87" s="30">
        <f>U57+T57+S57+R57</f>
        <v>324964</v>
      </c>
      <c r="V87" s="30">
        <f t="shared" ref="V87:AX87" si="612">V57+U57+T57+S57</f>
        <v>317783</v>
      </c>
      <c r="W87" s="30">
        <f t="shared" si="612"/>
        <v>321630</v>
      </c>
      <c r="X87" s="30">
        <f t="shared" si="612"/>
        <v>329178</v>
      </c>
      <c r="Y87" s="30">
        <f t="shared" si="612"/>
        <v>348869</v>
      </c>
      <c r="Z87" s="30">
        <f t="shared" si="612"/>
        <v>359127</v>
      </c>
      <c r="AA87" s="30">
        <f t="shared" si="612"/>
        <v>339530</v>
      </c>
      <c r="AB87" s="30">
        <f t="shared" si="612"/>
        <v>350326</v>
      </c>
      <c r="AC87" s="30">
        <f t="shared" si="612"/>
        <v>350532</v>
      </c>
      <c r="AD87" s="30">
        <f t="shared" si="612"/>
        <v>348498</v>
      </c>
      <c r="AE87" s="30">
        <f t="shared" si="612"/>
        <v>374948</v>
      </c>
      <c r="AF87" s="30">
        <f t="shared" si="612"/>
        <v>382361</v>
      </c>
      <c r="AG87" s="30">
        <f t="shared" si="612"/>
        <v>397213</v>
      </c>
      <c r="AH87" s="30">
        <f t="shared" si="612"/>
        <v>416665</v>
      </c>
      <c r="AI87" s="30">
        <f t="shared" si="612"/>
        <v>441267</v>
      </c>
      <c r="AJ87" s="30">
        <f t="shared" si="612"/>
        <v>455865</v>
      </c>
      <c r="AK87" s="30">
        <f t="shared" si="612"/>
        <v>464510</v>
      </c>
      <c r="AL87" s="30">
        <f t="shared" si="612"/>
        <v>470570</v>
      </c>
      <c r="AM87" s="30">
        <f t="shared" si="612"/>
        <v>476461</v>
      </c>
      <c r="AN87" s="30">
        <f t="shared" si="612"/>
        <v>487691</v>
      </c>
      <c r="AO87" s="30">
        <f t="shared" si="612"/>
        <v>470108</v>
      </c>
      <c r="AP87" s="30">
        <f t="shared" si="612"/>
        <v>503083</v>
      </c>
      <c r="AQ87" s="30">
        <f t="shared" si="612"/>
        <v>512572</v>
      </c>
      <c r="AR87" s="30">
        <f t="shared" si="612"/>
        <v>516686</v>
      </c>
      <c r="AS87" s="30">
        <f t="shared" si="612"/>
        <v>578192</v>
      </c>
      <c r="AT87" s="30">
        <f t="shared" si="612"/>
        <v>589829</v>
      </c>
      <c r="AU87" s="30">
        <f t="shared" si="612"/>
        <v>599893</v>
      </c>
      <c r="AV87" s="30">
        <f t="shared" si="612"/>
        <v>618389</v>
      </c>
      <c r="AW87" s="30">
        <f t="shared" si="612"/>
        <v>614608</v>
      </c>
      <c r="AX87" s="30">
        <f t="shared" si="612"/>
        <v>636574</v>
      </c>
      <c r="AY87" s="30"/>
      <c r="AZ87" s="30"/>
      <c r="BA87" s="30"/>
    </row>
    <row r="88" spans="1:54" ht="13.5" customHeight="1">
      <c r="B88" s="1" t="s">
        <v>249</v>
      </c>
      <c r="C88" s="30"/>
      <c r="D88" s="30">
        <f t="shared" ref="D88:H88" si="613">-D65</f>
        <v>62079.743999999999</v>
      </c>
      <c r="E88" s="30">
        <f t="shared" si="613"/>
        <v>57963.478999999999</v>
      </c>
      <c r="F88" s="30">
        <f t="shared" si="613"/>
        <v>49931.807000000001</v>
      </c>
      <c r="G88" s="30">
        <f t="shared" si="613"/>
        <v>53103.434000000001</v>
      </c>
      <c r="H88" s="30">
        <f t="shared" si="613"/>
        <v>41353.012999999999</v>
      </c>
      <c r="I88" s="30">
        <f t="shared" ref="I88:J88" si="614">-I65</f>
        <v>36141.476999999999</v>
      </c>
      <c r="J88" s="30">
        <f t="shared" si="614"/>
        <v>44299.000999999997</v>
      </c>
      <c r="K88" s="30">
        <f t="shared" ref="K88:L88" si="615">-K65</f>
        <v>55497.167000000001</v>
      </c>
      <c r="L88" s="30">
        <f t="shared" si="615"/>
        <v>44822.402000000002</v>
      </c>
      <c r="M88" s="30">
        <f t="shared" ref="M88:N88" si="616">-M65</f>
        <v>67010.058000000005</v>
      </c>
      <c r="N88" s="30">
        <f t="shared" si="616"/>
        <v>65837.409</v>
      </c>
      <c r="O88" s="30">
        <f t="shared" ref="O88" si="617">-O65</f>
        <v>57331.557999999997</v>
      </c>
      <c r="P88" s="30">
        <f t="shared" ref="P88" si="618">-P65</f>
        <v>54787.959000000003</v>
      </c>
      <c r="Q88" s="30"/>
      <c r="R88" s="30"/>
      <c r="S88" s="30"/>
      <c r="T88" s="30"/>
      <c r="U88" s="30">
        <f>-U65-T65-S65-R65</f>
        <v>41353.012999999999</v>
      </c>
      <c r="V88" s="30">
        <f t="shared" ref="V88:AH88" si="619">-V65-U65-T65-S65</f>
        <v>39727.455000000002</v>
      </c>
      <c r="W88" s="30">
        <f t="shared" si="619"/>
        <v>41353.012999999999</v>
      </c>
      <c r="X88" s="30">
        <f t="shared" si="619"/>
        <v>36094.914999999994</v>
      </c>
      <c r="Y88" s="30">
        <f t="shared" si="619"/>
        <v>36141.476999999999</v>
      </c>
      <c r="Z88" s="30">
        <f t="shared" si="619"/>
        <v>37168.575000000004</v>
      </c>
      <c r="AA88" s="30">
        <f t="shared" si="619"/>
        <v>35644.682000000001</v>
      </c>
      <c r="AB88" s="30">
        <f t="shared" si="619"/>
        <v>44117.520999999993</v>
      </c>
      <c r="AC88" s="30">
        <f t="shared" si="619"/>
        <v>44299.000999999997</v>
      </c>
      <c r="AD88" s="30">
        <f t="shared" si="619"/>
        <v>46615.553</v>
      </c>
      <c r="AE88" s="30">
        <f t="shared" si="619"/>
        <v>49943.044999999998</v>
      </c>
      <c r="AF88" s="30">
        <f>-AF65-AE65-AD65-AC65</f>
        <v>51931.370999999999</v>
      </c>
      <c r="AG88" s="30">
        <f t="shared" si="619"/>
        <v>55497.167000000001</v>
      </c>
      <c r="AH88" s="30">
        <f t="shared" si="619"/>
        <v>56648.322</v>
      </c>
      <c r="AI88" s="30">
        <f>-AI65-AH65-AG65-AF65</f>
        <v>61773.663999999997</v>
      </c>
      <c r="AJ88" s="30">
        <f>-AJ65-AI65-AH65-AG65</f>
        <v>76244.724000000002</v>
      </c>
      <c r="AK88" s="30">
        <f>-AK65-AJ65-AI65-AH65</f>
        <v>44822.402000000002</v>
      </c>
      <c r="AL88" s="30">
        <f t="shared" ref="AL88" si="620">-AL65-AK65-AJ65-AI65</f>
        <v>43869.349000000002</v>
      </c>
      <c r="AM88" s="30">
        <f>-AM65-AL65-AK65-AJ65</f>
        <v>43328.207999999999</v>
      </c>
      <c r="AN88" s="30">
        <f>-AN65-AM65-AL65-AK65</f>
        <v>34940.860000000008</v>
      </c>
      <c r="AO88" s="30">
        <f>-AO65-AN65-AM65-AL65</f>
        <v>67010.05799999999</v>
      </c>
      <c r="AP88" s="30">
        <f t="shared" ref="AP88" si="621">-AP65-AO65-AN65-AM65</f>
        <v>64279.676000000007</v>
      </c>
      <c r="AQ88" s="30">
        <f>-AQ65-AP65-AO65-AN65</f>
        <v>62740.477000000006</v>
      </c>
      <c r="AR88" s="30">
        <f>-AR65-AQ65-AP65-AO65</f>
        <v>59259.14</v>
      </c>
      <c r="AS88" s="30">
        <f>-AS65-AR65-AQ65-AP65</f>
        <v>65837.408999999985</v>
      </c>
      <c r="AT88" s="30">
        <f t="shared" ref="AT88" si="622">-AT65-AS65-AR65-AQ65</f>
        <v>67884.21699999999</v>
      </c>
      <c r="AU88" s="30">
        <f>-AU65-AT65-AS65-AR65</f>
        <v>60719.893999999993</v>
      </c>
      <c r="AV88" s="30">
        <f>-AV65-AU65-AT65-AS65</f>
        <v>67990.570999999996</v>
      </c>
      <c r="AW88" s="30">
        <f>-AW65-AV65-AU65-AT65</f>
        <v>57331.557999999997</v>
      </c>
      <c r="AX88" s="30">
        <f t="shared" ref="AX88" si="623">-AX65-AW65-AV65-AU65</f>
        <v>54787.959000000003</v>
      </c>
      <c r="AY88" s="30"/>
      <c r="AZ88" s="30"/>
      <c r="BA88" s="30"/>
    </row>
    <row r="89" spans="1:54" ht="13.5" customHeight="1">
      <c r="B89" s="1" t="s">
        <v>264</v>
      </c>
      <c r="C89" s="30"/>
      <c r="D89" s="30">
        <f t="shared" ref="D89:H89" si="624">+D27</f>
        <v>75807.438000000111</v>
      </c>
      <c r="E89" s="30">
        <f t="shared" si="624"/>
        <v>88097.926000000094</v>
      </c>
      <c r="F89" s="30">
        <f t="shared" si="624"/>
        <v>92049.111000000121</v>
      </c>
      <c r="G89" s="30">
        <f t="shared" si="624"/>
        <v>119000.72500000009</v>
      </c>
      <c r="H89" s="30">
        <f t="shared" si="624"/>
        <v>97450.746000000159</v>
      </c>
      <c r="I89" s="30">
        <f t="shared" ref="I89:J89" si="625">+I27</f>
        <v>175246.22499999998</v>
      </c>
      <c r="J89" s="30">
        <f t="shared" si="625"/>
        <v>123117.32</v>
      </c>
      <c r="K89" s="30">
        <f t="shared" ref="K89:L89" si="626">+K27</f>
        <v>157031.6679999998</v>
      </c>
      <c r="L89" s="30">
        <f t="shared" si="626"/>
        <v>128458.98700000005</v>
      </c>
      <c r="M89" s="30">
        <f t="shared" ref="M89:N89" si="627">+M27</f>
        <v>174511.48700000023</v>
      </c>
      <c r="N89" s="30">
        <f t="shared" si="627"/>
        <v>234644.12499999983</v>
      </c>
      <c r="O89" s="30">
        <f t="shared" ref="O89" si="628">+O27</f>
        <v>270477.41499999969</v>
      </c>
      <c r="P89" s="30">
        <f t="shared" ref="P89" si="629">+P27</f>
        <v>291155.10799999954</v>
      </c>
      <c r="Q89" s="30"/>
      <c r="R89" s="30"/>
      <c r="S89" s="30"/>
      <c r="T89" s="30"/>
      <c r="U89" s="30">
        <f>+U27+T27+S27+R27</f>
        <v>97450.746000000188</v>
      </c>
      <c r="V89" s="30">
        <f t="shared" ref="V89:AX89" si="630">+V27+U27+T27+S27</f>
        <v>101518.52500000018</v>
      </c>
      <c r="W89" s="30">
        <f t="shared" si="630"/>
        <v>107939.04500000019</v>
      </c>
      <c r="X89" s="30">
        <f t="shared" si="630"/>
        <v>122700.48400000016</v>
      </c>
      <c r="Y89" s="30">
        <f t="shared" si="630"/>
        <v>175246.22499999992</v>
      </c>
      <c r="Z89" s="30">
        <f t="shared" si="630"/>
        <v>177583.908</v>
      </c>
      <c r="AA89" s="30">
        <f t="shared" si="630"/>
        <v>163131.72400000005</v>
      </c>
      <c r="AB89" s="30">
        <f t="shared" si="630"/>
        <v>164023.83700000006</v>
      </c>
      <c r="AC89" s="30">
        <f t="shared" si="630"/>
        <v>123117.32000000009</v>
      </c>
      <c r="AD89" s="30">
        <f t="shared" si="630"/>
        <v>117467.48100000006</v>
      </c>
      <c r="AE89" s="30">
        <f t="shared" si="630"/>
        <v>118658.9930000001</v>
      </c>
      <c r="AF89" s="30">
        <f t="shared" si="630"/>
        <v>132259.12000000014</v>
      </c>
      <c r="AG89" s="30">
        <f t="shared" si="630"/>
        <v>157031.66799999977</v>
      </c>
      <c r="AH89" s="30">
        <f t="shared" si="630"/>
        <v>147906.1669999997</v>
      </c>
      <c r="AI89" s="30">
        <f t="shared" si="630"/>
        <v>171284.99799999967</v>
      </c>
      <c r="AJ89" s="30">
        <f t="shared" si="630"/>
        <v>165913.52199999971</v>
      </c>
      <c r="AK89" s="30">
        <f t="shared" si="630"/>
        <v>128458.98699999996</v>
      </c>
      <c r="AL89" s="30">
        <f t="shared" si="630"/>
        <v>139343.05299999999</v>
      </c>
      <c r="AM89" s="30">
        <f t="shared" si="630"/>
        <v>126188.07099999994</v>
      </c>
      <c r="AN89" s="30">
        <f t="shared" si="630"/>
        <v>155203.0589999998</v>
      </c>
      <c r="AO89" s="30">
        <f t="shared" si="630"/>
        <v>174511.48700000031</v>
      </c>
      <c r="AP89" s="30">
        <f t="shared" si="630"/>
        <v>200739.93100000039</v>
      </c>
      <c r="AQ89" s="30">
        <f t="shared" si="630"/>
        <v>213619.8440000003</v>
      </c>
      <c r="AR89" s="30">
        <f t="shared" si="630"/>
        <v>192366.62500000035</v>
      </c>
      <c r="AS89" s="30">
        <f t="shared" si="630"/>
        <v>234644.12499999959</v>
      </c>
      <c r="AT89" s="30">
        <f t="shared" si="630"/>
        <v>242999.2489999996</v>
      </c>
      <c r="AU89" s="30">
        <f t="shared" si="630"/>
        <v>254856.72299999962</v>
      </c>
      <c r="AV89" s="30">
        <f t="shared" si="630"/>
        <v>270139.84599999967</v>
      </c>
      <c r="AW89" s="30">
        <f t="shared" si="630"/>
        <v>270477.41499999992</v>
      </c>
      <c r="AX89" s="30">
        <f t="shared" si="630"/>
        <v>291155.10799999995</v>
      </c>
      <c r="AY89" s="30"/>
      <c r="AZ89" s="30"/>
      <c r="BA89" s="30"/>
    </row>
    <row r="90" spans="1:54" ht="13.5" customHeight="1">
      <c r="B90" s="1" t="s">
        <v>265</v>
      </c>
      <c r="C90" s="30"/>
      <c r="D90" s="30">
        <f t="shared" ref="D90:H90" si="631">-D67</f>
        <v>116490.09599999999</v>
      </c>
      <c r="E90" s="30">
        <f t="shared" si="631"/>
        <v>112399.52800000001</v>
      </c>
      <c r="F90" s="30">
        <f t="shared" si="631"/>
        <v>128147.054</v>
      </c>
      <c r="G90" s="30">
        <f t="shared" si="631"/>
        <v>168758.25899999999</v>
      </c>
      <c r="H90" s="30">
        <f t="shared" si="631"/>
        <v>120803.15700000001</v>
      </c>
      <c r="I90" s="30">
        <f t="shared" ref="I90:J90" si="632">-I67</f>
        <v>110664.35400000001</v>
      </c>
      <c r="J90" s="30">
        <f t="shared" si="632"/>
        <v>85871.387999999992</v>
      </c>
      <c r="K90" s="30">
        <f t="shared" ref="K90:L90" si="633">-K67</f>
        <v>138816.23800000001</v>
      </c>
      <c r="L90" s="30">
        <f t="shared" si="633"/>
        <v>186609.92600000001</v>
      </c>
      <c r="M90" s="30">
        <f t="shared" ref="M90:N90" si="634">-M67</f>
        <v>192565.28999999998</v>
      </c>
      <c r="N90" s="30">
        <f t="shared" si="634"/>
        <v>290319.33499999996</v>
      </c>
      <c r="O90" s="30">
        <f t="shared" ref="O90" si="635">-O67</f>
        <v>277650.75400000002</v>
      </c>
      <c r="P90" s="30">
        <f t="shared" ref="P90" si="636">-P67</f>
        <v>267319.16800000001</v>
      </c>
      <c r="Q90" s="30"/>
      <c r="R90" s="30"/>
      <c r="S90" s="30"/>
      <c r="T90" s="30"/>
      <c r="U90" s="30">
        <f>-U67-T67-S67-R67</f>
        <v>120803.15700000001</v>
      </c>
      <c r="V90" s="30">
        <f t="shared" ref="V90:AX90" si="637">-V67-U67-T67-S67</f>
        <v>118585.149</v>
      </c>
      <c r="W90" s="30">
        <f t="shared" si="637"/>
        <v>120803.15700000001</v>
      </c>
      <c r="X90" s="30">
        <f t="shared" si="637"/>
        <v>114891.07400000001</v>
      </c>
      <c r="Y90" s="30">
        <f t="shared" si="637"/>
        <v>110664.35400000001</v>
      </c>
      <c r="Z90" s="30">
        <f t="shared" si="637"/>
        <v>112628.32800000001</v>
      </c>
      <c r="AA90" s="30">
        <f t="shared" si="637"/>
        <v>106397.10400000001</v>
      </c>
      <c r="AB90" s="30">
        <f t="shared" si="637"/>
        <v>96822.700000000012</v>
      </c>
      <c r="AC90" s="30">
        <f t="shared" si="637"/>
        <v>85871.387999999992</v>
      </c>
      <c r="AD90" s="30">
        <f t="shared" si="637"/>
        <v>69023.12</v>
      </c>
      <c r="AE90" s="30">
        <f t="shared" si="637"/>
        <v>58984.367999999988</v>
      </c>
      <c r="AF90" s="30">
        <f t="shared" si="637"/>
        <v>78626.89899999999</v>
      </c>
      <c r="AG90" s="30">
        <f t="shared" si="637"/>
        <v>138816.23800000001</v>
      </c>
      <c r="AH90" s="30">
        <f t="shared" si="637"/>
        <v>161321.09400000001</v>
      </c>
      <c r="AI90" s="30">
        <f t="shared" si="637"/>
        <v>185525.00099999999</v>
      </c>
      <c r="AJ90" s="30">
        <f t="shared" si="637"/>
        <v>214921.65599999999</v>
      </c>
      <c r="AK90" s="30">
        <f t="shared" si="637"/>
        <v>186609.92600000001</v>
      </c>
      <c r="AL90" s="30">
        <f t="shared" si="637"/>
        <v>201736.82500000001</v>
      </c>
      <c r="AM90" s="30">
        <f t="shared" si="637"/>
        <v>232866.28200000001</v>
      </c>
      <c r="AN90" s="30">
        <f t="shared" si="637"/>
        <v>202398.78800000003</v>
      </c>
      <c r="AO90" s="30">
        <f t="shared" si="637"/>
        <v>192565.28999999998</v>
      </c>
      <c r="AP90" s="30">
        <f t="shared" si="637"/>
        <v>204191.66699999996</v>
      </c>
      <c r="AQ90" s="30">
        <f t="shared" si="637"/>
        <v>220999.11999999997</v>
      </c>
      <c r="AR90" s="30">
        <f t="shared" si="637"/>
        <v>251914.74799999996</v>
      </c>
      <c r="AS90" s="30">
        <f t="shared" si="637"/>
        <v>290319.33499999996</v>
      </c>
      <c r="AT90" s="30">
        <f t="shared" si="637"/>
        <v>291982.27899999998</v>
      </c>
      <c r="AU90" s="30">
        <f t="shared" si="637"/>
        <v>254927.21499999997</v>
      </c>
      <c r="AV90" s="30">
        <f t="shared" si="637"/>
        <v>272360.53099999996</v>
      </c>
      <c r="AW90" s="30">
        <f t="shared" si="637"/>
        <v>277650.75400000002</v>
      </c>
      <c r="AX90" s="30">
        <f t="shared" si="637"/>
        <v>267319.16800000001</v>
      </c>
      <c r="AY90" s="30"/>
      <c r="AZ90" s="30"/>
      <c r="BA90" s="30"/>
    </row>
    <row r="91" spans="1:54" ht="13.5" customHeight="1">
      <c r="B91" s="1" t="s">
        <v>253</v>
      </c>
      <c r="C91" s="30"/>
      <c r="D91" s="30">
        <f t="shared" ref="D91:H91" si="638">+D69</f>
        <v>388120.71600000013</v>
      </c>
      <c r="E91" s="30">
        <f t="shared" si="638"/>
        <v>467625.76999999984</v>
      </c>
      <c r="F91" s="30">
        <f t="shared" si="638"/>
        <v>406528.68799999985</v>
      </c>
      <c r="G91" s="30">
        <f t="shared" si="638"/>
        <v>402561.51799999992</v>
      </c>
      <c r="H91" s="30">
        <f t="shared" si="638"/>
        <v>436001.4219999999</v>
      </c>
      <c r="I91" s="30">
        <f t="shared" ref="I91:J91" si="639">+I69</f>
        <v>494399.06799999985</v>
      </c>
      <c r="J91" s="30">
        <f t="shared" si="639"/>
        <v>539434.88600000017</v>
      </c>
      <c r="K91" s="30">
        <f t="shared" ref="K91:L91" si="640">+K69</f>
        <v>562696.69900000002</v>
      </c>
      <c r="L91" s="30">
        <f t="shared" si="640"/>
        <v>654195.21899999981</v>
      </c>
      <c r="M91" s="30">
        <f t="shared" ref="M91:N91" si="641">+M69</f>
        <v>624108.89600000018</v>
      </c>
      <c r="N91" s="30">
        <f t="shared" si="641"/>
        <v>648914.15899999987</v>
      </c>
      <c r="O91" s="30">
        <f t="shared" ref="O91" si="642">+O69</f>
        <v>792544.5399999998</v>
      </c>
      <c r="P91" s="30">
        <f t="shared" ref="P91" si="643">+P69</f>
        <v>811810.7789999994</v>
      </c>
      <c r="Q91" s="30"/>
      <c r="R91" s="30"/>
      <c r="S91" s="30"/>
      <c r="T91" s="30"/>
      <c r="U91" s="30">
        <f>+U69+T69+S69+R69</f>
        <v>436001.42200000002</v>
      </c>
      <c r="V91" s="30">
        <f t="shared" ref="V91:AI91" si="644">+V69+U69+T69+S69</f>
        <v>437478.51300000004</v>
      </c>
      <c r="W91" s="30">
        <f t="shared" si="644"/>
        <v>223307.14500000011</v>
      </c>
      <c r="X91" s="30">
        <f t="shared" si="644"/>
        <v>478546.63800000004</v>
      </c>
      <c r="Y91" s="30">
        <f t="shared" si="644"/>
        <v>494399.0679999998</v>
      </c>
      <c r="Z91" s="30">
        <f t="shared" si="644"/>
        <v>510316.76499999984</v>
      </c>
      <c r="AA91" s="30">
        <f t="shared" si="644"/>
        <v>496106.63099999982</v>
      </c>
      <c r="AB91" s="30">
        <f t="shared" si="644"/>
        <v>524031.04599999974</v>
      </c>
      <c r="AC91" s="30">
        <f t="shared" si="644"/>
        <v>539434.88600000017</v>
      </c>
      <c r="AD91" s="30">
        <f t="shared" si="644"/>
        <v>528781.90600000019</v>
      </c>
      <c r="AE91" s="30">
        <f t="shared" si="644"/>
        <v>598052.47200000007</v>
      </c>
      <c r="AF91" s="30">
        <f t="shared" si="644"/>
        <v>599643.9304000003</v>
      </c>
      <c r="AG91" s="30">
        <f t="shared" si="644"/>
        <v>562696.69900000002</v>
      </c>
      <c r="AH91" s="30">
        <f t="shared" si="644"/>
        <v>621363.49700000009</v>
      </c>
      <c r="AI91" s="30">
        <f t="shared" si="644"/>
        <v>596081.10400000028</v>
      </c>
      <c r="AJ91" s="30">
        <f>+AJ69+AI69+AH69+AG69</f>
        <v>573602.37760000001</v>
      </c>
      <c r="AK91" s="30">
        <f>+AK69+AJ69+AI69+AH69</f>
        <v>654195.21899999981</v>
      </c>
      <c r="AL91" s="30">
        <f t="shared" ref="AL91:AM91" si="645">+AL69+AK69+AJ69+AI69</f>
        <v>627083.56899999967</v>
      </c>
      <c r="AM91" s="30">
        <f t="shared" si="645"/>
        <v>597713.13099999947</v>
      </c>
      <c r="AN91" s="30">
        <f>+AN69+AM69+AL69+AK69</f>
        <v>646529.88299999991</v>
      </c>
      <c r="AO91" s="30">
        <f>+AO69+AN69+AM69+AL69</f>
        <v>624108.89600000007</v>
      </c>
      <c r="AP91" s="30">
        <f t="shared" ref="AP91:AQ91" si="646">+AP69+AO69+AN69+AM69</f>
        <v>647189.33700000017</v>
      </c>
      <c r="AQ91" s="30">
        <f t="shared" si="646"/>
        <v>661379.52100000018</v>
      </c>
      <c r="AR91" s="30">
        <f>+AR69+AQ69+AP69+AO69</f>
        <v>643804.89299999981</v>
      </c>
      <c r="AS91" s="30">
        <f>+AS69+AR69+AQ69+AP69</f>
        <v>648914.15899999999</v>
      </c>
      <c r="AT91" s="30">
        <f t="shared" ref="AT91:AU91" si="647">+AT69+AS69+AR69+AQ69</f>
        <v>693852.90199999989</v>
      </c>
      <c r="AU91" s="30">
        <f t="shared" si="647"/>
        <v>720669.42399999965</v>
      </c>
      <c r="AV91" s="30">
        <f>+AV69+AU69+AT69+AS69</f>
        <v>734904.70599999989</v>
      </c>
      <c r="AW91" s="30">
        <f>+AW69+AV69+AU69+AT69</f>
        <v>792544.5399999998</v>
      </c>
      <c r="AX91" s="30">
        <f t="shared" ref="AX91" si="648">+AX69+AW69+AV69+AU69</f>
        <v>811810.77899999963</v>
      </c>
      <c r="AY91" s="30"/>
      <c r="AZ91" s="30"/>
      <c r="BA91" s="30"/>
    </row>
    <row r="92" spans="1:54" ht="13.5" customHeight="1">
      <c r="C92" s="30"/>
      <c r="D92" s="30"/>
      <c r="E92" s="30"/>
      <c r="F92" s="30"/>
      <c r="G92" s="30"/>
      <c r="H92" s="30"/>
      <c r="I92" s="30"/>
      <c r="J92" s="30"/>
      <c r="K92" s="30"/>
      <c r="L92" s="30"/>
      <c r="M92" s="30"/>
      <c r="N92" s="30"/>
      <c r="O92" s="30"/>
      <c r="P92" s="30"/>
      <c r="Q92" s="30"/>
      <c r="R92" s="30"/>
      <c r="S92" s="30"/>
      <c r="T92" s="30"/>
      <c r="U92" s="30"/>
      <c r="V92" s="30"/>
      <c r="W92" s="30"/>
      <c r="X92" s="30"/>
      <c r="Y92" s="30"/>
      <c r="Z92" s="30"/>
      <c r="AA92" s="30"/>
      <c r="AB92" s="30"/>
      <c r="AC92" s="30"/>
      <c r="AD92" s="30"/>
      <c r="AE92" s="30"/>
      <c r="AF92" s="30"/>
      <c r="AG92" s="30"/>
      <c r="AH92" s="30"/>
      <c r="AI92" s="30"/>
      <c r="AJ92" s="30"/>
      <c r="AK92" s="30"/>
      <c r="AL92" s="30"/>
      <c r="AM92" s="30"/>
      <c r="AN92" s="30"/>
      <c r="AO92" s="30"/>
      <c r="AP92" s="30"/>
      <c r="AQ92" s="30"/>
      <c r="AR92" s="30"/>
      <c r="AS92" s="30"/>
      <c r="AT92" s="30"/>
      <c r="AU92" s="30"/>
      <c r="AV92" s="30"/>
      <c r="AW92" s="30"/>
      <c r="AX92" s="30"/>
      <c r="AY92" s="30"/>
      <c r="AZ92" s="30"/>
      <c r="BA92" s="30"/>
    </row>
    <row r="93" spans="1:54" ht="13.5" customHeight="1">
      <c r="A93" s="22"/>
      <c r="B93" s="15" t="s">
        <v>266</v>
      </c>
      <c r="C93" s="33">
        <v>41639</v>
      </c>
      <c r="D93" s="33">
        <f>+D83</f>
        <v>42004</v>
      </c>
      <c r="E93" s="33">
        <f>+E83</f>
        <v>42369</v>
      </c>
      <c r="F93" s="33">
        <f>+F83</f>
        <v>42735</v>
      </c>
      <c r="G93" s="60">
        <f>+G83</f>
        <v>43100</v>
      </c>
      <c r="H93" s="60">
        <f t="shared" ref="H93:M93" si="649">H3</f>
        <v>43465</v>
      </c>
      <c r="I93" s="60">
        <f t="shared" si="649"/>
        <v>43830</v>
      </c>
      <c r="J93" s="60">
        <f t="shared" si="649"/>
        <v>44196</v>
      </c>
      <c r="K93" s="60">
        <f t="shared" si="649"/>
        <v>44561</v>
      </c>
      <c r="L93" s="60">
        <f t="shared" si="649"/>
        <v>44926</v>
      </c>
      <c r="M93" s="60">
        <f t="shared" si="649"/>
        <v>45291</v>
      </c>
      <c r="N93" s="60">
        <f t="shared" ref="N93:O93" si="650">N3</f>
        <v>45657</v>
      </c>
      <c r="O93" s="60">
        <f t="shared" si="650"/>
        <v>46022</v>
      </c>
      <c r="P93" s="141">
        <f>+P83</f>
        <v>46111</v>
      </c>
      <c r="Q93" s="267"/>
      <c r="R93" s="60">
        <f t="shared" ref="R93:X93" si="651">R3</f>
        <v>43189</v>
      </c>
      <c r="S93" s="60">
        <f t="shared" si="651"/>
        <v>43281</v>
      </c>
      <c r="T93" s="60">
        <f t="shared" si="651"/>
        <v>43373</v>
      </c>
      <c r="U93" s="60">
        <f t="shared" si="651"/>
        <v>43464</v>
      </c>
      <c r="V93" s="60">
        <f t="shared" si="651"/>
        <v>43554</v>
      </c>
      <c r="W93" s="60">
        <f t="shared" si="651"/>
        <v>43646</v>
      </c>
      <c r="X93" s="60">
        <f t="shared" si="651"/>
        <v>43738</v>
      </c>
      <c r="Y93" s="60">
        <f t="shared" ref="Y93:Z93" si="652">Y3</f>
        <v>43829</v>
      </c>
      <c r="Z93" s="60">
        <f t="shared" si="652"/>
        <v>43920</v>
      </c>
      <c r="AA93" s="60">
        <f t="shared" ref="AA93:AD93" si="653">AA3</f>
        <v>44012</v>
      </c>
      <c r="AB93" s="60">
        <f t="shared" si="653"/>
        <v>44104</v>
      </c>
      <c r="AC93" s="60">
        <f t="shared" si="653"/>
        <v>44195</v>
      </c>
      <c r="AD93" s="60">
        <f t="shared" si="653"/>
        <v>44285</v>
      </c>
      <c r="AE93" s="60">
        <f t="shared" ref="AE93:AH93" si="654">AE3</f>
        <v>44377</v>
      </c>
      <c r="AF93" s="60">
        <f t="shared" si="654"/>
        <v>44469</v>
      </c>
      <c r="AG93" s="60">
        <f t="shared" si="654"/>
        <v>44560</v>
      </c>
      <c r="AH93" s="60">
        <f t="shared" si="654"/>
        <v>44650</v>
      </c>
      <c r="AI93" s="60">
        <f t="shared" ref="AI93:AL93" si="655">AI3</f>
        <v>44742</v>
      </c>
      <c r="AJ93" s="60">
        <f t="shared" si="655"/>
        <v>44834</v>
      </c>
      <c r="AK93" s="60">
        <f t="shared" si="655"/>
        <v>44925</v>
      </c>
      <c r="AL93" s="60">
        <f t="shared" si="655"/>
        <v>45015</v>
      </c>
      <c r="AM93" s="60">
        <f t="shared" ref="AM93:AP93" si="656">AM3</f>
        <v>45107</v>
      </c>
      <c r="AN93" s="60">
        <f t="shared" si="656"/>
        <v>45199</v>
      </c>
      <c r="AO93" s="60">
        <f t="shared" si="656"/>
        <v>45290</v>
      </c>
      <c r="AP93" s="60">
        <f t="shared" si="656"/>
        <v>45381</v>
      </c>
      <c r="AQ93" s="60">
        <f t="shared" ref="AQ93:AT93" si="657">AQ3</f>
        <v>45473</v>
      </c>
      <c r="AR93" s="60">
        <f t="shared" si="657"/>
        <v>45565</v>
      </c>
      <c r="AS93" s="60">
        <f t="shared" si="657"/>
        <v>45656</v>
      </c>
      <c r="AT93" s="60">
        <f t="shared" si="657"/>
        <v>45746</v>
      </c>
      <c r="AU93" s="60">
        <f t="shared" ref="AU93:AX93" si="658">AU3</f>
        <v>45838</v>
      </c>
      <c r="AV93" s="60">
        <f t="shared" si="658"/>
        <v>45930</v>
      </c>
      <c r="AW93" s="60">
        <f t="shared" si="658"/>
        <v>46021</v>
      </c>
      <c r="AX93" s="60">
        <f t="shared" si="658"/>
        <v>46111</v>
      </c>
      <c r="AY93" s="268"/>
      <c r="AZ93" s="268"/>
      <c r="BA93" s="268"/>
    </row>
    <row r="94" spans="1:54" ht="13.5" customHeight="1">
      <c r="C94" s="4"/>
      <c r="D94" s="4"/>
      <c r="E94" s="69"/>
      <c r="F94" s="69"/>
      <c r="G94" s="69"/>
      <c r="H94" s="69"/>
      <c r="I94" s="69"/>
      <c r="J94" s="69"/>
      <c r="K94" s="69"/>
      <c r="L94" s="69"/>
      <c r="M94" s="69"/>
      <c r="N94" s="69"/>
      <c r="AY94" s="69"/>
      <c r="AZ94" s="69"/>
      <c r="BA94" s="69"/>
    </row>
    <row r="95" spans="1:54" s="5" customFormat="1" ht="13.5" customHeight="1">
      <c r="B95" s="1" t="s">
        <v>267</v>
      </c>
      <c r="C95" s="146"/>
      <c r="D95" s="146">
        <v>713075</v>
      </c>
      <c r="E95" s="146">
        <v>640530</v>
      </c>
      <c r="F95" s="146">
        <v>666151</v>
      </c>
      <c r="G95" s="146">
        <v>659750</v>
      </c>
      <c r="H95" s="146">
        <v>710771</v>
      </c>
      <c r="I95" s="146">
        <v>722718.86300000001</v>
      </c>
      <c r="J95" s="146">
        <v>605576.54500000004</v>
      </c>
      <c r="K95" s="146">
        <v>716379.12699999998</v>
      </c>
      <c r="L95" s="146">
        <v>798221.25899999996</v>
      </c>
      <c r="M95" s="146">
        <v>872388.81099999999</v>
      </c>
      <c r="N95" s="146">
        <v>1097773.5719999999</v>
      </c>
      <c r="O95" s="146">
        <v>1179385.2590000001</v>
      </c>
      <c r="P95" s="30">
        <f>AX95</f>
        <v>1235116.078</v>
      </c>
      <c r="Q95" s="30"/>
      <c r="R95" s="4">
        <v>641679.6</v>
      </c>
      <c r="S95" s="4">
        <v>611617.70600000001</v>
      </c>
      <c r="T95" s="4">
        <v>633582</v>
      </c>
      <c r="U95" s="30">
        <f>H95</f>
        <v>710771</v>
      </c>
      <c r="V95" s="4">
        <v>701953.29099999997</v>
      </c>
      <c r="W95" s="4">
        <v>714339.94299999997</v>
      </c>
      <c r="X95" s="4">
        <v>690778</v>
      </c>
      <c r="Y95" s="30">
        <f>I95</f>
        <v>722718.86300000001</v>
      </c>
      <c r="Z95" s="4">
        <v>711803.64099999995</v>
      </c>
      <c r="AA95" s="4">
        <v>665078.62199999997</v>
      </c>
      <c r="AB95" s="4">
        <v>630949.05799999996</v>
      </c>
      <c r="AC95" s="30">
        <f>J95</f>
        <v>605576.54500000004</v>
      </c>
      <c r="AD95" s="4">
        <v>596843.05500000005</v>
      </c>
      <c r="AE95" s="146">
        <v>628712.99699999997</v>
      </c>
      <c r="AF95" s="4">
        <v>668576.50699999998</v>
      </c>
      <c r="AG95" s="30">
        <f>K95</f>
        <v>716379.12699999998</v>
      </c>
      <c r="AH95" s="4">
        <v>726834.11699999997</v>
      </c>
      <c r="AI95" s="146">
        <v>802164.07900000003</v>
      </c>
      <c r="AJ95" s="4">
        <v>831714.22199999995</v>
      </c>
      <c r="AK95" s="30">
        <f>L95</f>
        <v>798221.25899999996</v>
      </c>
      <c r="AL95" s="4">
        <v>780620.12600000005</v>
      </c>
      <c r="AM95" s="146">
        <v>818717.55599999998</v>
      </c>
      <c r="AN95" s="4">
        <v>886021.28899999999</v>
      </c>
      <c r="AO95" s="30">
        <f>M95</f>
        <v>872388.81099999999</v>
      </c>
      <c r="AP95" s="4">
        <v>995415.06400000001</v>
      </c>
      <c r="AQ95" s="146">
        <v>1000739.187</v>
      </c>
      <c r="AR95" s="146">
        <v>1023163.348</v>
      </c>
      <c r="AS95" s="30">
        <f>N95</f>
        <v>1097773.5719999999</v>
      </c>
      <c r="AT95" s="4">
        <v>1096783.473</v>
      </c>
      <c r="AU95" s="146">
        <v>1104347.8999999999</v>
      </c>
      <c r="AV95" s="146">
        <v>1183046.5819999999</v>
      </c>
      <c r="AW95" s="30">
        <f>O95</f>
        <v>1179385.2590000001</v>
      </c>
      <c r="AX95" s="4">
        <v>1235116.078</v>
      </c>
      <c r="AY95" s="146"/>
      <c r="AZ95" s="146"/>
      <c r="BA95" s="146"/>
      <c r="BB95" s="7"/>
    </row>
    <row r="96" spans="1:54" s="5" customFormat="1" ht="13.5" customHeight="1">
      <c r="B96" s="6" t="s">
        <v>268</v>
      </c>
      <c r="C96" s="146">
        <v>125853.99099999999</v>
      </c>
      <c r="D96" s="146">
        <v>149728</v>
      </c>
      <c r="E96" s="146">
        <v>133333</v>
      </c>
      <c r="F96" s="146">
        <v>144709</v>
      </c>
      <c r="G96" s="146">
        <v>131363</v>
      </c>
      <c r="H96" s="146">
        <v>151320</v>
      </c>
      <c r="I96" s="146">
        <v>147641.22399999999</v>
      </c>
      <c r="J96" s="146">
        <v>127972.65</v>
      </c>
      <c r="K96" s="146">
        <v>191350.20600000001</v>
      </c>
      <c r="L96" s="146">
        <v>245886.65599999999</v>
      </c>
      <c r="M96" s="146">
        <v>233053.16</v>
      </c>
      <c r="N96" s="146">
        <v>299970.90899999999</v>
      </c>
      <c r="O96" s="146">
        <v>304550.609</v>
      </c>
      <c r="P96" s="30">
        <f t="shared" ref="P96:P98" si="659">AX96</f>
        <v>334274.74699999997</v>
      </c>
      <c r="Q96" s="30"/>
      <c r="R96" s="4">
        <v>143521.12700000001</v>
      </c>
      <c r="S96" s="4">
        <v>138115.00700000001</v>
      </c>
      <c r="T96" s="4">
        <v>140024</v>
      </c>
      <c r="U96" s="30">
        <f>H96</f>
        <v>151320</v>
      </c>
      <c r="V96" s="4">
        <v>150466.62700000001</v>
      </c>
      <c r="W96" s="4">
        <v>155701.481</v>
      </c>
      <c r="X96" s="4">
        <v>151202</v>
      </c>
      <c r="Y96" s="30">
        <f>I96</f>
        <v>147641.22399999999</v>
      </c>
      <c r="Z96" s="4">
        <v>149603.42199999999</v>
      </c>
      <c r="AA96" s="4">
        <v>132855.842</v>
      </c>
      <c r="AB96" s="4">
        <v>130014.598</v>
      </c>
      <c r="AC96" s="30">
        <f>J96</f>
        <v>127972.65</v>
      </c>
      <c r="AD96" s="4">
        <v>137599.78</v>
      </c>
      <c r="AE96" s="146">
        <v>151820.82699999999</v>
      </c>
      <c r="AF96" s="4">
        <v>160812.978</v>
      </c>
      <c r="AG96" s="30">
        <f>K96</f>
        <v>191350.20600000001</v>
      </c>
      <c r="AH96" s="4">
        <v>205063.24799999999</v>
      </c>
      <c r="AI96" s="146">
        <v>231015.041</v>
      </c>
      <c r="AJ96" s="4">
        <v>242236.97200000001</v>
      </c>
      <c r="AK96" s="30">
        <f>L96</f>
        <v>245886.65599999999</v>
      </c>
      <c r="AL96" s="4">
        <v>243867.85699999999</v>
      </c>
      <c r="AM96" s="146">
        <v>245473.72399999999</v>
      </c>
      <c r="AN96" s="4">
        <v>262641.98</v>
      </c>
      <c r="AO96" s="30">
        <f>M96</f>
        <v>233053.16</v>
      </c>
      <c r="AP96" s="4">
        <v>257453.25399999999</v>
      </c>
      <c r="AQ96" s="146">
        <v>260642.109</v>
      </c>
      <c r="AR96" s="146">
        <v>274260.60499999998</v>
      </c>
      <c r="AS96" s="30">
        <f t="shared" ref="AS96:AS98" si="660">N96</f>
        <v>299970.90899999999</v>
      </c>
      <c r="AT96" s="4">
        <v>308803.67200000002</v>
      </c>
      <c r="AU96" s="146">
        <v>309594.12800000003</v>
      </c>
      <c r="AV96" s="146">
        <v>325785.462</v>
      </c>
      <c r="AW96" s="30">
        <f t="shared" ref="AW96:AW98" si="661">O96</f>
        <v>304550.609</v>
      </c>
      <c r="AX96" s="4">
        <v>334274.74699999997</v>
      </c>
      <c r="AY96" s="146"/>
      <c r="AZ96" s="146"/>
      <c r="BA96" s="146"/>
      <c r="BB96" s="7"/>
    </row>
    <row r="97" spans="2:61" s="5" customFormat="1" ht="13.5" customHeight="1">
      <c r="B97" s="6" t="s">
        <v>269</v>
      </c>
      <c r="C97" s="146">
        <v>195434.07500000001</v>
      </c>
      <c r="D97" s="146">
        <v>198110</v>
      </c>
      <c r="E97" s="146">
        <v>176386</v>
      </c>
      <c r="F97" s="146">
        <v>190524</v>
      </c>
      <c r="G97" s="146">
        <v>191285</v>
      </c>
      <c r="H97" s="146">
        <v>174113</v>
      </c>
      <c r="I97" s="146">
        <v>191077.58799999999</v>
      </c>
      <c r="J97" s="146">
        <v>194021.253</v>
      </c>
      <c r="K97" s="146">
        <v>265490.62599999999</v>
      </c>
      <c r="L97" s="146">
        <v>279770.28600000002</v>
      </c>
      <c r="M97" s="146">
        <v>298892.16399999999</v>
      </c>
      <c r="N97" s="146">
        <v>332831.08799999999</v>
      </c>
      <c r="O97" s="146">
        <v>339778.49800000002</v>
      </c>
      <c r="P97" s="30">
        <f t="shared" si="659"/>
        <v>292098.424</v>
      </c>
      <c r="Q97" s="30"/>
      <c r="R97" s="4">
        <v>174881.057</v>
      </c>
      <c r="S97" s="4">
        <v>134414.74100000001</v>
      </c>
      <c r="T97" s="4">
        <v>140024</v>
      </c>
      <c r="U97" s="30">
        <f>H97</f>
        <v>174113</v>
      </c>
      <c r="V97" s="4">
        <v>132009.67300000001</v>
      </c>
      <c r="W97" s="4">
        <v>122174.667</v>
      </c>
      <c r="X97" s="4">
        <v>128080.99999999999</v>
      </c>
      <c r="Y97" s="30">
        <f>I97</f>
        <v>191077.58799999999</v>
      </c>
      <c r="Z97" s="4">
        <v>156446.70199999999</v>
      </c>
      <c r="AA97" s="4">
        <v>127266.796</v>
      </c>
      <c r="AB97" s="4">
        <v>143093.40299999999</v>
      </c>
      <c r="AC97" s="30">
        <f>J97</f>
        <v>194021.253</v>
      </c>
      <c r="AD97" s="4">
        <v>177000.34400000001</v>
      </c>
      <c r="AE97" s="146">
        <v>160529.818</v>
      </c>
      <c r="AF97" s="4">
        <v>188989.09</v>
      </c>
      <c r="AG97" s="30">
        <f>K97</f>
        <v>265490.62599999999</v>
      </c>
      <c r="AH97" s="4">
        <v>259856.11300000001</v>
      </c>
      <c r="AI97" s="146">
        <v>237364.959</v>
      </c>
      <c r="AJ97" s="4">
        <v>242704.383</v>
      </c>
      <c r="AK97" s="30">
        <f>L97</f>
        <v>279770.28600000002</v>
      </c>
      <c r="AL97" s="4">
        <v>223476.66200000001</v>
      </c>
      <c r="AM97" s="146">
        <v>203815.32800000001</v>
      </c>
      <c r="AN97" s="4">
        <v>248848.12400000001</v>
      </c>
      <c r="AO97" s="30">
        <f>M97</f>
        <v>298892.16399999999</v>
      </c>
      <c r="AP97" s="4">
        <v>265777.71600000001</v>
      </c>
      <c r="AQ97" s="146">
        <v>220675.00899999999</v>
      </c>
      <c r="AR97" s="146">
        <v>251802.033</v>
      </c>
      <c r="AS97" s="30">
        <f t="shared" si="660"/>
        <v>332831.08799999999</v>
      </c>
      <c r="AT97" s="4">
        <v>272194.55099999998</v>
      </c>
      <c r="AU97" s="146">
        <v>239028.92</v>
      </c>
      <c r="AV97" s="146">
        <v>269703.83399999997</v>
      </c>
      <c r="AW97" s="30">
        <f t="shared" si="661"/>
        <v>339778.49800000002</v>
      </c>
      <c r="AX97" s="4">
        <v>292098.424</v>
      </c>
      <c r="AY97" s="146"/>
      <c r="AZ97" s="146"/>
      <c r="BA97" s="146"/>
      <c r="BB97" s="7"/>
    </row>
    <row r="98" spans="2:61" s="5" customFormat="1" ht="13.5" customHeight="1">
      <c r="B98" s="6" t="s">
        <v>270</v>
      </c>
      <c r="C98" s="146">
        <v>210446.29800000001</v>
      </c>
      <c r="D98" s="146">
        <v>228179</v>
      </c>
      <c r="E98" s="146">
        <v>212526</v>
      </c>
      <c r="F98" s="146">
        <v>242836</v>
      </c>
      <c r="G98" s="146">
        <v>257519</v>
      </c>
      <c r="H98" s="146">
        <v>238110</v>
      </c>
      <c r="I98" s="146">
        <v>243700.55300000001</v>
      </c>
      <c r="J98" s="146">
        <v>230445.80900000001</v>
      </c>
      <c r="K98" s="146">
        <v>327409.20699999999</v>
      </c>
      <c r="L98" s="146">
        <v>384801.63</v>
      </c>
      <c r="M98" s="146">
        <v>428911.984</v>
      </c>
      <c r="N98" s="146">
        <v>457074.64299999998</v>
      </c>
      <c r="O98" s="146">
        <v>480396.027</v>
      </c>
      <c r="P98" s="30">
        <f t="shared" si="659"/>
        <v>388849.53899999999</v>
      </c>
      <c r="Q98" s="30"/>
      <c r="R98" s="4">
        <v>222362.72099999999</v>
      </c>
      <c r="S98" s="4">
        <v>180931.05499999999</v>
      </c>
      <c r="T98" s="4">
        <v>176261</v>
      </c>
      <c r="U98" s="30">
        <f>H98</f>
        <v>238110</v>
      </c>
      <c r="V98" s="4">
        <v>197842.08799999999</v>
      </c>
      <c r="W98" s="4">
        <v>173269.06299999999</v>
      </c>
      <c r="X98" s="4">
        <v>173194</v>
      </c>
      <c r="Y98" s="30">
        <f>I98</f>
        <v>243700.55300000001</v>
      </c>
      <c r="Z98" s="4">
        <v>202081.73699999999</v>
      </c>
      <c r="AA98" s="4">
        <v>174134.864</v>
      </c>
      <c r="AB98" s="4">
        <v>171357.00099999999</v>
      </c>
      <c r="AC98" s="30">
        <f>J98</f>
        <v>230445.80900000001</v>
      </c>
      <c r="AD98" s="4">
        <v>206054.00700000001</v>
      </c>
      <c r="AE98" s="146">
        <v>214627.546</v>
      </c>
      <c r="AF98" s="4">
        <v>263564.59600000002</v>
      </c>
      <c r="AG98" s="30">
        <f>K98</f>
        <v>327409.20699999999</v>
      </c>
      <c r="AH98" s="4">
        <v>314464.51699999999</v>
      </c>
      <c r="AI98" s="146">
        <v>299436.29100000003</v>
      </c>
      <c r="AJ98" s="4">
        <v>335372.70500000002</v>
      </c>
      <c r="AK98" s="30">
        <f>L98</f>
        <v>384801.63</v>
      </c>
      <c r="AL98" s="4">
        <v>308312.46100000001</v>
      </c>
      <c r="AM98" s="146">
        <v>271005.09000000003</v>
      </c>
      <c r="AN98" s="4">
        <v>357648.54499999998</v>
      </c>
      <c r="AO98" s="30">
        <f>M98</f>
        <v>428911.984</v>
      </c>
      <c r="AP98" s="4">
        <v>373882.45199999999</v>
      </c>
      <c r="AQ98" s="146">
        <v>343123.93699999998</v>
      </c>
      <c r="AR98" s="146">
        <v>375290.935</v>
      </c>
      <c r="AS98" s="30">
        <f t="shared" si="660"/>
        <v>457074.64299999998</v>
      </c>
      <c r="AT98" s="4">
        <v>384758.77</v>
      </c>
      <c r="AU98" s="146">
        <v>350227.29499999998</v>
      </c>
      <c r="AV98" s="146">
        <v>409901.90600000002</v>
      </c>
      <c r="AW98" s="30">
        <f t="shared" si="661"/>
        <v>480396.027</v>
      </c>
      <c r="AX98" s="4">
        <v>388849.53899999999</v>
      </c>
      <c r="AY98" s="146"/>
      <c r="AZ98" s="146"/>
      <c r="BA98" s="146"/>
      <c r="BB98" s="7"/>
    </row>
    <row r="99" spans="2:61" s="5" customFormat="1" ht="13.5" customHeight="1">
      <c r="B99" s="5" t="s">
        <v>271</v>
      </c>
      <c r="C99" s="57">
        <f t="shared" ref="C99:H99" si="662">C96+C97-C98</f>
        <v>110841.76799999998</v>
      </c>
      <c r="D99" s="57">
        <f t="shared" si="662"/>
        <v>119659</v>
      </c>
      <c r="E99" s="57">
        <f t="shared" si="662"/>
        <v>97193</v>
      </c>
      <c r="F99" s="57">
        <f t="shared" si="662"/>
        <v>92397</v>
      </c>
      <c r="G99" s="57">
        <f t="shared" si="662"/>
        <v>65129</v>
      </c>
      <c r="H99" s="57">
        <f t="shared" si="662"/>
        <v>87323</v>
      </c>
      <c r="I99" s="57">
        <f t="shared" ref="I99" si="663">I96+I97-I98</f>
        <v>95018.258999999962</v>
      </c>
      <c r="J99" s="57">
        <f t="shared" ref="J99:P99" si="664">J96+J97-J98</f>
        <v>91548.093999999983</v>
      </c>
      <c r="K99" s="57">
        <f t="shared" si="664"/>
        <v>129431.625</v>
      </c>
      <c r="L99" s="57">
        <f t="shared" si="664"/>
        <v>140855.31200000003</v>
      </c>
      <c r="M99" s="57">
        <f t="shared" si="664"/>
        <v>103033.34000000003</v>
      </c>
      <c r="N99" s="57">
        <f t="shared" si="664"/>
        <v>175727.35399999999</v>
      </c>
      <c r="O99" s="57">
        <f t="shared" ref="O99" si="665">O96+O97-O98</f>
        <v>163933.08000000007</v>
      </c>
      <c r="P99" s="57">
        <f t="shared" si="664"/>
        <v>237523.63199999998</v>
      </c>
      <c r="Q99" s="57"/>
      <c r="R99" s="57">
        <f t="shared" ref="R99:W99" si="666">R96+R97-R98</f>
        <v>96039.463000000018</v>
      </c>
      <c r="S99" s="57">
        <f t="shared" si="666"/>
        <v>91598.693000000028</v>
      </c>
      <c r="T99" s="57">
        <f t="shared" si="666"/>
        <v>103787</v>
      </c>
      <c r="U99" s="57">
        <f t="shared" si="666"/>
        <v>87323</v>
      </c>
      <c r="V99" s="57">
        <f t="shared" si="666"/>
        <v>84634.212000000058</v>
      </c>
      <c r="W99" s="57">
        <f t="shared" si="666"/>
        <v>104607.08499999999</v>
      </c>
      <c r="X99" s="57">
        <f>X96+X97-X98</f>
        <v>106089</v>
      </c>
      <c r="Y99" s="57">
        <f t="shared" ref="Y99:Z99" si="667">Y96+Y97-Y98</f>
        <v>95018.258999999962</v>
      </c>
      <c r="Z99" s="57">
        <f t="shared" si="667"/>
        <v>103968.38699999996</v>
      </c>
      <c r="AA99" s="57">
        <f t="shared" ref="AA99" si="668">AA96+AA97-AA98</f>
        <v>85987.774000000005</v>
      </c>
      <c r="AB99" s="57">
        <f>AB96+AB97-AB98</f>
        <v>101751</v>
      </c>
      <c r="AC99" s="57">
        <f t="shared" ref="AC99:AD99" si="669">AC96+AC97-AC98</f>
        <v>91548.093999999983</v>
      </c>
      <c r="AD99" s="57">
        <f t="shared" si="669"/>
        <v>108546.117</v>
      </c>
      <c r="AE99" s="57">
        <f>AE96+AE97-AE98</f>
        <v>97723.099000000017</v>
      </c>
      <c r="AF99" s="57">
        <f>AF96+AF97-AF98</f>
        <v>86237.471999999951</v>
      </c>
      <c r="AG99" s="57">
        <f t="shared" ref="AG99:AH99" si="670">AG96+AG97-AG98</f>
        <v>129431.625</v>
      </c>
      <c r="AH99" s="57">
        <f t="shared" si="670"/>
        <v>150454.84400000004</v>
      </c>
      <c r="AI99" s="57">
        <f>AI96+AI97-AI98</f>
        <v>168943.70899999997</v>
      </c>
      <c r="AJ99" s="57">
        <f>AJ96+AJ97-AJ98</f>
        <v>149568.64999999997</v>
      </c>
      <c r="AK99" s="57">
        <f>AK96+AK97-AK98</f>
        <v>140855.31200000003</v>
      </c>
      <c r="AL99" s="57">
        <f t="shared" ref="AL99" si="671">AL96+AL97-AL98</f>
        <v>159032.05799999996</v>
      </c>
      <c r="AM99" s="57">
        <f>AM96+AM97-AM98</f>
        <v>178283.962</v>
      </c>
      <c r="AN99" s="57">
        <f>AN96+AN97-AN98</f>
        <v>153841.55900000001</v>
      </c>
      <c r="AO99" s="57">
        <f>AO96+AO97-AO98</f>
        <v>103033.34000000003</v>
      </c>
      <c r="AP99" s="57">
        <f t="shared" ref="AP99" si="672">AP96+AP97-AP98</f>
        <v>149348.51799999998</v>
      </c>
      <c r="AQ99" s="57">
        <f>AQ96+AQ97-AQ98</f>
        <v>138193.18100000004</v>
      </c>
      <c r="AR99" s="57">
        <f>AR96+AR97-AR98</f>
        <v>150771.70300000004</v>
      </c>
      <c r="AS99" s="57">
        <f>AS96+AS97-AS98</f>
        <v>175727.35399999999</v>
      </c>
      <c r="AT99" s="57">
        <f t="shared" ref="AT99" si="673">AT96+AT97-AT98</f>
        <v>196239.45299999998</v>
      </c>
      <c r="AU99" s="57">
        <f>AU96+AU97-AU98</f>
        <v>198395.75300000008</v>
      </c>
      <c r="AV99" s="57">
        <f>AV96+AV97-AV98</f>
        <v>185587.38999999996</v>
      </c>
      <c r="AW99" s="57">
        <f>AW96+AW97-AW98</f>
        <v>163933.08000000007</v>
      </c>
      <c r="AX99" s="57">
        <f t="shared" ref="AX99" si="674">AX96+AX97-AX98</f>
        <v>237523.63199999998</v>
      </c>
      <c r="AY99" s="57"/>
      <c r="AZ99" s="57"/>
      <c r="BA99" s="57"/>
      <c r="BB99" s="7"/>
    </row>
    <row r="100" spans="2:61" s="34" customFormat="1" ht="13.5" customHeight="1">
      <c r="B100" s="18" t="s">
        <v>272</v>
      </c>
      <c r="C100" s="32"/>
      <c r="D100" s="32">
        <f t="shared" ref="D100:H100" si="675">+D99/D84</f>
        <v>6.6580796900421776E-2</v>
      </c>
      <c r="E100" s="32">
        <f t="shared" si="675"/>
        <v>5.1770159458717338E-2</v>
      </c>
      <c r="F100" s="32">
        <f t="shared" si="675"/>
        <v>5.1982624277443379E-2</v>
      </c>
      <c r="G100" s="32">
        <f t="shared" si="675"/>
        <v>3.5226217303127354E-2</v>
      </c>
      <c r="H100" s="32">
        <f t="shared" si="675"/>
        <v>5.219808435798029E-2</v>
      </c>
      <c r="I100" s="32">
        <f t="shared" ref="I100:J100" si="676">+I99/I84</f>
        <v>5.3410296571333095E-2</v>
      </c>
      <c r="J100" s="32">
        <f t="shared" si="676"/>
        <v>5.3906321288527542E-2</v>
      </c>
      <c r="K100" s="32">
        <f t="shared" ref="K100:L100" si="677">+K99/K84</f>
        <v>5.8388470223571076E-2</v>
      </c>
      <c r="L100" s="32">
        <f t="shared" si="677"/>
        <v>5.3015340207168207E-2</v>
      </c>
      <c r="M100" s="32">
        <f t="shared" ref="M100:N100" si="678">+M99/M84</f>
        <v>3.9349175845683086E-2</v>
      </c>
      <c r="N100" s="32">
        <f t="shared" si="678"/>
        <v>5.4502064127341196E-2</v>
      </c>
      <c r="O100" s="32">
        <f t="shared" ref="O100" si="679">+O99/O84</f>
        <v>4.9010799723098304E-2</v>
      </c>
      <c r="P100" s="32">
        <f t="shared" ref="P100" si="680">+P99/P84</f>
        <v>7.0254143034754066E-2</v>
      </c>
      <c r="Q100" s="137"/>
      <c r="R100" s="32"/>
      <c r="S100" s="32"/>
      <c r="T100" s="32"/>
      <c r="U100" s="32">
        <f t="shared" ref="U100:AA100" si="681">+U99/U84</f>
        <v>5.219808435798029E-2</v>
      </c>
      <c r="V100" s="32">
        <f t="shared" si="681"/>
        <v>5.1595305801899888E-2</v>
      </c>
      <c r="W100" s="32">
        <f t="shared" si="681"/>
        <v>6.314641126234305E-2</v>
      </c>
      <c r="X100" s="32">
        <f t="shared" si="681"/>
        <v>6.1755367947355311E-2</v>
      </c>
      <c r="Y100" s="32">
        <f t="shared" si="681"/>
        <v>5.3410296571333095E-2</v>
      </c>
      <c r="Z100" s="32">
        <f t="shared" si="681"/>
        <v>5.661603882497062E-2</v>
      </c>
      <c r="AA100" s="32">
        <f t="shared" si="681"/>
        <v>4.8609166593614417E-2</v>
      </c>
      <c r="AB100" s="32">
        <f t="shared" ref="AB100:AE100" si="682">+AB99/AB84</f>
        <v>5.7924175438936382E-2</v>
      </c>
      <c r="AC100" s="32">
        <f t="shared" si="682"/>
        <v>5.3906321288527542E-2</v>
      </c>
      <c r="AD100" s="32">
        <f t="shared" si="682"/>
        <v>6.375038640106738E-2</v>
      </c>
      <c r="AE100" s="32">
        <f t="shared" si="682"/>
        <v>5.3343070831585147E-2</v>
      </c>
      <c r="AF100" s="32">
        <f t="shared" ref="AF100:AI100" si="683">+AF99/AF84</f>
        <v>4.3643725125690744E-2</v>
      </c>
      <c r="AG100" s="32">
        <f t="shared" si="683"/>
        <v>5.838847022357109E-2</v>
      </c>
      <c r="AH100" s="32">
        <f t="shared" si="683"/>
        <v>6.4518814141397041E-2</v>
      </c>
      <c r="AI100" s="32">
        <f t="shared" si="683"/>
        <v>6.8065748975748491E-2</v>
      </c>
      <c r="AJ100" s="32">
        <f t="shared" ref="AJ100:AM100" si="684">+AJ99/AJ84</f>
        <v>5.7580844763159111E-2</v>
      </c>
      <c r="AK100" s="32">
        <f t="shared" si="684"/>
        <v>5.3015340207168207E-2</v>
      </c>
      <c r="AL100" s="32">
        <f t="shared" si="684"/>
        <v>5.8157501788885006E-2</v>
      </c>
      <c r="AM100" s="32">
        <f t="shared" si="684"/>
        <v>6.4660809356140089E-2</v>
      </c>
      <c r="AN100" s="32">
        <f t="shared" ref="AN100:AQ100" si="685">+AN99/AN84</f>
        <v>5.5457333552714906E-2</v>
      </c>
      <c r="AO100" s="32">
        <f t="shared" si="685"/>
        <v>3.9349175845683079E-2</v>
      </c>
      <c r="AP100" s="32">
        <f t="shared" si="685"/>
        <v>5.4882953438260933E-2</v>
      </c>
      <c r="AQ100" s="32">
        <f t="shared" si="685"/>
        <v>4.9727960527886327E-2</v>
      </c>
      <c r="AR100" s="32">
        <f t="shared" ref="AR100:AU100" si="686">+AR99/AR84</f>
        <v>5.3173698226086745E-2</v>
      </c>
      <c r="AS100" s="32">
        <f t="shared" si="686"/>
        <v>5.4502064127341196E-2</v>
      </c>
      <c r="AT100" s="32">
        <f t="shared" si="686"/>
        <v>5.9326730153120052E-2</v>
      </c>
      <c r="AU100" s="32">
        <f t="shared" si="686"/>
        <v>5.8805955386310664E-2</v>
      </c>
      <c r="AV100" s="32">
        <f t="shared" ref="AV100:AX100" si="687">+AV99/AV84</f>
        <v>5.3835713216580899E-2</v>
      </c>
      <c r="AW100" s="32">
        <f t="shared" si="687"/>
        <v>4.9010799723098304E-2</v>
      </c>
      <c r="AX100" s="32">
        <f t="shared" si="687"/>
        <v>7.0254143034754066E-2</v>
      </c>
      <c r="AY100" s="137"/>
      <c r="AZ100" s="137"/>
      <c r="BA100" s="137"/>
      <c r="BB100" s="7"/>
    </row>
    <row r="101" spans="2:61" s="34" customFormat="1" ht="13.5" customHeight="1">
      <c r="B101" s="276"/>
      <c r="C101" s="137"/>
      <c r="D101" s="137"/>
      <c r="E101" s="137"/>
      <c r="F101" s="137"/>
      <c r="G101" s="137"/>
      <c r="H101" s="137"/>
      <c r="I101" s="137"/>
      <c r="J101" s="137"/>
      <c r="K101" s="137"/>
      <c r="L101" s="137"/>
      <c r="M101" s="137"/>
      <c r="N101" s="137"/>
      <c r="O101" s="137"/>
      <c r="P101" s="137"/>
      <c r="Q101" s="137"/>
      <c r="R101" s="137"/>
      <c r="S101" s="137"/>
      <c r="T101" s="137"/>
      <c r="U101" s="137"/>
      <c r="V101" s="137"/>
      <c r="W101" s="137"/>
      <c r="X101" s="137"/>
      <c r="Y101" s="137"/>
      <c r="Z101" s="137"/>
      <c r="AA101" s="137"/>
      <c r="AB101" s="137"/>
      <c r="AC101" s="137"/>
      <c r="AD101" s="137"/>
      <c r="AE101" s="137"/>
      <c r="AF101" s="137"/>
      <c r="AG101" s="137"/>
      <c r="AH101" s="137"/>
      <c r="AI101" s="137"/>
      <c r="AJ101" s="137"/>
      <c r="AK101" s="137"/>
      <c r="AL101" s="137"/>
      <c r="AM101" s="137"/>
      <c r="AN101" s="137"/>
      <c r="AO101" s="137"/>
      <c r="AP101" s="137"/>
      <c r="AQ101" s="137"/>
      <c r="AR101" s="137"/>
      <c r="AS101" s="137"/>
      <c r="AT101" s="137"/>
      <c r="AU101" s="137"/>
      <c r="AV101" s="137"/>
      <c r="AW101" s="137"/>
      <c r="AX101" s="137"/>
      <c r="AY101" s="137"/>
      <c r="AZ101" s="137"/>
      <c r="BA101" s="137"/>
      <c r="BB101" s="7"/>
    </row>
    <row r="102" spans="2:61" s="34" customFormat="1" ht="13.5" customHeight="1">
      <c r="B102" s="276" t="s">
        <v>273</v>
      </c>
      <c r="C102" s="137"/>
      <c r="D102" s="137"/>
      <c r="E102" s="137"/>
      <c r="F102" s="137"/>
      <c r="G102" s="269">
        <f>365/(-G9/G96)</f>
        <v>44.851613961000076</v>
      </c>
      <c r="H102" s="269">
        <f t="shared" ref="H102:L102" si="688">365/(-H9/H96)</f>
        <v>57.05600756864235</v>
      </c>
      <c r="I102" s="269">
        <f t="shared" si="688"/>
        <v>51.403984509978009</v>
      </c>
      <c r="J102" s="269">
        <f t="shared" si="688"/>
        <v>45.682228371509282</v>
      </c>
      <c r="K102" s="269">
        <f t="shared" si="688"/>
        <v>50.780276413448917</v>
      </c>
      <c r="L102" s="269">
        <f t="shared" si="688"/>
        <v>55.104395520775434</v>
      </c>
      <c r="M102" s="269">
        <f t="shared" ref="M102:N102" si="689">365/(-M9/M96)</f>
        <v>53.098969511030781</v>
      </c>
      <c r="N102" s="269">
        <f t="shared" si="689"/>
        <v>56.282225385109122</v>
      </c>
      <c r="O102" s="269">
        <f t="shared" ref="O102" si="690">365/(-O9/O96)</f>
        <v>54.552736481291049</v>
      </c>
      <c r="P102" s="269">
        <f t="shared" ref="P102" si="691">365/(-P9/P96)</f>
        <v>59.438206656758759</v>
      </c>
      <c r="Q102" s="137"/>
      <c r="R102" s="137"/>
      <c r="S102" s="137"/>
      <c r="T102" s="137"/>
      <c r="U102" s="137"/>
      <c r="V102" s="137"/>
      <c r="W102" s="137"/>
      <c r="X102" s="137"/>
      <c r="Y102" s="137"/>
      <c r="Z102" s="137"/>
      <c r="AA102" s="137"/>
      <c r="AB102" s="137"/>
      <c r="AC102" s="137"/>
      <c r="AD102" s="269">
        <f>91/(-AD9/AD96)</f>
        <v>40.52930385734097</v>
      </c>
      <c r="AE102" s="269">
        <f t="shared" ref="AE102:AM102" si="692">91/(-AE9/AE96)</f>
        <v>48.664985002375488</v>
      </c>
      <c r="AF102" s="269">
        <f t="shared" si="692"/>
        <v>42.148380689599556</v>
      </c>
      <c r="AG102" s="269">
        <f t="shared" si="692"/>
        <v>39.997765147937187</v>
      </c>
      <c r="AH102" s="269">
        <f t="shared" si="692"/>
        <v>49.364563502553423</v>
      </c>
      <c r="AI102" s="269">
        <f t="shared" si="692"/>
        <v>57.704538437241986</v>
      </c>
      <c r="AJ102" s="269">
        <f t="shared" si="692"/>
        <v>54.142767154009263</v>
      </c>
      <c r="AK102" s="269">
        <f t="shared" si="692"/>
        <v>46.690490494394346</v>
      </c>
      <c r="AL102" s="269">
        <f t="shared" si="692"/>
        <v>52.183987796533074</v>
      </c>
      <c r="AM102" s="269">
        <f t="shared" si="692"/>
        <v>59.125374451600798</v>
      </c>
      <c r="AN102" s="269">
        <f t="shared" ref="AN102" si="693">91/(-AN9/AN96)</f>
        <v>57.978377220640752</v>
      </c>
      <c r="AO102" s="269">
        <f>91/(-AO9/AO96)</f>
        <v>54.843961837330255</v>
      </c>
      <c r="AP102" s="269">
        <f t="shared" ref="AP102:AR102" si="694">91/(-AP9/AP96)</f>
        <v>49.039673361361594</v>
      </c>
      <c r="AQ102" s="269">
        <f t="shared" si="694"/>
        <v>57.597594275494941</v>
      </c>
      <c r="AR102" s="269">
        <f t="shared" si="694"/>
        <v>55.27221522448184</v>
      </c>
      <c r="AS102" s="269">
        <f>91/(-AS9/AS96)</f>
        <v>45.172945970885927</v>
      </c>
      <c r="AT102" s="269">
        <f t="shared" ref="AT102:AV102" si="695">91/(-AT9/AT96)</f>
        <v>53.003235049201443</v>
      </c>
      <c r="AU102" s="269">
        <f t="shared" si="695"/>
        <v>61.471282106748617</v>
      </c>
      <c r="AV102" s="269">
        <f t="shared" si="695"/>
        <v>59.478177574869356</v>
      </c>
      <c r="AW102" s="269">
        <f>91/(-AW9/AW96)</f>
        <v>50.321043859292935</v>
      </c>
      <c r="AX102" s="269">
        <f t="shared" ref="AX102" si="696">91/(-AX9/AX96)</f>
        <v>55.791810648237686</v>
      </c>
      <c r="AY102" s="269"/>
      <c r="AZ102" s="269"/>
      <c r="BA102" s="269"/>
      <c r="BB102" s="7"/>
    </row>
    <row r="103" spans="2:61" s="34" customFormat="1" ht="13.5" customHeight="1">
      <c r="B103" s="276" t="s">
        <v>274</v>
      </c>
      <c r="C103" s="137"/>
      <c r="D103" s="137"/>
      <c r="E103" s="137"/>
      <c r="F103" s="137"/>
      <c r="G103" s="269">
        <f>365/(G7/G97)</f>
        <v>37.762903568955167</v>
      </c>
      <c r="H103" s="269">
        <f t="shared" ref="H103:L103" si="697">365/(H7/H97)</f>
        <v>37.9883106119198</v>
      </c>
      <c r="I103" s="269">
        <f t="shared" si="697"/>
        <v>39.203111317515038</v>
      </c>
      <c r="J103" s="269">
        <f t="shared" si="697"/>
        <v>41.699664226461692</v>
      </c>
      <c r="K103" s="269">
        <f t="shared" si="697"/>
        <v>43.714825503086736</v>
      </c>
      <c r="L103" s="269">
        <f t="shared" si="697"/>
        <v>38.434636143744171</v>
      </c>
      <c r="M103" s="269">
        <f t="shared" ref="M103:N103" si="698">365/(M7/M97)</f>
        <v>41.664411896658414</v>
      </c>
      <c r="N103" s="269">
        <f t="shared" si="698"/>
        <v>37.678215852144966</v>
      </c>
      <c r="O103" s="269">
        <f t="shared" ref="O103" si="699">365/(O7/O97)</f>
        <v>37.077799119177165</v>
      </c>
      <c r="P103" s="269">
        <f t="shared" ref="P103" si="700">365/(P7/P97)</f>
        <v>31.534590326033822</v>
      </c>
      <c r="Q103" s="137"/>
      <c r="R103" s="137"/>
      <c r="S103" s="137"/>
      <c r="T103" s="137"/>
      <c r="U103" s="137"/>
      <c r="V103" s="137"/>
      <c r="W103" s="137"/>
      <c r="X103" s="137"/>
      <c r="Y103" s="137"/>
      <c r="Z103" s="137"/>
      <c r="AA103" s="137"/>
      <c r="AB103" s="137"/>
      <c r="AC103" s="137"/>
      <c r="AD103" s="269">
        <f>91/(AD7/AD97)</f>
        <v>31.644011996898051</v>
      </c>
      <c r="AE103" s="269">
        <f t="shared" ref="AE103:AM103" si="701">91/(AE7/AE97)</f>
        <v>33.079977435111132</v>
      </c>
      <c r="AF103" s="269">
        <f t="shared" si="701"/>
        <v>31.965182265967403</v>
      </c>
      <c r="AG103" s="269">
        <f t="shared" si="701"/>
        <v>33.181800256067547</v>
      </c>
      <c r="AH103" s="269">
        <f t="shared" si="701"/>
        <v>37.881861244544176</v>
      </c>
      <c r="AI103" s="269">
        <f t="shared" si="701"/>
        <v>36.504339359352706</v>
      </c>
      <c r="AJ103" s="269">
        <f t="shared" si="701"/>
        <v>33.796709538257296</v>
      </c>
      <c r="AK103" s="269">
        <f t="shared" si="701"/>
        <v>32.331640138282836</v>
      </c>
      <c r="AL103" s="269">
        <f t="shared" si="701"/>
        <v>28.975155654303691</v>
      </c>
      <c r="AM103" s="269">
        <f t="shared" si="701"/>
        <v>30.186109214591522</v>
      </c>
      <c r="AN103" s="269">
        <f t="shared" ref="AN103:AQ103" si="702">91/(AN7/AN97)</f>
        <v>33.781992610605279</v>
      </c>
      <c r="AO103" s="269">
        <f t="shared" si="702"/>
        <v>43.048919376988664</v>
      </c>
      <c r="AP103" s="269">
        <f t="shared" si="702"/>
        <v>30.057981848864419</v>
      </c>
      <c r="AQ103" s="269">
        <f t="shared" si="702"/>
        <v>29.874496642848566</v>
      </c>
      <c r="AR103" s="269">
        <f t="shared" ref="AR103:AU103" si="703">91/(AR7/AR97)</f>
        <v>31.526972043936624</v>
      </c>
      <c r="AS103" s="269">
        <f t="shared" si="703"/>
        <v>29.676383411177419</v>
      </c>
      <c r="AT103" s="269">
        <f t="shared" si="703"/>
        <v>27.88819291197585</v>
      </c>
      <c r="AU103" s="269">
        <f t="shared" si="703"/>
        <v>29.46760489467697</v>
      </c>
      <c r="AV103" s="269">
        <f t="shared" ref="AV103:AX103" si="704">91/(AV7/AV97)</f>
        <v>30.664957877797928</v>
      </c>
      <c r="AW103" s="269">
        <f t="shared" si="704"/>
        <v>33.676555245087926</v>
      </c>
      <c r="AX103" s="269">
        <f t="shared" si="704"/>
        <v>28.759084487428684</v>
      </c>
      <c r="AY103" s="269"/>
      <c r="AZ103" s="269"/>
      <c r="BA103" s="269"/>
      <c r="BB103" s="7"/>
    </row>
    <row r="104" spans="2:61" s="34" customFormat="1" ht="13.5" customHeight="1">
      <c r="B104" s="276" t="s">
        <v>275</v>
      </c>
      <c r="C104" s="137"/>
      <c r="D104" s="137"/>
      <c r="E104" s="137"/>
      <c r="F104" s="137"/>
      <c r="G104" s="269">
        <f>365/(-G9/G98)</f>
        <v>87.925388241915755</v>
      </c>
      <c r="H104" s="269">
        <f t="shared" ref="H104:L104" si="705">365/(-H9/H98)</f>
        <v>89.780636810530197</v>
      </c>
      <c r="I104" s="269">
        <f t="shared" si="705"/>
        <v>84.848791632105929</v>
      </c>
      <c r="J104" s="269">
        <f t="shared" si="705"/>
        <v>82.261937015410794</v>
      </c>
      <c r="K104" s="269">
        <f t="shared" si="705"/>
        <v>86.887442555291074</v>
      </c>
      <c r="L104" s="269">
        <f t="shared" si="705"/>
        <v>86.235916830554189</v>
      </c>
      <c r="M104" s="269">
        <f t="shared" ref="M104:N104" si="706">365/(-M9/M98)</f>
        <v>97.723559557534955</v>
      </c>
      <c r="N104" s="269">
        <f t="shared" si="706"/>
        <v>85.758909625280666</v>
      </c>
      <c r="O104" s="269">
        <f t="shared" ref="O104" si="707">365/(-O9/O98)</f>
        <v>86.051109710932081</v>
      </c>
      <c r="P104" s="269">
        <f t="shared" ref="P104" si="708">365/(-P9/P98)</f>
        <v>69.142283301069625</v>
      </c>
      <c r="Q104" s="137"/>
      <c r="R104" s="137"/>
      <c r="S104" s="137"/>
      <c r="T104" s="137"/>
      <c r="U104" s="137"/>
      <c r="V104" s="137"/>
      <c r="W104" s="137"/>
      <c r="X104" s="137"/>
      <c r="Y104" s="137"/>
      <c r="Z104" s="137"/>
      <c r="AA104" s="137"/>
      <c r="AB104" s="137"/>
      <c r="AC104" s="137"/>
      <c r="AD104" s="269">
        <f>91/(-AD9/AD98)</f>
        <v>60.692142536315565</v>
      </c>
      <c r="AE104" s="269">
        <f t="shared" ref="AE104:AM104" si="709">91/(-AE9/AE98)</f>
        <v>68.797190171982493</v>
      </c>
      <c r="AF104" s="269">
        <f t="shared" si="709"/>
        <v>69.079131962275511</v>
      </c>
      <c r="AG104" s="269">
        <f t="shared" si="709"/>
        <v>68.438058377937423</v>
      </c>
      <c r="AH104" s="269">
        <f t="shared" si="709"/>
        <v>75.700564436325962</v>
      </c>
      <c r="AI104" s="269">
        <f t="shared" si="709"/>
        <v>74.795272587963993</v>
      </c>
      <c r="AJ104" s="269">
        <f t="shared" si="709"/>
        <v>74.959681532946334</v>
      </c>
      <c r="AK104" s="269">
        <f t="shared" si="709"/>
        <v>73.068531412060253</v>
      </c>
      <c r="AL104" s="269">
        <f t="shared" si="709"/>
        <v>65.974146409721726</v>
      </c>
      <c r="AM104" s="269">
        <f t="shared" si="709"/>
        <v>65.274918893314123</v>
      </c>
      <c r="AN104" s="269">
        <f t="shared" ref="AN104:AQ104" si="710">91/(-AN9/AN98)</f>
        <v>78.95113437091554</v>
      </c>
      <c r="AO104" s="269">
        <f t="shared" si="710"/>
        <v>100.93505053554993</v>
      </c>
      <c r="AP104" s="269">
        <f t="shared" si="710"/>
        <v>71.217096838966171</v>
      </c>
      <c r="AQ104" s="269">
        <f t="shared" si="710"/>
        <v>75.824713763102977</v>
      </c>
      <c r="AR104" s="269">
        <f t="shared" ref="AR104:AU104" si="711">91/(-AR9/AR98)</f>
        <v>75.633032790535211</v>
      </c>
      <c r="AS104" s="269">
        <f t="shared" si="711"/>
        <v>68.831368420798995</v>
      </c>
      <c r="AT104" s="269">
        <f t="shared" si="711"/>
        <v>66.040210569619262</v>
      </c>
      <c r="AU104" s="269">
        <f t="shared" si="711"/>
        <v>69.539176958900427</v>
      </c>
      <c r="AV104" s="269">
        <f t="shared" ref="AV104:AX104" si="712">91/(-AV9/AV98)</f>
        <v>74.835194313690423</v>
      </c>
      <c r="AW104" s="269">
        <f t="shared" si="712"/>
        <v>79.376066998759711</v>
      </c>
      <c r="AX104" s="269">
        <f t="shared" si="712"/>
        <v>64.900564715833937</v>
      </c>
      <c r="AY104" s="269"/>
      <c r="AZ104" s="269"/>
      <c r="BA104" s="269"/>
      <c r="BB104" s="7"/>
    </row>
    <row r="105" spans="2:61" ht="13.5" customHeight="1">
      <c r="C105" s="29"/>
      <c r="D105" s="29"/>
      <c r="E105" s="29"/>
      <c r="F105" s="29"/>
      <c r="G105" s="29"/>
      <c r="H105" s="29"/>
      <c r="I105" s="29"/>
      <c r="J105" s="29"/>
      <c r="K105" s="29"/>
      <c r="L105" s="29"/>
      <c r="M105" s="29"/>
      <c r="N105" s="29"/>
      <c r="O105" s="29"/>
      <c r="P105" s="29"/>
      <c r="Q105" s="29"/>
      <c r="R105" s="29"/>
      <c r="S105" s="29"/>
      <c r="T105" s="29"/>
      <c r="U105" s="29"/>
      <c r="V105" s="29"/>
      <c r="W105" s="29"/>
      <c r="Y105" s="29"/>
      <c r="Z105" s="29"/>
      <c r="AA105" s="29"/>
      <c r="AC105" s="29"/>
      <c r="AD105" s="29"/>
      <c r="AE105" s="29"/>
      <c r="AG105" s="29"/>
      <c r="AH105" s="29"/>
      <c r="AI105" s="29"/>
      <c r="AK105" s="29"/>
      <c r="AL105" s="29"/>
      <c r="AM105" s="29"/>
      <c r="AO105" s="29"/>
      <c r="AP105" s="29"/>
      <c r="AQ105" s="29"/>
      <c r="AS105" s="29"/>
      <c r="AT105" s="29"/>
      <c r="AU105" s="29"/>
      <c r="AW105" s="29"/>
      <c r="AX105" s="29"/>
      <c r="BB105" s="7"/>
    </row>
    <row r="106" spans="2:61" ht="13.5" customHeight="1">
      <c r="B106" s="5" t="s">
        <v>276</v>
      </c>
      <c r="C106" s="29"/>
      <c r="D106" s="29"/>
      <c r="E106" s="29"/>
      <c r="F106" s="29"/>
      <c r="G106" s="29"/>
      <c r="H106" s="29"/>
      <c r="I106" s="29"/>
      <c r="J106" s="29"/>
      <c r="K106" s="29"/>
      <c r="L106" s="29"/>
      <c r="M106" s="29"/>
      <c r="N106" s="29"/>
      <c r="O106" s="29"/>
      <c r="P106" s="29"/>
      <c r="Q106" s="29"/>
      <c r="R106" s="29"/>
      <c r="S106" s="29"/>
      <c r="T106" s="29"/>
      <c r="U106" s="29"/>
      <c r="V106" s="29"/>
      <c r="W106" s="29"/>
      <c r="X106" s="29"/>
      <c r="Y106" s="29"/>
      <c r="Z106" s="29"/>
      <c r="AA106" s="29"/>
      <c r="AB106" s="29"/>
      <c r="AC106" s="29"/>
      <c r="AD106" s="29"/>
      <c r="AE106" s="29"/>
      <c r="AF106" s="29"/>
      <c r="AG106" s="29"/>
      <c r="AH106" s="29"/>
      <c r="AI106" s="29"/>
      <c r="AJ106" s="29"/>
      <c r="AK106" s="29"/>
      <c r="AL106" s="29"/>
      <c r="AM106" s="29"/>
      <c r="AN106" s="29"/>
      <c r="AO106" s="29"/>
      <c r="AP106" s="29"/>
      <c r="AQ106" s="29"/>
      <c r="AR106" s="29"/>
      <c r="AS106" s="29"/>
      <c r="AT106" s="29"/>
      <c r="AU106" s="29"/>
      <c r="AV106" s="29"/>
      <c r="AW106" s="29"/>
      <c r="AX106" s="29"/>
      <c r="BB106" s="7"/>
    </row>
    <row r="107" spans="2:61" ht="13.5" customHeight="1">
      <c r="B107" s="1" t="s">
        <v>277</v>
      </c>
      <c r="C107" s="146"/>
      <c r="D107" s="146">
        <f>41675.933+17623.883+3688.227</f>
        <v>62988.042999999998</v>
      </c>
      <c r="E107" s="146">
        <f>23990.783+19236.78+2635.671</f>
        <v>45863.233999999997</v>
      </c>
      <c r="F107" s="146">
        <f>20609.887+26729.828+2785.424</f>
        <v>50125.138999999996</v>
      </c>
      <c r="G107" s="146">
        <f>31470.003+20156.295+2060.325</f>
        <v>53686.622999999992</v>
      </c>
      <c r="H107" s="146">
        <f>21542.736+20664.481+1534.467</f>
        <v>43741.684000000001</v>
      </c>
      <c r="I107" s="146">
        <f>1438.161+21604.601+6013.535</f>
        <v>29056.296999999999</v>
      </c>
      <c r="J107" s="146">
        <f>799.072+18705.015+5718.484</f>
        <v>25222.571</v>
      </c>
      <c r="K107" s="146">
        <f>26.617+25383.339+8191.535</f>
        <v>33601.490999999995</v>
      </c>
      <c r="L107" s="146">
        <f>688.8+340767.98+7100.579</f>
        <v>348557.359</v>
      </c>
      <c r="M107" s="146">
        <f>1500.909+27479.415+9926.283</f>
        <v>38906.607000000004</v>
      </c>
      <c r="N107" s="146">
        <f>56401.282+29800.608+9631.011</f>
        <v>95832.900999999998</v>
      </c>
      <c r="O107" s="146">
        <f>11820.186+23808.205+9625.901</f>
        <v>45254.292000000001</v>
      </c>
      <c r="P107" s="30">
        <f t="shared" ref="P107:P108" si="713">AX107</f>
        <v>38312.396000000001</v>
      </c>
      <c r="Q107" s="30"/>
      <c r="R107" s="4">
        <f>26871.686+14666.799+1794.108</f>
        <v>43332.593000000001</v>
      </c>
      <c r="S107" s="4">
        <f>19955.324+20627.854+1486.082</f>
        <v>42069.26</v>
      </c>
      <c r="T107" s="4">
        <f>12281.592+15016.51+1218.05</f>
        <v>28516.151999999998</v>
      </c>
      <c r="U107" s="30">
        <f>H107</f>
        <v>43741.684000000001</v>
      </c>
      <c r="V107" s="4">
        <f>21166.822+15223.915+5944.977</f>
        <v>42335.714</v>
      </c>
      <c r="W107" s="4">
        <f>20567.042+21009.301+5931.244</f>
        <v>47507.587</v>
      </c>
      <c r="X107" s="4">
        <f>11032.574+5527.142+15224.092</f>
        <v>31783.808000000001</v>
      </c>
      <c r="Y107" s="30">
        <f>I107</f>
        <v>29056.296999999999</v>
      </c>
      <c r="Z107" s="4">
        <f>764.401+13723.622+5877.566</f>
        <v>20365.589</v>
      </c>
      <c r="AA107" s="4">
        <f>383.582+22888.539+5634.724</f>
        <v>28906.845000000001</v>
      </c>
      <c r="AB107" s="4">
        <f>1399.53+10264.575+5542.196</f>
        <v>17206.300999999999</v>
      </c>
      <c r="AC107" s="30">
        <f>J107</f>
        <v>25222.571</v>
      </c>
      <c r="AD107" s="146">
        <f>781.362+14517.467+5858.558</f>
        <v>21157.386999999999</v>
      </c>
      <c r="AE107" s="146">
        <f>411.559+23284.593+1611.199</f>
        <v>25307.351000000002</v>
      </c>
      <c r="AF107" s="4">
        <f>403.759+15169.911+7259.18</f>
        <v>22832.85</v>
      </c>
      <c r="AG107" s="30">
        <f>K107</f>
        <v>33601.490999999995</v>
      </c>
      <c r="AH107" s="146">
        <f>7.778+16045.983+7768.792</f>
        <v>23822.553</v>
      </c>
      <c r="AI107" s="146">
        <f>5445.501+27522.818+8011.986</f>
        <v>40980.305</v>
      </c>
      <c r="AJ107" s="4">
        <f>5005.265+17727.317+6759.54</f>
        <v>29492.121999999999</v>
      </c>
      <c r="AK107" s="30">
        <f>L107</f>
        <v>348557.359</v>
      </c>
      <c r="AL107" s="4">
        <f>716.63+307086.095+5520.684</f>
        <v>313323.40899999999</v>
      </c>
      <c r="AM107" s="146">
        <f>32237.856+321543.05+8849.432</f>
        <v>362630.33799999999</v>
      </c>
      <c r="AN107" s="146">
        <f>26253.647+19241.292+7986.145</f>
        <v>53481.084000000003</v>
      </c>
      <c r="AO107" s="30">
        <f>M107</f>
        <v>38906.607000000004</v>
      </c>
      <c r="AP107" s="146">
        <f>8177.877+22754.929+9343.484</f>
        <v>40276.29</v>
      </c>
      <c r="AQ107" s="146">
        <f>39088.76+31050.732+11530.619</f>
        <v>81670.111000000004</v>
      </c>
      <c r="AR107" s="146">
        <f>43589.037+20706.962+9905.639</f>
        <v>74201.637999999992</v>
      </c>
      <c r="AS107" s="30">
        <f t="shared" ref="AS107:AS108" si="714">N107</f>
        <v>95832.900999999998</v>
      </c>
      <c r="AT107" s="146">
        <f>48720.083+24104.652+8487.064</f>
        <v>81311.798999999999</v>
      </c>
      <c r="AU107" s="146">
        <f>47716.784+33158.731+11009.298</f>
        <v>91884.812999999995</v>
      </c>
      <c r="AV107" s="146">
        <f>14384.932+22174.974+11267.535</f>
        <v>47827.441000000006</v>
      </c>
      <c r="AW107" s="30">
        <f t="shared" ref="AW107:AW108" si="715">O107</f>
        <v>45254.292000000001</v>
      </c>
      <c r="AX107" s="146">
        <f>10331.611+18125.143+9855.642</f>
        <v>38312.396000000001</v>
      </c>
      <c r="AY107" s="146"/>
      <c r="AZ107" s="146"/>
      <c r="BA107" s="146"/>
      <c r="BB107" s="7"/>
    </row>
    <row r="108" spans="2:61" ht="13.5" customHeight="1">
      <c r="B108" s="1" t="s">
        <v>278</v>
      </c>
      <c r="C108" s="146"/>
      <c r="D108" s="146">
        <v>726616.44</v>
      </c>
      <c r="E108" s="146">
        <v>765299.34400000004</v>
      </c>
      <c r="F108" s="146">
        <v>721570.58700000006</v>
      </c>
      <c r="G108" s="146">
        <v>675767.201</v>
      </c>
      <c r="H108" s="146">
        <f>2439.253+700327.057+13797.468</f>
        <v>716563.77800000005</v>
      </c>
      <c r="I108" s="146">
        <f>909.486+718962.871+23454.7</f>
        <v>743327.05700000003</v>
      </c>
      <c r="J108" s="146">
        <f>4000+918921.342+15339.373</f>
        <v>938260.71499999997</v>
      </c>
      <c r="K108" s="146">
        <f>4000+1020661.942+16387.03</f>
        <v>1041048.9720000001</v>
      </c>
      <c r="L108" s="146">
        <f>13366.211+763368.16+15892.629</f>
        <v>792627</v>
      </c>
      <c r="M108" s="146">
        <f>13403.691+953660.44+24811.777</f>
        <v>991875.90799999994</v>
      </c>
      <c r="N108" s="146">
        <f>1003864.048+20891.121</f>
        <v>1024755.169</v>
      </c>
      <c r="O108" s="146">
        <f>104960.991+991600.601+18589.311</f>
        <v>1115150.9029999999</v>
      </c>
      <c r="P108" s="30">
        <f t="shared" si="713"/>
        <v>1122489.3419999999</v>
      </c>
      <c r="Q108" s="30"/>
      <c r="R108" s="4">
        <v>665444.66</v>
      </c>
      <c r="S108" s="4">
        <v>683668.32299999997</v>
      </c>
      <c r="T108" s="4">
        <v>693905.21499999997</v>
      </c>
      <c r="U108" s="30">
        <f>H108</f>
        <v>716563.77800000005</v>
      </c>
      <c r="V108" s="4">
        <v>718915.05299999996</v>
      </c>
      <c r="W108" s="4">
        <f>1634.252+693712.809+24313.183</f>
        <v>719660.24399999995</v>
      </c>
      <c r="X108" s="4">
        <f>1627.382+710743.106+22738.752</f>
        <v>735109.24</v>
      </c>
      <c r="Y108" s="30">
        <f>I108</f>
        <v>743327.05700000003</v>
      </c>
      <c r="Z108" s="4">
        <f>743.515+1011611.562+20705.657</f>
        <v>1033060.7340000001</v>
      </c>
      <c r="AA108" s="4">
        <f>744.803+988781.176+18432.175</f>
        <v>1007958.154</v>
      </c>
      <c r="AB108" s="4">
        <f>3743.672+967629.885+16407.075</f>
        <v>987780.63199999998</v>
      </c>
      <c r="AC108" s="30">
        <f>J108</f>
        <v>938260.71499999997</v>
      </c>
      <c r="AD108" s="146">
        <f>4000+925525.687+14000.006</f>
        <v>943525.69300000009</v>
      </c>
      <c r="AE108" s="146">
        <f>4000+930279.17+15397.561</f>
        <v>949676.73100000003</v>
      </c>
      <c r="AF108" s="4">
        <f>4000+989651.462+15339.373</f>
        <v>1008990.8350000001</v>
      </c>
      <c r="AG108" s="30">
        <f>K108</f>
        <v>1041048.9720000001</v>
      </c>
      <c r="AH108" s="146">
        <f>4000+992686.58+15783.955</f>
        <v>1012470.5349999999</v>
      </c>
      <c r="AI108" s="146">
        <f>4000+1103083.987+16910.868</f>
        <v>1123994.855</v>
      </c>
      <c r="AJ108" s="4">
        <f>13441.001+1137066.61+16068.182</f>
        <v>1166575.7930000001</v>
      </c>
      <c r="AK108" s="30">
        <f>L108</f>
        <v>792627</v>
      </c>
      <c r="AL108" s="4">
        <f>13241.891+748652.151+14212.612</f>
        <v>776106.65399999986</v>
      </c>
      <c r="AM108" s="146">
        <f>13310.403+753897.888+16081.176</f>
        <v>783289.46700000006</v>
      </c>
      <c r="AN108" s="146">
        <f>13324.805+945334.024+16718.27</f>
        <v>975377.09900000005</v>
      </c>
      <c r="AO108" s="30">
        <f>M108</f>
        <v>991875.90799999994</v>
      </c>
      <c r="AP108" s="146">
        <f>13444.232+993964.607+25662.19</f>
        <v>1033071.0289999999</v>
      </c>
      <c r="AQ108" s="146">
        <f>9507.991+977238.087+22891.58</f>
        <v>1009637.6580000001</v>
      </c>
      <c r="AR108" s="146">
        <f>9553.118+967958.653+20773.927</f>
        <v>998285.69800000009</v>
      </c>
      <c r="AS108" s="30">
        <f t="shared" si="714"/>
        <v>1024755.169</v>
      </c>
      <c r="AT108" s="146">
        <f>991238.124+20422.031+2382.729</f>
        <v>1014042.884</v>
      </c>
      <c r="AU108" s="146">
        <f>1000548.738+21844.909+2490.133</f>
        <v>1024883.78</v>
      </c>
      <c r="AV108" s="146">
        <f>104325.916+1015338.451+20932.865</f>
        <v>1140597.2320000001</v>
      </c>
      <c r="AW108" s="30">
        <f t="shared" si="715"/>
        <v>1115150.9029999999</v>
      </c>
      <c r="AX108" s="146">
        <f>105292.199+998624.718+18572.425</f>
        <v>1122489.3419999999</v>
      </c>
      <c r="AY108" s="146"/>
      <c r="AZ108" s="146"/>
      <c r="BA108" s="146"/>
      <c r="BB108" s="7"/>
    </row>
    <row r="109" spans="2:61" ht="13.5" customHeight="1">
      <c r="B109" s="5" t="s">
        <v>279</v>
      </c>
      <c r="C109" s="7"/>
      <c r="D109" s="7">
        <f t="shared" ref="D109:H109" si="716">SUM(D107:D108)</f>
        <v>789604.48299999989</v>
      </c>
      <c r="E109" s="7">
        <f t="shared" si="716"/>
        <v>811162.57799999998</v>
      </c>
      <c r="F109" s="7">
        <f t="shared" si="716"/>
        <v>771695.72600000002</v>
      </c>
      <c r="G109" s="7">
        <f t="shared" si="716"/>
        <v>729453.82400000002</v>
      </c>
      <c r="H109" s="7">
        <f t="shared" si="716"/>
        <v>760305.46200000006</v>
      </c>
      <c r="I109" s="7">
        <f t="shared" ref="I109:J109" si="717">SUM(I107:I108)</f>
        <v>772383.35400000005</v>
      </c>
      <c r="J109" s="7">
        <f t="shared" si="717"/>
        <v>963483.28599999996</v>
      </c>
      <c r="K109" s="7">
        <f t="shared" ref="K109:L109" si="718">SUM(K107:K108)</f>
        <v>1074650.463</v>
      </c>
      <c r="L109" s="7">
        <f t="shared" si="718"/>
        <v>1141184.3589999999</v>
      </c>
      <c r="M109" s="7">
        <f t="shared" ref="M109:N109" si="719">SUM(M107:M108)</f>
        <v>1030782.5149999999</v>
      </c>
      <c r="N109" s="7">
        <f t="shared" si="719"/>
        <v>1120588.07</v>
      </c>
      <c r="O109" s="7">
        <f t="shared" ref="O109" si="720">SUM(O107:O108)</f>
        <v>1160405.1949999998</v>
      </c>
      <c r="P109" s="7">
        <f t="shared" ref="P109" si="721">SUM(P107:P108)</f>
        <v>1160801.7379999999</v>
      </c>
      <c r="Q109" s="7"/>
      <c r="R109" s="7">
        <f t="shared" ref="R109:W109" si="722">SUM(R107:R108)</f>
        <v>708777.25300000003</v>
      </c>
      <c r="S109" s="7">
        <f t="shared" si="722"/>
        <v>725737.58299999998</v>
      </c>
      <c r="T109" s="7">
        <f t="shared" si="722"/>
        <v>722421.36699999997</v>
      </c>
      <c r="U109" s="7">
        <f t="shared" si="722"/>
        <v>760305.46200000006</v>
      </c>
      <c r="V109" s="7">
        <f t="shared" si="722"/>
        <v>761250.76699999999</v>
      </c>
      <c r="W109" s="7">
        <f t="shared" si="722"/>
        <v>767167.83100000001</v>
      </c>
      <c r="X109" s="7">
        <f>SUM(X107:X108)</f>
        <v>766893.04799999995</v>
      </c>
      <c r="Y109" s="7">
        <f t="shared" ref="Y109:Z109" si="723">SUM(Y107:Y108)</f>
        <v>772383.35400000005</v>
      </c>
      <c r="Z109" s="7">
        <f t="shared" si="723"/>
        <v>1053426.3230000001</v>
      </c>
      <c r="AA109" s="7">
        <f t="shared" ref="AA109" si="724">SUM(AA107:AA108)</f>
        <v>1036864.999</v>
      </c>
      <c r="AB109" s="7">
        <f>SUM(AB107:AB108)</f>
        <v>1004986.933</v>
      </c>
      <c r="AC109" s="7">
        <f t="shared" ref="AC109:AE109" si="725">SUM(AC107:AC108)</f>
        <v>963483.28599999996</v>
      </c>
      <c r="AD109" s="7">
        <f t="shared" si="725"/>
        <v>964683.08000000007</v>
      </c>
      <c r="AE109" s="7">
        <f t="shared" si="725"/>
        <v>974984.08200000005</v>
      </c>
      <c r="AF109" s="7">
        <f>SUM(AF107:AF108)</f>
        <v>1031823.6850000001</v>
      </c>
      <c r="AG109" s="7">
        <f t="shared" ref="AG109:AI109" si="726">SUM(AG107:AG108)</f>
        <v>1074650.463</v>
      </c>
      <c r="AH109" s="7">
        <f t="shared" si="726"/>
        <v>1036293.0879999999</v>
      </c>
      <c r="AI109" s="7">
        <f t="shared" si="726"/>
        <v>1164975.1599999999</v>
      </c>
      <c r="AJ109" s="7">
        <f>SUM(AJ107:AJ108)</f>
        <v>1196067.915</v>
      </c>
      <c r="AK109" s="7">
        <f>SUM(AK107:AK108)</f>
        <v>1141184.3589999999</v>
      </c>
      <c r="AL109" s="7">
        <f t="shared" ref="AL109:AM109" si="727">SUM(AL107:AL108)</f>
        <v>1089430.0629999998</v>
      </c>
      <c r="AM109" s="7">
        <f t="shared" si="727"/>
        <v>1145919.8050000002</v>
      </c>
      <c r="AN109" s="7">
        <f>SUM(AN107:AN108)</f>
        <v>1028858.1830000001</v>
      </c>
      <c r="AO109" s="7">
        <f>SUM(AO107:AO108)</f>
        <v>1030782.5149999999</v>
      </c>
      <c r="AP109" s="7">
        <f t="shared" ref="AP109:AQ109" si="728">SUM(AP107:AP108)</f>
        <v>1073347.3189999999</v>
      </c>
      <c r="AQ109" s="7">
        <f t="shared" si="728"/>
        <v>1091307.7690000001</v>
      </c>
      <c r="AR109" s="7">
        <f>SUM(AR107:AR108)</f>
        <v>1072487.3360000001</v>
      </c>
      <c r="AS109" s="7">
        <f>SUM(AS107:AS108)</f>
        <v>1120588.07</v>
      </c>
      <c r="AT109" s="7">
        <f t="shared" ref="AT109:AU109" si="729">SUM(AT107:AT108)</f>
        <v>1095354.683</v>
      </c>
      <c r="AU109" s="7">
        <f t="shared" si="729"/>
        <v>1116768.5930000001</v>
      </c>
      <c r="AV109" s="7">
        <f>SUM(AV107:AV108)</f>
        <v>1188424.6730000002</v>
      </c>
      <c r="AW109" s="7">
        <f>SUM(AW107:AW108)</f>
        <v>1160405.1949999998</v>
      </c>
      <c r="AX109" s="7">
        <f t="shared" ref="AX109" si="730">SUM(AX107:AX108)</f>
        <v>1160801.7379999999</v>
      </c>
      <c r="AY109" s="7"/>
      <c r="AZ109" s="7"/>
      <c r="BA109" s="7"/>
      <c r="BB109" s="7"/>
      <c r="BI109" s="30"/>
    </row>
    <row r="110" spans="2:61" ht="13.5" customHeight="1">
      <c r="B110" s="5"/>
      <c r="C110" s="7"/>
      <c r="D110" s="7"/>
      <c r="E110" s="7"/>
      <c r="F110" s="7"/>
      <c r="G110" s="7"/>
      <c r="H110" s="7"/>
      <c r="I110" s="7"/>
      <c r="J110" s="7"/>
      <c r="K110" s="7"/>
      <c r="L110" s="7"/>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c r="AL110" s="7"/>
      <c r="AM110" s="7"/>
      <c r="AN110" s="7"/>
      <c r="AO110" s="7"/>
      <c r="AP110" s="7"/>
      <c r="AQ110" s="7"/>
      <c r="AR110" s="7"/>
      <c r="AS110" s="7"/>
      <c r="AT110" s="7"/>
      <c r="AU110" s="7"/>
      <c r="AV110" s="7"/>
      <c r="AW110" s="7"/>
      <c r="AX110" s="7"/>
      <c r="AY110" s="7"/>
      <c r="AZ110" s="7"/>
      <c r="BA110" s="7"/>
      <c r="BB110" s="7"/>
    </row>
    <row r="111" spans="2:61" ht="13.5" customHeight="1">
      <c r="B111" s="6" t="s">
        <v>280</v>
      </c>
      <c r="C111" s="146"/>
      <c r="D111" s="146">
        <v>79514.434000000008</v>
      </c>
      <c r="E111" s="146">
        <v>129160.93900000001</v>
      </c>
      <c r="F111" s="146">
        <v>141263.88</v>
      </c>
      <c r="G111" s="146">
        <v>136242.11600000001</v>
      </c>
      <c r="H111" s="146">
        <v>137538.61300000001</v>
      </c>
      <c r="I111" s="146">
        <v>157567.986</v>
      </c>
      <c r="J111" s="146">
        <v>309530.69900000002</v>
      </c>
      <c r="K111" s="146">
        <v>304312.02</v>
      </c>
      <c r="L111" s="146">
        <v>291681.98700000002</v>
      </c>
      <c r="M111" s="146">
        <v>303683.68300000002</v>
      </c>
      <c r="N111" s="146">
        <v>248899.00399999999</v>
      </c>
      <c r="O111" s="146">
        <v>296539.70899999997</v>
      </c>
      <c r="P111" s="30">
        <f t="shared" ref="P111" si="731">AX111</f>
        <v>325667.01</v>
      </c>
      <c r="Q111" s="30"/>
      <c r="R111" s="4">
        <v>115100.69600000001</v>
      </c>
      <c r="S111" s="4">
        <v>109655.73900000002</v>
      </c>
      <c r="T111" s="4">
        <v>73709.086000000025</v>
      </c>
      <c r="U111" s="30">
        <v>137538.61299999995</v>
      </c>
      <c r="V111" s="4">
        <v>121795.38899999995</v>
      </c>
      <c r="W111" s="4">
        <v>117450.34099999996</v>
      </c>
      <c r="X111" s="4">
        <v>105667.11399999994</v>
      </c>
      <c r="Y111" s="30">
        <f>I111</f>
        <v>157567.986</v>
      </c>
      <c r="Z111" s="4">
        <v>382144.83899999998</v>
      </c>
      <c r="AA111" s="4">
        <v>371105.24900000001</v>
      </c>
      <c r="AB111" s="4">
        <v>288598.84899999999</v>
      </c>
      <c r="AC111" s="30">
        <f>J111</f>
        <v>309530.69900000002</v>
      </c>
      <c r="AD111" s="4">
        <v>208294.736</v>
      </c>
      <c r="AE111" s="4">
        <v>245081.72099999999</v>
      </c>
      <c r="AF111" s="4">
        <v>278041.04499999998</v>
      </c>
      <c r="AG111" s="30">
        <f>K111</f>
        <v>304312.02</v>
      </c>
      <c r="AH111" s="146">
        <v>389737.83600000001</v>
      </c>
      <c r="AI111" s="4">
        <v>261641.342</v>
      </c>
      <c r="AJ111" s="4">
        <v>243637.24900000001</v>
      </c>
      <c r="AK111" s="30">
        <f>L111</f>
        <v>291681.98700000002</v>
      </c>
      <c r="AL111" s="4">
        <v>259267.83600000001</v>
      </c>
      <c r="AM111" s="146">
        <v>248989.65599999999</v>
      </c>
      <c r="AN111" s="4">
        <v>224775.962</v>
      </c>
      <c r="AO111" s="30">
        <f>M111</f>
        <v>303683.68300000002</v>
      </c>
      <c r="AP111" s="146">
        <v>301523.10700000002</v>
      </c>
      <c r="AQ111" s="146">
        <v>232431.139</v>
      </c>
      <c r="AR111" s="4">
        <v>210685.26699999999</v>
      </c>
      <c r="AS111" s="30">
        <f t="shared" ref="AS111" si="732">N111</f>
        <v>248899.00399999999</v>
      </c>
      <c r="AT111" s="146">
        <v>208478.139</v>
      </c>
      <c r="AU111" s="146">
        <v>207186.89</v>
      </c>
      <c r="AV111" s="4">
        <v>282827.772</v>
      </c>
      <c r="AW111" s="30">
        <f>O111</f>
        <v>296539.70899999997</v>
      </c>
      <c r="AX111" s="146">
        <v>325667.01</v>
      </c>
      <c r="AY111" s="4"/>
      <c r="AZ111" s="4"/>
      <c r="BA111" s="4"/>
      <c r="BB111" s="7"/>
    </row>
    <row r="112" spans="2:61" ht="13.5" customHeight="1">
      <c r="B112" s="6"/>
      <c r="C112" s="4"/>
      <c r="D112" s="4"/>
      <c r="E112" s="4"/>
      <c r="F112" s="4"/>
      <c r="G112" s="4"/>
      <c r="H112" s="4"/>
      <c r="I112" s="4"/>
      <c r="J112" s="4"/>
      <c r="K112" s="4"/>
      <c r="L112" s="4"/>
      <c r="M112" s="4"/>
      <c r="N112" s="4"/>
      <c r="O112" s="4"/>
      <c r="P112" s="30"/>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c r="AQ112" s="4"/>
      <c r="AR112" s="4"/>
      <c r="AS112" s="4"/>
      <c r="AT112" s="4"/>
      <c r="AU112" s="4"/>
      <c r="AV112" s="4"/>
      <c r="AW112" s="4"/>
      <c r="AX112" s="4"/>
      <c r="AY112" s="4"/>
      <c r="AZ112" s="4"/>
      <c r="BA112" s="4"/>
      <c r="BB112" s="7"/>
    </row>
    <row r="113" spans="1:54" ht="13.5" customHeight="1">
      <c r="B113" s="5" t="s">
        <v>281</v>
      </c>
      <c r="C113" s="7"/>
      <c r="D113" s="7">
        <f>D109-D111</f>
        <v>710090.04899999988</v>
      </c>
      <c r="E113" s="7">
        <f t="shared" ref="E113:H113" si="733">E109-E111</f>
        <v>682001.63899999997</v>
      </c>
      <c r="F113" s="7">
        <f t="shared" si="733"/>
        <v>630431.84600000002</v>
      </c>
      <c r="G113" s="7">
        <f t="shared" si="733"/>
        <v>593211.70799999998</v>
      </c>
      <c r="H113" s="7">
        <f t="shared" si="733"/>
        <v>622766.84900000005</v>
      </c>
      <c r="I113" s="7">
        <f t="shared" ref="I113:J113" si="734">I109-I111</f>
        <v>614815.36800000002</v>
      </c>
      <c r="J113" s="7">
        <f t="shared" si="734"/>
        <v>653952.58699999994</v>
      </c>
      <c r="K113" s="7">
        <f t="shared" ref="K113:L113" si="735">K109-K111</f>
        <v>770338.44299999997</v>
      </c>
      <c r="L113" s="7">
        <f t="shared" si="735"/>
        <v>849502.37199999997</v>
      </c>
      <c r="M113" s="7">
        <f t="shared" ref="M113:N113" si="736">M109-M111</f>
        <v>727098.83199999994</v>
      </c>
      <c r="N113" s="7">
        <f t="shared" si="736"/>
        <v>871689.06600000011</v>
      </c>
      <c r="O113" s="7">
        <f t="shared" ref="O113" si="737">O109-O111</f>
        <v>863865.4859999998</v>
      </c>
      <c r="P113" s="7">
        <f t="shared" ref="P113" si="738">P109-P111</f>
        <v>835134.72799999989</v>
      </c>
      <c r="Q113" s="7"/>
      <c r="R113" s="7">
        <f t="shared" ref="R113:X113" si="739">R109-R111</f>
        <v>593676.55700000003</v>
      </c>
      <c r="S113" s="7">
        <f t="shared" si="739"/>
        <v>616081.84399999992</v>
      </c>
      <c r="T113" s="7">
        <f t="shared" si="739"/>
        <v>648712.28099999996</v>
      </c>
      <c r="U113" s="7">
        <f t="shared" si="739"/>
        <v>622766.84900000016</v>
      </c>
      <c r="V113" s="7">
        <f t="shared" si="739"/>
        <v>639455.37800000003</v>
      </c>
      <c r="W113" s="7">
        <f t="shared" si="739"/>
        <v>649717.49</v>
      </c>
      <c r="X113" s="7">
        <f t="shared" si="739"/>
        <v>661225.93400000001</v>
      </c>
      <c r="Y113" s="7">
        <f t="shared" ref="Y113:Z113" si="740">Y109-Y111</f>
        <v>614815.36800000002</v>
      </c>
      <c r="Z113" s="7">
        <f t="shared" si="740"/>
        <v>671281.48400000017</v>
      </c>
      <c r="AA113" s="7">
        <f t="shared" ref="AA113" si="741">AA109-AA111</f>
        <v>665759.75</v>
      </c>
      <c r="AB113" s="7">
        <f>AB109-AB111</f>
        <v>716388.08400000003</v>
      </c>
      <c r="AC113" s="7">
        <f t="shared" ref="AC113:AE113" si="742">AC109-AC111</f>
        <v>653952.58699999994</v>
      </c>
      <c r="AD113" s="7">
        <f t="shared" si="742"/>
        <v>756388.34400000004</v>
      </c>
      <c r="AE113" s="7">
        <f t="shared" si="742"/>
        <v>729902.36100000003</v>
      </c>
      <c r="AF113" s="7">
        <f>AF109-AF111</f>
        <v>753782.64000000013</v>
      </c>
      <c r="AG113" s="7">
        <f t="shared" ref="AG113:AI113" si="743">AG109-AG111</f>
        <v>770338.44299999997</v>
      </c>
      <c r="AH113" s="7">
        <f t="shared" si="743"/>
        <v>646555.25199999986</v>
      </c>
      <c r="AI113" s="7">
        <f t="shared" si="743"/>
        <v>903333.81799999997</v>
      </c>
      <c r="AJ113" s="7">
        <f>AJ109-AJ111</f>
        <v>952430.66599999997</v>
      </c>
      <c r="AK113" s="7">
        <f>AK109-AK111</f>
        <v>849502.37199999997</v>
      </c>
      <c r="AL113" s="7">
        <f t="shared" ref="AL113:AM113" si="744">AL109-AL111</f>
        <v>830162.22699999984</v>
      </c>
      <c r="AM113" s="7">
        <f t="shared" si="744"/>
        <v>896930.14900000021</v>
      </c>
      <c r="AN113" s="7">
        <f>AN109-AN111</f>
        <v>804082.22100000014</v>
      </c>
      <c r="AO113" s="7">
        <f>AO109-AO111</f>
        <v>727098.83199999994</v>
      </c>
      <c r="AP113" s="7">
        <f t="shared" ref="AP113:AQ113" si="745">AP109-AP111</f>
        <v>771824.21199999982</v>
      </c>
      <c r="AQ113" s="7">
        <f t="shared" si="745"/>
        <v>858876.63000000012</v>
      </c>
      <c r="AR113" s="7">
        <f>AR109-AR111</f>
        <v>861802.06900000013</v>
      </c>
      <c r="AS113" s="7">
        <f>AS109-AS111</f>
        <v>871689.06600000011</v>
      </c>
      <c r="AT113" s="7">
        <f t="shared" ref="AT113:AU113" si="746">AT109-AT111</f>
        <v>886876.54399999999</v>
      </c>
      <c r="AU113" s="7">
        <f t="shared" si="746"/>
        <v>909581.7030000001</v>
      </c>
      <c r="AV113" s="7">
        <f>AV109-AV111</f>
        <v>905596.90100000019</v>
      </c>
      <c r="AW113" s="7">
        <f>AW109-AW111</f>
        <v>863865.4859999998</v>
      </c>
      <c r="AX113" s="7">
        <f t="shared" ref="AX113" si="747">AX109-AX111</f>
        <v>835134.72799999989</v>
      </c>
      <c r="AY113" s="7"/>
      <c r="AZ113" s="7"/>
      <c r="BA113" s="7"/>
      <c r="BB113" s="7"/>
    </row>
    <row r="114" spans="1:54" ht="13.5" customHeight="1">
      <c r="B114" s="1" t="s">
        <v>282</v>
      </c>
      <c r="C114" s="30"/>
      <c r="D114" s="30">
        <f t="shared" ref="D114:H114" si="748">D109</f>
        <v>789604.48299999989</v>
      </c>
      <c r="E114" s="30">
        <f t="shared" si="748"/>
        <v>811162.57799999998</v>
      </c>
      <c r="F114" s="30">
        <f t="shared" si="748"/>
        <v>771695.72600000002</v>
      </c>
      <c r="G114" s="30">
        <f t="shared" si="748"/>
        <v>729453.82400000002</v>
      </c>
      <c r="H114" s="30">
        <f t="shared" si="748"/>
        <v>760305.46200000006</v>
      </c>
      <c r="I114" s="30">
        <f t="shared" ref="I114:J114" si="749">I109</f>
        <v>772383.35400000005</v>
      </c>
      <c r="J114" s="30">
        <f t="shared" si="749"/>
        <v>963483.28599999996</v>
      </c>
      <c r="K114" s="30">
        <f t="shared" ref="K114:L114" si="750">K109</f>
        <v>1074650.463</v>
      </c>
      <c r="L114" s="30">
        <f t="shared" si="750"/>
        <v>1141184.3589999999</v>
      </c>
      <c r="M114" s="30">
        <f t="shared" ref="M114:N114" si="751">M109</f>
        <v>1030782.5149999999</v>
      </c>
      <c r="N114" s="30">
        <f t="shared" si="751"/>
        <v>1120588.07</v>
      </c>
      <c r="O114" s="30">
        <f t="shared" ref="O114" si="752">O109</f>
        <v>1160405.1949999998</v>
      </c>
      <c r="P114" s="30">
        <f t="shared" ref="P114" si="753">P109</f>
        <v>1160801.7379999999</v>
      </c>
      <c r="Q114" s="30"/>
      <c r="R114" s="30">
        <f t="shared" ref="R114:X114" si="754">R109</f>
        <v>708777.25300000003</v>
      </c>
      <c r="S114" s="30">
        <f t="shared" si="754"/>
        <v>725737.58299999998</v>
      </c>
      <c r="T114" s="30">
        <f t="shared" si="754"/>
        <v>722421.36699999997</v>
      </c>
      <c r="U114" s="30">
        <f t="shared" si="754"/>
        <v>760305.46200000006</v>
      </c>
      <c r="V114" s="30">
        <f t="shared" si="754"/>
        <v>761250.76699999999</v>
      </c>
      <c r="W114" s="30">
        <f t="shared" si="754"/>
        <v>767167.83100000001</v>
      </c>
      <c r="X114" s="30">
        <f t="shared" si="754"/>
        <v>766893.04799999995</v>
      </c>
      <c r="Y114" s="30">
        <f t="shared" ref="Y114:Z114" si="755">Y109</f>
        <v>772383.35400000005</v>
      </c>
      <c r="Z114" s="30">
        <f t="shared" si="755"/>
        <v>1053426.3230000001</v>
      </c>
      <c r="AA114" s="30">
        <f t="shared" ref="AA114:AD114" si="756">AA109</f>
        <v>1036864.999</v>
      </c>
      <c r="AB114" s="30">
        <f t="shared" si="756"/>
        <v>1004986.933</v>
      </c>
      <c r="AC114" s="30">
        <f t="shared" si="756"/>
        <v>963483.28599999996</v>
      </c>
      <c r="AD114" s="30">
        <f t="shared" si="756"/>
        <v>964683.08000000007</v>
      </c>
      <c r="AE114" s="30">
        <f t="shared" ref="AE114:AH114" si="757">AE109</f>
        <v>974984.08200000005</v>
      </c>
      <c r="AF114" s="30">
        <f t="shared" si="757"/>
        <v>1031823.6850000001</v>
      </c>
      <c r="AG114" s="30">
        <f t="shared" si="757"/>
        <v>1074650.463</v>
      </c>
      <c r="AH114" s="30">
        <f t="shared" si="757"/>
        <v>1036293.0879999999</v>
      </c>
      <c r="AI114" s="30">
        <f t="shared" ref="AI114:AJ114" si="758">AI109</f>
        <v>1164975.1599999999</v>
      </c>
      <c r="AJ114" s="30">
        <f t="shared" si="758"/>
        <v>1196067.915</v>
      </c>
      <c r="AK114" s="30">
        <f t="shared" ref="AK114:AN114" si="759">AK109</f>
        <v>1141184.3589999999</v>
      </c>
      <c r="AL114" s="30">
        <f t="shared" si="759"/>
        <v>1089430.0629999998</v>
      </c>
      <c r="AM114" s="30">
        <f t="shared" si="759"/>
        <v>1145919.8050000002</v>
      </c>
      <c r="AN114" s="30">
        <f t="shared" si="759"/>
        <v>1028858.1830000001</v>
      </c>
      <c r="AO114" s="30">
        <f t="shared" ref="AO114:AR114" si="760">AO109</f>
        <v>1030782.5149999999</v>
      </c>
      <c r="AP114" s="30">
        <f t="shared" si="760"/>
        <v>1073347.3189999999</v>
      </c>
      <c r="AQ114" s="30">
        <f t="shared" si="760"/>
        <v>1091307.7690000001</v>
      </c>
      <c r="AR114" s="30">
        <f t="shared" si="760"/>
        <v>1072487.3360000001</v>
      </c>
      <c r="AS114" s="30">
        <f t="shared" ref="AS114:AV114" si="761">AS109</f>
        <v>1120588.07</v>
      </c>
      <c r="AT114" s="30">
        <f t="shared" si="761"/>
        <v>1095354.683</v>
      </c>
      <c r="AU114" s="30">
        <f t="shared" si="761"/>
        <v>1116768.5930000001</v>
      </c>
      <c r="AV114" s="30">
        <f t="shared" si="761"/>
        <v>1188424.6730000002</v>
      </c>
      <c r="AW114" s="30">
        <f t="shared" ref="AW114:AX114" si="762">AW109</f>
        <v>1160405.1949999998</v>
      </c>
      <c r="AX114" s="30">
        <f t="shared" si="762"/>
        <v>1160801.7379999999</v>
      </c>
      <c r="AY114" s="30"/>
      <c r="AZ114" s="30"/>
      <c r="BA114" s="30"/>
      <c r="BB114" s="7"/>
    </row>
    <row r="115" spans="1:54" ht="13.5" customHeight="1">
      <c r="C115" s="30"/>
      <c r="D115" s="30"/>
      <c r="E115" s="30"/>
      <c r="F115" s="30"/>
      <c r="G115" s="30"/>
      <c r="H115" s="30"/>
      <c r="I115" s="30"/>
      <c r="J115" s="30"/>
      <c r="K115" s="30"/>
      <c r="L115" s="30"/>
      <c r="M115" s="30"/>
      <c r="N115" s="30"/>
      <c r="O115" s="30"/>
      <c r="P115" s="30"/>
      <c r="Q115" s="30"/>
      <c r="R115" s="30"/>
      <c r="S115" s="30"/>
      <c r="T115" s="30"/>
      <c r="U115" s="30"/>
      <c r="V115" s="30"/>
      <c r="W115" s="30"/>
      <c r="X115" s="30"/>
      <c r="Y115" s="30"/>
      <c r="Z115" s="30"/>
      <c r="AA115" s="30"/>
      <c r="AB115" s="30"/>
      <c r="AC115" s="30"/>
      <c r="AD115" s="30"/>
      <c r="AE115" s="30"/>
      <c r="AF115" s="30"/>
      <c r="AG115" s="30"/>
      <c r="AH115" s="30"/>
      <c r="AI115" s="30"/>
      <c r="AJ115" s="30"/>
      <c r="AK115" s="30"/>
      <c r="AL115" s="30"/>
      <c r="AM115" s="30"/>
      <c r="AN115" s="30"/>
      <c r="AO115" s="30"/>
      <c r="AP115" s="30"/>
      <c r="AQ115" s="30"/>
      <c r="AR115" s="30"/>
      <c r="AS115" s="30"/>
      <c r="AT115" s="30"/>
      <c r="AU115" s="30"/>
      <c r="AV115" s="30"/>
      <c r="AW115" s="30"/>
      <c r="AX115" s="30"/>
      <c r="AY115" s="30"/>
      <c r="AZ115" s="30"/>
      <c r="BA115" s="30"/>
      <c r="BB115" s="7"/>
    </row>
    <row r="116" spans="1:54" ht="13.5" customHeight="1">
      <c r="B116" s="5" t="s">
        <v>283</v>
      </c>
      <c r="C116" s="7"/>
      <c r="D116" s="241"/>
      <c r="E116" s="241"/>
      <c r="F116" s="241"/>
      <c r="G116" s="241"/>
      <c r="H116" s="241"/>
      <c r="I116" s="241"/>
      <c r="J116" s="241"/>
      <c r="K116" s="241"/>
      <c r="L116" s="104">
        <v>642079.54399999999</v>
      </c>
      <c r="M116" s="7">
        <f>AO116</f>
        <v>647364.64399999997</v>
      </c>
      <c r="N116" s="7">
        <f>AS116</f>
        <v>706837.353</v>
      </c>
      <c r="O116" s="104">
        <v>768724.53799999994</v>
      </c>
      <c r="P116" s="7">
        <f t="shared" ref="P116" si="763">AX116</f>
        <v>708596.54999999993</v>
      </c>
      <c r="Q116" s="7"/>
      <c r="R116" s="7"/>
      <c r="S116" s="7"/>
      <c r="T116" s="7"/>
      <c r="U116" s="241"/>
      <c r="V116" s="241"/>
      <c r="W116" s="241"/>
      <c r="X116" s="241"/>
      <c r="Y116" s="241"/>
      <c r="Z116" s="241"/>
      <c r="AA116" s="241"/>
      <c r="AB116" s="241"/>
      <c r="AC116" s="241"/>
      <c r="AD116" s="241"/>
      <c r="AE116" s="241"/>
      <c r="AF116" s="241"/>
      <c r="AG116" s="241"/>
      <c r="AH116" s="241"/>
      <c r="AI116" s="241"/>
      <c r="AJ116" s="241"/>
      <c r="AK116" s="241"/>
      <c r="AL116" s="104">
        <v>580317.84</v>
      </c>
      <c r="AM116" s="104">
        <v>737019.26199999999</v>
      </c>
      <c r="AN116" s="104">
        <v>721451.74300000002</v>
      </c>
      <c r="AO116" s="104">
        <v>647364.64399999997</v>
      </c>
      <c r="AP116" s="104">
        <v>667423.522</v>
      </c>
      <c r="AQ116" s="104">
        <v>734134.12800000003</v>
      </c>
      <c r="AR116" s="104">
        <v>717359.87800000003</v>
      </c>
      <c r="AS116" s="104">
        <v>706837.353</v>
      </c>
      <c r="AT116" s="104">
        <v>823837.75800000003</v>
      </c>
      <c r="AU116" s="104">
        <v>837017.45499999996</v>
      </c>
      <c r="AV116" s="104">
        <v>825811.30500000005</v>
      </c>
      <c r="AW116" s="7">
        <f>O116</f>
        <v>768724.53799999994</v>
      </c>
      <c r="AX116" s="104">
        <f>765/$AX$193</f>
        <v>708596.54999999993</v>
      </c>
      <c r="AY116" s="104"/>
      <c r="AZ116" s="104"/>
      <c r="BA116" s="104"/>
      <c r="BB116" s="7"/>
    </row>
    <row r="117" spans="1:54" ht="13.5" customHeight="1">
      <c r="C117" s="30"/>
      <c r="D117" s="30"/>
      <c r="E117" s="30"/>
      <c r="F117" s="30"/>
      <c r="G117" s="30"/>
      <c r="H117" s="30"/>
      <c r="I117" s="30"/>
      <c r="J117" s="30"/>
      <c r="K117" s="30"/>
      <c r="L117" s="30"/>
      <c r="M117" s="30"/>
      <c r="N117" s="30"/>
      <c r="O117" s="30"/>
      <c r="P117" s="30"/>
      <c r="Q117" s="30"/>
      <c r="R117" s="30"/>
      <c r="S117" s="30"/>
      <c r="T117" s="30"/>
      <c r="U117" s="30"/>
      <c r="V117" s="30"/>
      <c r="W117" s="30"/>
      <c r="X117" s="30"/>
      <c r="Y117" s="30"/>
      <c r="Z117" s="30"/>
      <c r="AA117" s="30"/>
      <c r="AB117" s="30"/>
      <c r="AC117" s="30"/>
      <c r="AD117" s="30"/>
      <c r="AE117" s="30"/>
      <c r="AF117" s="30"/>
      <c r="AG117" s="30"/>
      <c r="AH117" s="30"/>
      <c r="AI117" s="30"/>
      <c r="AJ117" s="30"/>
      <c r="AK117" s="30"/>
      <c r="AL117" s="30"/>
      <c r="AM117" s="30"/>
      <c r="AN117" s="30"/>
      <c r="AO117" s="30"/>
      <c r="AP117" s="30"/>
      <c r="AQ117" s="30"/>
      <c r="AR117" s="30"/>
      <c r="AS117" s="30"/>
      <c r="AT117" s="30"/>
      <c r="AU117" s="30"/>
      <c r="AV117" s="30"/>
      <c r="AW117" s="30"/>
      <c r="AX117" s="30"/>
      <c r="AY117" s="30"/>
      <c r="AZ117" s="30"/>
      <c r="BA117" s="30"/>
      <c r="BB117" s="7"/>
    </row>
    <row r="118" spans="1:54" ht="13.5" customHeight="1" outlineLevel="1">
      <c r="B118" s="1" t="s">
        <v>284</v>
      </c>
      <c r="C118" s="146"/>
      <c r="D118" s="146">
        <v>918998</v>
      </c>
      <c r="E118" s="146">
        <v>851534</v>
      </c>
      <c r="F118" s="146">
        <v>842170</v>
      </c>
      <c r="G118" s="146">
        <v>813233</v>
      </c>
      <c r="H118" s="146">
        <v>863715</v>
      </c>
      <c r="I118" s="146">
        <v>968903.94799999997</v>
      </c>
      <c r="J118" s="146">
        <v>831560.59100000001</v>
      </c>
      <c r="K118" s="146">
        <v>1101413.5589999999</v>
      </c>
      <c r="L118" s="146">
        <v>883402.652</v>
      </c>
      <c r="M118" s="146">
        <v>920985.41399999999</v>
      </c>
      <c r="N118" s="146">
        <v>1014397.02</v>
      </c>
      <c r="O118" s="146">
        <v>1196553.848</v>
      </c>
      <c r="P118" s="30">
        <f t="shared" ref="P118" si="764">AX118</f>
        <v>1406537.9480000001</v>
      </c>
      <c r="Q118" s="30"/>
      <c r="R118" s="4">
        <v>828319.68500000006</v>
      </c>
      <c r="S118" s="4">
        <v>765313.49699999997</v>
      </c>
      <c r="T118" s="4">
        <v>782988</v>
      </c>
      <c r="U118" s="30">
        <f>H118</f>
        <v>863715</v>
      </c>
      <c r="V118" s="4">
        <v>877541.86499999999</v>
      </c>
      <c r="W118" s="4">
        <v>873668.32299999997</v>
      </c>
      <c r="X118" s="4">
        <v>863583</v>
      </c>
      <c r="Y118" s="30">
        <f>I118</f>
        <v>968903.94799999997</v>
      </c>
      <c r="Z118" s="4">
        <v>1017052.486</v>
      </c>
      <c r="AA118" s="4">
        <v>837757.54200000002</v>
      </c>
      <c r="AB118" s="4">
        <v>837753.52099999995</v>
      </c>
      <c r="AC118" s="30">
        <f>J118</f>
        <v>831560.59100000001</v>
      </c>
      <c r="AD118" s="4">
        <v>890478.83499999996</v>
      </c>
      <c r="AE118" s="4">
        <v>912197.39300000004</v>
      </c>
      <c r="AF118" s="4">
        <v>1067900.27</v>
      </c>
      <c r="AG118" s="30">
        <f>R118</f>
        <v>828319.68500000006</v>
      </c>
      <c r="AH118" s="4">
        <v>890478.83499999996</v>
      </c>
      <c r="AI118" s="4">
        <v>1060837.997</v>
      </c>
      <c r="AJ118" s="4">
        <v>1002273.4889999999</v>
      </c>
      <c r="AK118" s="30">
        <f>L118</f>
        <v>883402.652</v>
      </c>
      <c r="AL118" s="4">
        <v>934168.196</v>
      </c>
      <c r="AM118" s="146">
        <v>885818.3</v>
      </c>
      <c r="AN118" s="4">
        <v>962817.76199999999</v>
      </c>
      <c r="AO118" s="30">
        <f>M118</f>
        <v>920985.41399999999</v>
      </c>
      <c r="AP118" s="146">
        <v>1155786.693</v>
      </c>
      <c r="AQ118" s="146">
        <v>1060115.81</v>
      </c>
      <c r="AR118" s="4">
        <v>1004023.007</v>
      </c>
      <c r="AS118" s="30">
        <f t="shared" ref="AS118" si="765">N118</f>
        <v>1014397.02</v>
      </c>
      <c r="AT118" s="146">
        <v>1072961.199</v>
      </c>
      <c r="AU118" s="146">
        <v>1108216.223</v>
      </c>
      <c r="AV118" s="4">
        <v>1173654.9990000001</v>
      </c>
      <c r="AW118" s="30">
        <f>O118</f>
        <v>1196553.848</v>
      </c>
      <c r="AX118" s="146">
        <v>1406537.9480000001</v>
      </c>
      <c r="AY118" s="4"/>
      <c r="AZ118" s="4"/>
      <c r="BA118" s="4"/>
      <c r="BB118" s="7"/>
    </row>
    <row r="119" spans="1:54" s="5" customFormat="1" ht="13.5" customHeight="1" outlineLevel="1">
      <c r="B119" s="5" t="s">
        <v>285</v>
      </c>
      <c r="C119" s="57"/>
      <c r="D119" s="57">
        <f t="shared" ref="D119:H119" si="766">D114+D118</f>
        <v>1708602.483</v>
      </c>
      <c r="E119" s="57">
        <f t="shared" si="766"/>
        <v>1662696.578</v>
      </c>
      <c r="F119" s="57">
        <f t="shared" si="766"/>
        <v>1613865.726</v>
      </c>
      <c r="G119" s="57">
        <f t="shared" si="766"/>
        <v>1542686.824</v>
      </c>
      <c r="H119" s="57">
        <f t="shared" si="766"/>
        <v>1624020.4620000001</v>
      </c>
      <c r="I119" s="57">
        <f t="shared" ref="I119" si="767">I114+I118</f>
        <v>1741287.3020000001</v>
      </c>
      <c r="J119" s="57">
        <f t="shared" ref="J119:O119" si="768">J114+J118</f>
        <v>1795043.8769999999</v>
      </c>
      <c r="K119" s="57">
        <f t="shared" si="768"/>
        <v>2176064.0219999999</v>
      </c>
      <c r="L119" s="57">
        <f t="shared" si="768"/>
        <v>2024587.0109999999</v>
      </c>
      <c r="M119" s="57">
        <f t="shared" si="768"/>
        <v>1951767.929</v>
      </c>
      <c r="N119" s="57">
        <f t="shared" si="768"/>
        <v>2134985.09</v>
      </c>
      <c r="O119" s="57">
        <f t="shared" si="768"/>
        <v>2356959.0429999996</v>
      </c>
      <c r="P119" s="57">
        <f t="shared" ref="P119" si="769">P114+P118</f>
        <v>2567339.6859999998</v>
      </c>
      <c r="Q119" s="57"/>
      <c r="R119" s="57">
        <f t="shared" ref="R119:W119" si="770">R114+R118</f>
        <v>1537096.9380000001</v>
      </c>
      <c r="S119" s="57">
        <f t="shared" si="770"/>
        <v>1491051.08</v>
      </c>
      <c r="T119" s="57">
        <f t="shared" si="770"/>
        <v>1505409.3670000001</v>
      </c>
      <c r="U119" s="57">
        <f t="shared" si="770"/>
        <v>1624020.4620000001</v>
      </c>
      <c r="V119" s="57">
        <f t="shared" si="770"/>
        <v>1638792.632</v>
      </c>
      <c r="W119" s="57">
        <f t="shared" si="770"/>
        <v>1640836.1540000001</v>
      </c>
      <c r="X119" s="57">
        <f>X114+X118</f>
        <v>1630476.048</v>
      </c>
      <c r="Y119" s="57">
        <f t="shared" ref="Y119:Z119" si="771">Y114+Y118</f>
        <v>1741287.3020000001</v>
      </c>
      <c r="Z119" s="57">
        <f t="shared" si="771"/>
        <v>2070478.8090000001</v>
      </c>
      <c r="AA119" s="57">
        <f t="shared" ref="AA119" si="772">AA114+AA118</f>
        <v>1874622.541</v>
      </c>
      <c r="AB119" s="57">
        <f>AB114+AB118</f>
        <v>1842740.4539999999</v>
      </c>
      <c r="AC119" s="57">
        <f t="shared" ref="AC119:AE119" si="773">AC114+AC118</f>
        <v>1795043.8769999999</v>
      </c>
      <c r="AD119" s="57">
        <f t="shared" si="773"/>
        <v>1855161.915</v>
      </c>
      <c r="AE119" s="57">
        <f t="shared" si="773"/>
        <v>1887181.4750000001</v>
      </c>
      <c r="AF119" s="57">
        <f>AF114+AF118</f>
        <v>2099723.9550000001</v>
      </c>
      <c r="AG119" s="57">
        <f t="shared" ref="AG119:AI119" si="774">AG114+AG118</f>
        <v>1902970.148</v>
      </c>
      <c r="AH119" s="57">
        <f t="shared" si="774"/>
        <v>1926771.923</v>
      </c>
      <c r="AI119" s="57">
        <f t="shared" si="774"/>
        <v>2225813.1569999997</v>
      </c>
      <c r="AJ119" s="57">
        <f>AJ114+AJ118</f>
        <v>2198341.4040000001</v>
      </c>
      <c r="AK119" s="57">
        <f>AK114+AK118</f>
        <v>2024587.0109999999</v>
      </c>
      <c r="AL119" s="57">
        <f t="shared" ref="AL119" si="775">AL114+AL118</f>
        <v>2023598.2589999998</v>
      </c>
      <c r="AM119" s="57">
        <f>AM114+AM118</f>
        <v>2031738.1050000002</v>
      </c>
      <c r="AN119" s="57">
        <f>AN114+AN118</f>
        <v>1991675.9450000001</v>
      </c>
      <c r="AO119" s="57">
        <f>AO114+AO118</f>
        <v>1951767.929</v>
      </c>
      <c r="AP119" s="57">
        <f t="shared" ref="AP119" si="776">AP114+AP118</f>
        <v>2229134.0120000001</v>
      </c>
      <c r="AQ119" s="57">
        <f>AQ114+AQ118</f>
        <v>2151423.5789999999</v>
      </c>
      <c r="AR119" s="57">
        <f>AR114+AR118</f>
        <v>2076510.3430000001</v>
      </c>
      <c r="AS119" s="57">
        <f>AS114+AS118</f>
        <v>2134985.09</v>
      </c>
      <c r="AT119" s="57">
        <f t="shared" ref="AT119" si="777">AT114+AT118</f>
        <v>2168315.8820000002</v>
      </c>
      <c r="AU119" s="57">
        <f>AU114+AU118</f>
        <v>2224984.8160000001</v>
      </c>
      <c r="AV119" s="57">
        <f>AV114+AV118</f>
        <v>2362079.6720000003</v>
      </c>
      <c r="AW119" s="57">
        <f>AW114+AW118</f>
        <v>2356959.0429999996</v>
      </c>
      <c r="AX119" s="57">
        <f t="shared" ref="AX119" si="778">AX114+AX118</f>
        <v>2567339.6859999998</v>
      </c>
      <c r="AY119" s="57"/>
      <c r="AZ119" s="57"/>
      <c r="BA119" s="57"/>
      <c r="BB119" s="7"/>
    </row>
    <row r="121" spans="1:54" ht="13.5" customHeight="1">
      <c r="A121" s="22"/>
      <c r="B121" s="15" t="s">
        <v>286</v>
      </c>
      <c r="C121" s="33"/>
      <c r="D121" s="33">
        <f t="shared" ref="D121:H121" si="779">+D93</f>
        <v>42004</v>
      </c>
      <c r="E121" s="33">
        <f t="shared" si="779"/>
        <v>42369</v>
      </c>
      <c r="F121" s="33">
        <f t="shared" si="779"/>
        <v>42735</v>
      </c>
      <c r="G121" s="60">
        <f t="shared" si="779"/>
        <v>43100</v>
      </c>
      <c r="H121" s="60">
        <f t="shared" si="779"/>
        <v>43465</v>
      </c>
      <c r="I121" s="60">
        <f t="shared" ref="I121:J121" si="780">+I93</f>
        <v>43830</v>
      </c>
      <c r="J121" s="60">
        <f t="shared" si="780"/>
        <v>44196</v>
      </c>
      <c r="K121" s="60">
        <f t="shared" ref="K121:L121" si="781">+K93</f>
        <v>44561</v>
      </c>
      <c r="L121" s="60">
        <f t="shared" si="781"/>
        <v>44926</v>
      </c>
      <c r="M121" s="60">
        <f t="shared" ref="M121:N121" si="782">+M93</f>
        <v>45291</v>
      </c>
      <c r="N121" s="60">
        <f t="shared" si="782"/>
        <v>45657</v>
      </c>
      <c r="O121" s="60">
        <f t="shared" ref="O121" si="783">+O93</f>
        <v>46022</v>
      </c>
      <c r="P121" s="141">
        <f t="shared" ref="P121" si="784">+P93</f>
        <v>46111</v>
      </c>
      <c r="Q121" s="267"/>
      <c r="R121" s="60">
        <f t="shared" ref="R121:X121" si="785">+R93</f>
        <v>43189</v>
      </c>
      <c r="S121" s="60">
        <f t="shared" si="785"/>
        <v>43281</v>
      </c>
      <c r="T121" s="60">
        <f t="shared" si="785"/>
        <v>43373</v>
      </c>
      <c r="U121" s="60">
        <f t="shared" si="785"/>
        <v>43464</v>
      </c>
      <c r="V121" s="60">
        <f t="shared" si="785"/>
        <v>43554</v>
      </c>
      <c r="W121" s="60">
        <f t="shared" si="785"/>
        <v>43646</v>
      </c>
      <c r="X121" s="60">
        <f t="shared" si="785"/>
        <v>43738</v>
      </c>
      <c r="Y121" s="60">
        <f t="shared" ref="Y121:Z121" si="786">+Y93</f>
        <v>43829</v>
      </c>
      <c r="Z121" s="60">
        <f t="shared" si="786"/>
        <v>43920</v>
      </c>
      <c r="AA121" s="60">
        <f t="shared" ref="AA121:AD121" si="787">+AA93</f>
        <v>44012</v>
      </c>
      <c r="AB121" s="60">
        <f t="shared" si="787"/>
        <v>44104</v>
      </c>
      <c r="AC121" s="60">
        <f t="shared" si="787"/>
        <v>44195</v>
      </c>
      <c r="AD121" s="60">
        <f t="shared" si="787"/>
        <v>44285</v>
      </c>
      <c r="AE121" s="60">
        <f t="shared" ref="AE121:AH121" si="788">+AE93</f>
        <v>44377</v>
      </c>
      <c r="AF121" s="60">
        <f t="shared" si="788"/>
        <v>44469</v>
      </c>
      <c r="AG121" s="60">
        <f t="shared" si="788"/>
        <v>44560</v>
      </c>
      <c r="AH121" s="60">
        <f t="shared" si="788"/>
        <v>44650</v>
      </c>
      <c r="AI121" s="60">
        <f t="shared" ref="AI121:AJ121" si="789">+AI93</f>
        <v>44742</v>
      </c>
      <c r="AJ121" s="60">
        <f t="shared" si="789"/>
        <v>44834</v>
      </c>
      <c r="AK121" s="60">
        <f t="shared" ref="AK121:AN121" si="790">+AK93</f>
        <v>44925</v>
      </c>
      <c r="AL121" s="60">
        <f t="shared" si="790"/>
        <v>45015</v>
      </c>
      <c r="AM121" s="60">
        <f t="shared" si="790"/>
        <v>45107</v>
      </c>
      <c r="AN121" s="60">
        <f t="shared" si="790"/>
        <v>45199</v>
      </c>
      <c r="AO121" s="60">
        <f t="shared" ref="AO121:AR121" si="791">+AO93</f>
        <v>45290</v>
      </c>
      <c r="AP121" s="60">
        <f t="shared" si="791"/>
        <v>45381</v>
      </c>
      <c r="AQ121" s="60">
        <f t="shared" si="791"/>
        <v>45473</v>
      </c>
      <c r="AR121" s="60">
        <f t="shared" si="791"/>
        <v>45565</v>
      </c>
      <c r="AS121" s="60">
        <f t="shared" ref="AS121:AV121" si="792">+AS93</f>
        <v>45656</v>
      </c>
      <c r="AT121" s="60">
        <f t="shared" si="792"/>
        <v>45746</v>
      </c>
      <c r="AU121" s="60">
        <f t="shared" si="792"/>
        <v>45838</v>
      </c>
      <c r="AV121" s="60">
        <f t="shared" si="792"/>
        <v>45930</v>
      </c>
      <c r="AW121" s="60">
        <f t="shared" ref="AW121:AX121" si="793">+AW93</f>
        <v>46021</v>
      </c>
      <c r="AX121" s="60">
        <f t="shared" si="793"/>
        <v>46111</v>
      </c>
      <c r="AY121" s="268"/>
      <c r="AZ121" s="268"/>
      <c r="BA121" s="268"/>
    </row>
    <row r="122" spans="1:54" ht="13.5" customHeight="1">
      <c r="B122" s="5"/>
    </row>
    <row r="123" spans="1:54" s="5" customFormat="1" ht="13.5" customHeight="1">
      <c r="B123" s="5" t="s">
        <v>287</v>
      </c>
      <c r="C123" s="25"/>
      <c r="D123" s="287">
        <f t="shared" ref="D123:H124" si="794">+D113/D$87</f>
        <v>2.4507836301511694</v>
      </c>
      <c r="E123" s="287">
        <f t="shared" si="794"/>
        <v>2.1566769514401001</v>
      </c>
      <c r="F123" s="287">
        <f t="shared" si="794"/>
        <v>2.0270924910692178</v>
      </c>
      <c r="G123" s="287">
        <f t="shared" si="794"/>
        <v>1.7556303896818797</v>
      </c>
      <c r="H123" s="287">
        <f t="shared" si="794"/>
        <v>1.9164179693750694</v>
      </c>
      <c r="I123" s="287">
        <f t="shared" ref="I123:J123" si="795">+I113/I$87</f>
        <v>1.762310116404725</v>
      </c>
      <c r="J123" s="287">
        <f t="shared" si="795"/>
        <v>1.8656002504764186</v>
      </c>
      <c r="K123" s="287">
        <f t="shared" ref="K123:L123" si="796">+K113/K$87</f>
        <v>1.9393585884651308</v>
      </c>
      <c r="L123" s="287">
        <f t="shared" si="796"/>
        <v>1.8288139587952896</v>
      </c>
      <c r="M123" s="287">
        <f t="shared" ref="M123:N123" si="797">+M113/M$87</f>
        <v>1.546663387987441</v>
      </c>
      <c r="N123" s="287">
        <f t="shared" si="797"/>
        <v>1.5076117725599802</v>
      </c>
      <c r="O123" s="287">
        <f t="shared" ref="O123" si="798">+O113/O$87</f>
        <v>1.4055552254445107</v>
      </c>
      <c r="P123" s="287">
        <f t="shared" ref="P123" si="799">+P113/P$87</f>
        <v>1.311920889008976</v>
      </c>
      <c r="Q123" s="287"/>
      <c r="R123" s="288"/>
      <c r="S123" s="288"/>
      <c r="T123" s="288"/>
      <c r="U123" s="287">
        <f t="shared" ref="U123:X124" si="800">+U113/U$87</f>
        <v>1.9164179693750698</v>
      </c>
      <c r="V123" s="287">
        <f t="shared" si="800"/>
        <v>2.0122391002665343</v>
      </c>
      <c r="W123" s="287">
        <f t="shared" si="800"/>
        <v>2.0200773870596649</v>
      </c>
      <c r="X123" s="287">
        <f t="shared" si="800"/>
        <v>2.0087184866546366</v>
      </c>
      <c r="Y123" s="287">
        <f t="shared" ref="Y123:Z123" si="801">+Y113/Y$87</f>
        <v>1.762310116404725</v>
      </c>
      <c r="Z123" s="287">
        <f t="shared" si="801"/>
        <v>1.8692036076374101</v>
      </c>
      <c r="AA123" s="287">
        <f t="shared" ref="AA123:AD123" si="802">+AA113/AA$87</f>
        <v>1.9608274673813801</v>
      </c>
      <c r="AB123" s="287">
        <f t="shared" si="802"/>
        <v>2.0449184017172577</v>
      </c>
      <c r="AC123" s="287">
        <f t="shared" si="802"/>
        <v>1.8656002504764186</v>
      </c>
      <c r="AD123" s="287">
        <f t="shared" si="802"/>
        <v>2.1704237728767453</v>
      </c>
      <c r="AE123" s="287">
        <f>+AE113/AE$87</f>
        <v>1.9466762351046012</v>
      </c>
      <c r="AF123" s="287">
        <f>+AF113/AF$87</f>
        <v>1.9713899691652657</v>
      </c>
      <c r="AG123" s="287">
        <f>+AG113/AG$87</f>
        <v>1.9393585884651308</v>
      </c>
      <c r="AH123" s="287">
        <f>+AH113/AH$87</f>
        <v>1.5517388117552466</v>
      </c>
      <c r="AI123" s="287">
        <f t="shared" ref="AI123:AJ123" si="803">+AI113/AI$87</f>
        <v>2.0471365817067668</v>
      </c>
      <c r="AJ123" s="287">
        <f t="shared" si="803"/>
        <v>2.0892822787448035</v>
      </c>
      <c r="AK123" s="287">
        <f t="shared" ref="AK123:AN123" si="804">+AK113/AK$87</f>
        <v>1.8288139587952896</v>
      </c>
      <c r="AL123" s="287">
        <f t="shared" si="804"/>
        <v>1.7641630936948802</v>
      </c>
      <c r="AM123" s="287">
        <f t="shared" si="804"/>
        <v>1.8824838738112883</v>
      </c>
      <c r="AN123" s="287">
        <f t="shared" si="804"/>
        <v>1.6487534545439635</v>
      </c>
      <c r="AO123" s="287">
        <f t="shared" ref="AO123:AR123" si="805">+AO113/AO$87</f>
        <v>1.546663387987441</v>
      </c>
      <c r="AP123" s="287">
        <f t="shared" si="805"/>
        <v>1.5341886169876537</v>
      </c>
      <c r="AQ123" s="287">
        <f t="shared" si="805"/>
        <v>1.6756214346472302</v>
      </c>
      <c r="AR123" s="287">
        <f t="shared" si="805"/>
        <v>1.6679415912178772</v>
      </c>
      <c r="AS123" s="287">
        <f t="shared" ref="AS123:AV123" si="806">+AS113/AS$87</f>
        <v>1.5076117725599802</v>
      </c>
      <c r="AT123" s="287">
        <f t="shared" si="806"/>
        <v>1.5036163769499296</v>
      </c>
      <c r="AU123" s="287">
        <f t="shared" si="806"/>
        <v>1.5162399011156991</v>
      </c>
      <c r="AV123" s="287">
        <f t="shared" si="806"/>
        <v>1.4644453588275343</v>
      </c>
      <c r="AW123" s="287">
        <f t="shared" ref="AW123:AX123" si="807">+AW113/AW$87</f>
        <v>1.4055552254445107</v>
      </c>
      <c r="AX123" s="287">
        <f t="shared" si="807"/>
        <v>1.311920889008976</v>
      </c>
      <c r="AY123" s="25"/>
      <c r="AZ123" s="25"/>
      <c r="BA123" s="25"/>
    </row>
    <row r="124" spans="1:54" ht="13.5" customHeight="1">
      <c r="B124" s="1" t="s">
        <v>288</v>
      </c>
      <c r="C124" s="26"/>
      <c r="D124" s="26">
        <f t="shared" si="794"/>
        <v>2.7252173776489261</v>
      </c>
      <c r="E124" s="26">
        <f t="shared" si="794"/>
        <v>2.5651194011915455</v>
      </c>
      <c r="F124" s="26">
        <f t="shared" si="794"/>
        <v>2.4813128040565524</v>
      </c>
      <c r="G124" s="26">
        <f t="shared" si="794"/>
        <v>2.1588436034105674</v>
      </c>
      <c r="H124" s="26">
        <f t="shared" si="794"/>
        <v>2.339660583941606</v>
      </c>
      <c r="I124" s="26">
        <f t="shared" ref="I124:J124" si="808">+I114/I$87</f>
        <v>2.2139638488945708</v>
      </c>
      <c r="J124" s="26">
        <f t="shared" si="808"/>
        <v>2.7486314687389455</v>
      </c>
      <c r="K124" s="26">
        <f t="shared" ref="K124:L124" si="809">+K114/K$87</f>
        <v>2.7054765654699118</v>
      </c>
      <c r="L124" s="26">
        <f t="shared" si="809"/>
        <v>2.4567487438375921</v>
      </c>
      <c r="M124" s="26">
        <f t="shared" ref="M124:N124" si="810">+M114/M$87</f>
        <v>2.1926504441532582</v>
      </c>
      <c r="N124" s="26">
        <f t="shared" si="810"/>
        <v>1.9380898905553865</v>
      </c>
      <c r="O124" s="26">
        <f t="shared" ref="O124" si="811">+O114/O$87</f>
        <v>1.888041149806055</v>
      </c>
      <c r="P124" s="26">
        <f t="shared" ref="P124" si="812">+P114/P$87</f>
        <v>1.8235142151580177</v>
      </c>
      <c r="Q124" s="26"/>
      <c r="R124" s="242"/>
      <c r="S124" s="242"/>
      <c r="T124" s="242"/>
      <c r="U124" s="26">
        <f t="shared" si="800"/>
        <v>2.339660583941606</v>
      </c>
      <c r="V124" s="26">
        <f t="shared" si="800"/>
        <v>2.39550500498768</v>
      </c>
      <c r="W124" s="26">
        <f t="shared" si="800"/>
        <v>2.3852496066909183</v>
      </c>
      <c r="X124" s="26">
        <f t="shared" si="800"/>
        <v>2.3297214516158431</v>
      </c>
      <c r="Y124" s="26">
        <f t="shared" ref="Y124:Z124" si="813">+Y114/Y$87</f>
        <v>2.2139638488945708</v>
      </c>
      <c r="Z124" s="26">
        <f t="shared" si="813"/>
        <v>2.9332974769371285</v>
      </c>
      <c r="AA124" s="26">
        <f t="shared" ref="AA124" si="814">+AA114/AA$87</f>
        <v>3.053824401378376</v>
      </c>
      <c r="AB124" s="26">
        <f>+AB114/AB$87</f>
        <v>2.868719230088546</v>
      </c>
      <c r="AC124" s="26">
        <f t="shared" ref="AC124:AD124" si="815">+AC114/AC$87</f>
        <v>2.7486314687389455</v>
      </c>
      <c r="AD124" s="26">
        <f t="shared" si="815"/>
        <v>2.7681165458625303</v>
      </c>
      <c r="AE124" s="26">
        <f>+AE114/AE$87</f>
        <v>2.6003181294472837</v>
      </c>
      <c r="AF124" s="26">
        <f>+AF114/AF$87</f>
        <v>2.6985589142198081</v>
      </c>
      <c r="AG124" s="26">
        <f t="shared" ref="AG124:AI124" si="816">+AG114/AG$87</f>
        <v>2.7054765654699118</v>
      </c>
      <c r="AH124" s="26">
        <f t="shared" si="816"/>
        <v>2.4871133596534385</v>
      </c>
      <c r="AI124" s="26">
        <f t="shared" si="816"/>
        <v>2.6400686205857222</v>
      </c>
      <c r="AJ124" s="26">
        <f>+AJ114/AJ$87</f>
        <v>2.6237327169227731</v>
      </c>
      <c r="AK124" s="26">
        <f>+AK114/AK$87</f>
        <v>2.4567487438375921</v>
      </c>
      <c r="AL124" s="26">
        <f t="shared" ref="AL124:AM124" si="817">+AL114/AL$87</f>
        <v>2.3151285951080602</v>
      </c>
      <c r="AM124" s="26">
        <f t="shared" si="817"/>
        <v>2.4050652729184554</v>
      </c>
      <c r="AN124" s="26">
        <f>+AN114/AN$87</f>
        <v>2.1096517733564903</v>
      </c>
      <c r="AO124" s="26">
        <f>+AO114/AO$87</f>
        <v>2.1926504441532582</v>
      </c>
      <c r="AP124" s="26">
        <f t="shared" ref="AP124:AQ124" si="818">+AP114/AP$87</f>
        <v>2.1335392350765181</v>
      </c>
      <c r="AQ124" s="26">
        <f t="shared" si="818"/>
        <v>2.1290819026400194</v>
      </c>
      <c r="AR124" s="26">
        <f>+AR114/AR$87</f>
        <v>2.0757042691305747</v>
      </c>
      <c r="AS124" s="26">
        <f>+AS114/AS$87</f>
        <v>1.9380898905553865</v>
      </c>
      <c r="AT124" s="26">
        <f t="shared" ref="AT124:AU124" si="819">+AT114/AT$87</f>
        <v>1.8570715970221878</v>
      </c>
      <c r="AU124" s="26">
        <f t="shared" si="819"/>
        <v>1.8616129759807167</v>
      </c>
      <c r="AV124" s="26">
        <f>+AV114/AV$87</f>
        <v>1.9218075887507704</v>
      </c>
      <c r="AW124" s="26">
        <f>+AW114/AW$87</f>
        <v>1.888041149806055</v>
      </c>
      <c r="AX124" s="26">
        <f t="shared" ref="AX124" si="820">+AX114/AX$87</f>
        <v>1.8235142151580177</v>
      </c>
      <c r="AY124" s="26"/>
      <c r="AZ124" s="26"/>
      <c r="BA124" s="26"/>
    </row>
    <row r="125" spans="1:54" ht="13.5" customHeight="1">
      <c r="C125" s="26"/>
      <c r="D125" s="26"/>
      <c r="E125" s="26"/>
      <c r="F125" s="26"/>
      <c r="G125" s="26"/>
      <c r="H125" s="26"/>
      <c r="I125" s="26"/>
      <c r="J125" s="26"/>
      <c r="K125" s="26"/>
      <c r="L125" s="26"/>
      <c r="M125" s="26"/>
      <c r="N125" s="26"/>
      <c r="O125" s="26"/>
      <c r="P125" s="26"/>
      <c r="Q125" s="26"/>
      <c r="R125" s="26"/>
      <c r="S125" s="26"/>
      <c r="T125" s="26"/>
      <c r="U125" s="26"/>
      <c r="V125" s="26"/>
      <c r="W125" s="26"/>
      <c r="X125" s="26"/>
      <c r="Y125" s="26"/>
      <c r="Z125" s="26"/>
      <c r="AA125" s="26"/>
      <c r="AB125" s="26"/>
      <c r="AC125" s="26"/>
      <c r="AD125" s="26"/>
      <c r="AE125" s="26"/>
      <c r="AF125" s="26"/>
      <c r="AG125" s="26"/>
      <c r="AH125" s="26"/>
      <c r="AI125" s="26"/>
      <c r="AJ125" s="26"/>
      <c r="AK125" s="26"/>
      <c r="AL125" s="26"/>
      <c r="AM125" s="26"/>
      <c r="AN125" s="26"/>
      <c r="AO125" s="26"/>
      <c r="AP125" s="26"/>
      <c r="AQ125" s="26"/>
      <c r="AR125" s="26"/>
      <c r="AS125" s="26"/>
      <c r="AT125" s="26"/>
      <c r="AU125" s="26"/>
      <c r="AV125" s="26"/>
      <c r="AW125" s="26"/>
      <c r="AX125" s="26"/>
      <c r="AY125" s="26"/>
      <c r="AZ125" s="26"/>
      <c r="BA125" s="26"/>
    </row>
    <row r="126" spans="1:54" s="5" customFormat="1" ht="13.5" customHeight="1">
      <c r="B126" s="5" t="s">
        <v>289</v>
      </c>
      <c r="C126" s="25"/>
      <c r="D126" s="243"/>
      <c r="E126" s="243"/>
      <c r="F126" s="243"/>
      <c r="G126" s="243"/>
      <c r="H126" s="243"/>
      <c r="I126" s="243"/>
      <c r="J126" s="243"/>
      <c r="K126" s="243"/>
      <c r="L126" s="287">
        <f t="shared" ref="L126:N126" si="821">L116/L$87</f>
        <v>1.3822728122107166</v>
      </c>
      <c r="M126" s="287">
        <f t="shared" si="821"/>
        <v>1.3770551532839261</v>
      </c>
      <c r="N126" s="287">
        <f t="shared" si="821"/>
        <v>1.2224959062041674</v>
      </c>
      <c r="O126" s="287">
        <f t="shared" ref="O126" si="822">O116/O$87</f>
        <v>1.2507558281050686</v>
      </c>
      <c r="P126" s="287">
        <f>P116/P$87</f>
        <v>1.11314089171094</v>
      </c>
      <c r="Q126" s="287"/>
      <c r="R126" s="288"/>
      <c r="S126" s="288"/>
      <c r="T126" s="288"/>
      <c r="U126" s="288"/>
      <c r="V126" s="288"/>
      <c r="W126" s="288"/>
      <c r="X126" s="288"/>
      <c r="Y126" s="288"/>
      <c r="Z126" s="288"/>
      <c r="AA126" s="288"/>
      <c r="AB126" s="288"/>
      <c r="AC126" s="288"/>
      <c r="AD126" s="288"/>
      <c r="AE126" s="288"/>
      <c r="AF126" s="288"/>
      <c r="AG126" s="288"/>
      <c r="AH126" s="288"/>
      <c r="AI126" s="288"/>
      <c r="AJ126" s="288"/>
      <c r="AK126" s="288"/>
      <c r="AL126" s="287">
        <f>AL116/AL$87</f>
        <v>1.2332231973988992</v>
      </c>
      <c r="AM126" s="287">
        <f t="shared" ref="AM126:AU126" si="823">AM116/AM$87</f>
        <v>1.5468616780806823</v>
      </c>
      <c r="AN126" s="287">
        <f t="shared" si="823"/>
        <v>1.4793214207356709</v>
      </c>
      <c r="AO126" s="287">
        <f t="shared" si="823"/>
        <v>1.3770551532839261</v>
      </c>
      <c r="AP126" s="287">
        <f t="shared" si="823"/>
        <v>1.3266668164100159</v>
      </c>
      <c r="AQ126" s="287">
        <f t="shared" si="823"/>
        <v>1.4322556206737787</v>
      </c>
      <c r="AR126" s="287">
        <f t="shared" si="823"/>
        <v>1.3883865210205037</v>
      </c>
      <c r="AS126" s="287">
        <f t="shared" si="823"/>
        <v>1.2224959062041674</v>
      </c>
      <c r="AT126" s="287">
        <f t="shared" si="823"/>
        <v>1.3967400009155195</v>
      </c>
      <c r="AU126" s="287">
        <f t="shared" si="823"/>
        <v>1.3952779162283939</v>
      </c>
      <c r="AV126" s="287">
        <f t="shared" ref="AV126:AX126" si="824">AV116/AV$87</f>
        <v>1.3354236653627409</v>
      </c>
      <c r="AW126" s="287">
        <f t="shared" si="824"/>
        <v>1.2507558281050686</v>
      </c>
      <c r="AX126" s="287">
        <f t="shared" si="824"/>
        <v>1.11314089171094</v>
      </c>
      <c r="AY126" s="25"/>
      <c r="AZ126" s="25"/>
      <c r="BA126" s="25"/>
    </row>
    <row r="127" spans="1:54" ht="13.5" customHeight="1">
      <c r="C127" s="26"/>
      <c r="D127" s="26"/>
      <c r="E127" s="26"/>
      <c r="F127" s="26"/>
      <c r="G127" s="26"/>
      <c r="H127" s="26"/>
      <c r="I127" s="26"/>
      <c r="J127" s="26"/>
      <c r="K127" s="26"/>
      <c r="L127" s="26"/>
      <c r="M127" s="26"/>
      <c r="N127" s="26"/>
      <c r="O127" s="26"/>
      <c r="P127" s="26"/>
      <c r="Q127" s="26"/>
      <c r="R127" s="26"/>
      <c r="S127" s="26"/>
      <c r="T127" s="26"/>
      <c r="U127" s="26"/>
      <c r="V127" s="26"/>
      <c r="W127" s="26"/>
      <c r="X127" s="26"/>
      <c r="Y127" s="26"/>
      <c r="Z127" s="26"/>
      <c r="AA127" s="26"/>
      <c r="AB127" s="26"/>
      <c r="AC127" s="26"/>
      <c r="AD127" s="26"/>
      <c r="AE127" s="26"/>
      <c r="AF127" s="26"/>
      <c r="AG127" s="26"/>
      <c r="AH127" s="26"/>
      <c r="AI127" s="26"/>
      <c r="AJ127" s="26"/>
      <c r="AK127" s="26"/>
      <c r="AL127" s="26"/>
      <c r="AM127" s="26"/>
      <c r="AN127" s="26"/>
      <c r="AO127" s="26"/>
      <c r="AP127" s="26"/>
      <c r="AQ127" s="26"/>
      <c r="AR127" s="26"/>
      <c r="AS127" s="26"/>
      <c r="AT127" s="26"/>
      <c r="AU127" s="26"/>
      <c r="AV127" s="26"/>
      <c r="AW127" s="26"/>
      <c r="AX127" s="26"/>
      <c r="AY127" s="26"/>
      <c r="AZ127" s="26"/>
      <c r="BA127" s="26"/>
    </row>
    <row r="128" spans="1:54" s="5" customFormat="1" ht="13.5" customHeight="1">
      <c r="B128" s="5" t="s">
        <v>290</v>
      </c>
      <c r="C128" s="25"/>
      <c r="D128" s="287">
        <f t="shared" ref="D128:H128" si="825">+(D87-D90)/D88</f>
        <v>2.7907638278920741</v>
      </c>
      <c r="E128" s="287">
        <f t="shared" si="825"/>
        <v>3.5164982419360995</v>
      </c>
      <c r="F128" s="287">
        <f t="shared" si="825"/>
        <v>3.6621135301592429</v>
      </c>
      <c r="G128" s="287">
        <f t="shared" si="825"/>
        <v>3.1849680568680361</v>
      </c>
      <c r="H128" s="287">
        <f t="shared" si="825"/>
        <v>4.9370246129344917</v>
      </c>
      <c r="I128" s="287">
        <f t="shared" ref="I128:J128" si="826">+(I87-I90)/I88</f>
        <v>6.5908940578161763</v>
      </c>
      <c r="J128" s="287">
        <f t="shared" si="826"/>
        <v>5.9744149083632845</v>
      </c>
      <c r="K128" s="287">
        <f t="shared" ref="K128:L128" si="827">+(K87-K90)/K88</f>
        <v>4.6560351810390603</v>
      </c>
      <c r="L128" s="287">
        <f t="shared" si="827"/>
        <v>6.2000263618179146</v>
      </c>
      <c r="M128" s="287">
        <f t="shared" ref="M128:N128" si="828">+(M87-M90)/M88</f>
        <v>4.1418067419073124</v>
      </c>
      <c r="N128" s="287">
        <f t="shared" si="828"/>
        <v>4.3724786466004462</v>
      </c>
      <c r="O128" s="287">
        <f t="shared" ref="O128" si="829">+(O87-O90)/O88</f>
        <v>5.8773432600593205</v>
      </c>
      <c r="P128" s="287">
        <f t="shared" ref="P128" si="830">+(P87-P90)/P88</f>
        <v>6.7397077522088384</v>
      </c>
      <c r="Q128" s="287"/>
      <c r="R128" s="288"/>
      <c r="S128" s="288"/>
      <c r="T128" s="288"/>
      <c r="U128" s="287">
        <f t="shared" ref="U128:AA128" si="831">+(U87-U90)/U88</f>
        <v>4.9370246129344917</v>
      </c>
      <c r="V128" s="287">
        <f t="shared" si="831"/>
        <v>5.0141105439550557</v>
      </c>
      <c r="W128" s="287">
        <f t="shared" si="831"/>
        <v>4.8564017088670175</v>
      </c>
      <c r="X128" s="287">
        <f t="shared" si="831"/>
        <v>5.9367621727326414</v>
      </c>
      <c r="Y128" s="287">
        <f t="shared" si="831"/>
        <v>6.5908940578161763</v>
      </c>
      <c r="Z128" s="287">
        <f t="shared" si="831"/>
        <v>6.6319107471836078</v>
      </c>
      <c r="AA128" s="287">
        <f t="shared" si="831"/>
        <v>6.5404678319194991</v>
      </c>
      <c r="AB128" s="287">
        <f t="shared" ref="AB128:AE128" si="832">+(AB87-AB90)/AB88</f>
        <v>5.746091218497976</v>
      </c>
      <c r="AC128" s="287">
        <f t="shared" si="832"/>
        <v>5.9744149083632845</v>
      </c>
      <c r="AD128" s="287">
        <f t="shared" si="832"/>
        <v>5.9953140532302598</v>
      </c>
      <c r="AE128" s="287">
        <f t="shared" si="832"/>
        <v>6.3264791323796938</v>
      </c>
      <c r="AF128" s="287">
        <f t="shared" ref="AF128:AI128" si="833">+(AF87-AF90)/AF88</f>
        <v>5.8487595291870891</v>
      </c>
      <c r="AG128" s="287">
        <f t="shared" si="833"/>
        <v>4.6560351810390603</v>
      </c>
      <c r="AH128" s="287">
        <f t="shared" si="833"/>
        <v>4.5075281488479035</v>
      </c>
      <c r="AI128" s="287">
        <f t="shared" si="833"/>
        <v>4.139984298163049</v>
      </c>
      <c r="AJ128" s="287">
        <f>+(AJ87-AJ90)/AJ88</f>
        <v>3.1601313685652532</v>
      </c>
      <c r="AK128" s="287">
        <f>+(AK87-AK90)/AK88</f>
        <v>6.2000263618179146</v>
      </c>
      <c r="AL128" s="287">
        <f t="shared" ref="AL128:AM128" si="834">+(AL87-AL90)/AL88</f>
        <v>6.1280411295822965</v>
      </c>
      <c r="AM128" s="287">
        <f t="shared" si="834"/>
        <v>5.6220815317356303</v>
      </c>
      <c r="AN128" s="287">
        <f>+(AN87-AN90)/AN88</f>
        <v>8.1650025786428806</v>
      </c>
      <c r="AO128" s="287">
        <f>+(AO87-AO90)/AO88</f>
        <v>4.1418067419073132</v>
      </c>
      <c r="AP128" s="287">
        <f t="shared" ref="AP128:AQ128" si="835">+(AP87-AP90)/AP88</f>
        <v>4.6498574915032247</v>
      </c>
      <c r="AQ128" s="287">
        <f t="shared" si="835"/>
        <v>4.647285037377066</v>
      </c>
      <c r="AR128" s="287">
        <f>+(AR87-AR90)/AR88</f>
        <v>4.4680238693980376</v>
      </c>
      <c r="AS128" s="287">
        <f>+(AS87-AS90)/AS88</f>
        <v>4.372478646600447</v>
      </c>
      <c r="AT128" s="287">
        <f t="shared" ref="AT128:AU128" si="836">+(AT87-AT90)/AT88</f>
        <v>4.387569514133161</v>
      </c>
      <c r="AU128" s="287">
        <f t="shared" si="836"/>
        <v>5.68126461156207</v>
      </c>
      <c r="AV128" s="287">
        <f>+(AV87-AV90)/AV88</f>
        <v>5.0893596554734044</v>
      </c>
      <c r="AW128" s="287">
        <f>+(AW87-AW90)/AW88</f>
        <v>5.8773432600593205</v>
      </c>
      <c r="AX128" s="287">
        <f t="shared" ref="AX128" si="837">+(AX87-AX90)/AX88</f>
        <v>6.7397077522088384</v>
      </c>
      <c r="AY128" s="25"/>
      <c r="AZ128" s="25"/>
      <c r="BA128" s="25"/>
    </row>
    <row r="129" spans="2:53" ht="13.5" customHeight="1">
      <c r="B129" s="1" t="s">
        <v>291</v>
      </c>
      <c r="C129" s="26"/>
      <c r="D129" s="26">
        <f t="shared" ref="D129:H129" si="838">+D87/D88</f>
        <v>4.6672228545272354</v>
      </c>
      <c r="E129" s="26">
        <f t="shared" si="838"/>
        <v>5.4556421639218726</v>
      </c>
      <c r="F129" s="26">
        <f t="shared" si="838"/>
        <v>6.2285548768543464</v>
      </c>
      <c r="G129" s="26">
        <f t="shared" si="838"/>
        <v>6.3628841780740579</v>
      </c>
      <c r="H129" s="26">
        <f t="shared" si="838"/>
        <v>7.8582907610625616</v>
      </c>
      <c r="I129" s="26">
        <f t="shared" ref="I129:J129" si="839">+I87/I88</f>
        <v>9.6528705785875886</v>
      </c>
      <c r="J129" s="26">
        <f t="shared" si="839"/>
        <v>7.9128646715983511</v>
      </c>
      <c r="K129" s="26">
        <f t="shared" ref="K129:L129" si="840">+K87/K88</f>
        <v>7.1573563385676966</v>
      </c>
      <c r="L129" s="26">
        <f t="shared" si="840"/>
        <v>10.363344650739601</v>
      </c>
      <c r="M129" s="26">
        <f t="shared" ref="M129:N129" si="841">+M87/M88</f>
        <v>7.0154841531401146</v>
      </c>
      <c r="N129" s="26">
        <f t="shared" si="841"/>
        <v>8.7821196001197439</v>
      </c>
      <c r="O129" s="26">
        <f t="shared" ref="O129" si="842">+O87/O88</f>
        <v>10.720238930189199</v>
      </c>
      <c r="P129" s="26">
        <f t="shared" ref="P129" si="843">+P87/P88</f>
        <v>11.618866838970948</v>
      </c>
      <c r="Q129" s="26"/>
      <c r="R129" s="242"/>
      <c r="S129" s="242"/>
      <c r="T129" s="242"/>
      <c r="U129" s="26">
        <f t="shared" ref="U129:AA129" si="844">+U87/U88</f>
        <v>7.8582907610625616</v>
      </c>
      <c r="V129" s="26">
        <f t="shared" si="844"/>
        <v>7.9990777159020121</v>
      </c>
      <c r="W129" s="26">
        <f t="shared" si="844"/>
        <v>7.7776678569950874</v>
      </c>
      <c r="X129" s="26">
        <f t="shared" si="844"/>
        <v>9.119788756948175</v>
      </c>
      <c r="Y129" s="26">
        <f t="shared" si="844"/>
        <v>9.6528705785875886</v>
      </c>
      <c r="Z129" s="26">
        <f t="shared" si="844"/>
        <v>9.6621137614234591</v>
      </c>
      <c r="AA129" s="26">
        <f t="shared" si="844"/>
        <v>9.5254040981484973</v>
      </c>
      <c r="AB129" s="26">
        <f t="shared" ref="AB129:AE129" si="845">+AB87/AB88</f>
        <v>7.940745356023065</v>
      </c>
      <c r="AC129" s="26">
        <f t="shared" si="845"/>
        <v>7.9128646715983511</v>
      </c>
      <c r="AD129" s="26">
        <f t="shared" si="845"/>
        <v>7.476002698069462</v>
      </c>
      <c r="AE129" s="26">
        <f t="shared" si="845"/>
        <v>7.5075118066990107</v>
      </c>
      <c r="AF129" s="26">
        <f t="shared" ref="AF129:AI129" si="846">+AF87/AF88</f>
        <v>7.3628135101613248</v>
      </c>
      <c r="AG129" s="26">
        <f t="shared" si="846"/>
        <v>7.1573563385676966</v>
      </c>
      <c r="AH129" s="26">
        <f t="shared" si="846"/>
        <v>7.3552928893463072</v>
      </c>
      <c r="AI129" s="26">
        <f t="shared" si="846"/>
        <v>7.1432868220347112</v>
      </c>
      <c r="AJ129" s="26">
        <f>+AJ87/AJ88</f>
        <v>5.9789710826417313</v>
      </c>
      <c r="AK129" s="26">
        <f>+AK87/AK88</f>
        <v>10.363344650739601</v>
      </c>
      <c r="AL129" s="26">
        <f t="shared" ref="AL129:AM129" si="847">+AL87/AL88</f>
        <v>10.726623729930434</v>
      </c>
      <c r="AM129" s="26">
        <f t="shared" si="847"/>
        <v>10.996554484782754</v>
      </c>
      <c r="AN129" s="26">
        <f>+AN87/AN88</f>
        <v>13.95761294942368</v>
      </c>
      <c r="AO129" s="26">
        <f>+AO87/AO88</f>
        <v>7.0154841531401164</v>
      </c>
      <c r="AP129" s="26">
        <f t="shared" ref="AP129:AQ129" si="848">+AP87/AP88</f>
        <v>7.8264706872511294</v>
      </c>
      <c r="AQ129" s="26">
        <f t="shared" si="848"/>
        <v>8.1697179318544215</v>
      </c>
      <c r="AR129" s="26">
        <f>+AR87/AR88</f>
        <v>8.7190937971762672</v>
      </c>
      <c r="AS129" s="26">
        <f>+AS87/AS88</f>
        <v>8.7821196001197457</v>
      </c>
      <c r="AT129" s="26">
        <f t="shared" ref="AT129:AU129" si="849">+AT87/AT88</f>
        <v>8.6887501405518179</v>
      </c>
      <c r="AU129" s="26">
        <f t="shared" si="849"/>
        <v>9.8796779849451006</v>
      </c>
      <c r="AV129" s="26">
        <f>+AV87/AV88</f>
        <v>9.0952170411982571</v>
      </c>
      <c r="AW129" s="26">
        <f>+AW87/AW88</f>
        <v>10.720238930189199</v>
      </c>
      <c r="AX129" s="26">
        <f t="shared" ref="AX129" si="850">+AX87/AX88</f>
        <v>11.618866838970948</v>
      </c>
      <c r="AY129" s="26"/>
      <c r="AZ129" s="26"/>
      <c r="BA129" s="26"/>
    </row>
    <row r="130" spans="2:53" ht="13.5" customHeight="1">
      <c r="C130" s="8"/>
      <c r="D130" s="8"/>
      <c r="E130" s="8"/>
      <c r="F130" s="8"/>
      <c r="G130" s="8"/>
      <c r="H130" s="8"/>
      <c r="I130" s="8"/>
      <c r="J130" s="8"/>
      <c r="K130" s="8"/>
      <c r="L130" s="8"/>
      <c r="M130" s="8"/>
      <c r="N130" s="8"/>
      <c r="O130" s="8"/>
      <c r="P130" s="8"/>
      <c r="Q130" s="8"/>
      <c r="R130" s="8"/>
      <c r="S130" s="8"/>
      <c r="T130" s="8"/>
      <c r="U130" s="8"/>
      <c r="V130" s="8"/>
      <c r="W130" s="8"/>
      <c r="X130" s="8"/>
      <c r="Y130" s="8"/>
      <c r="Z130" s="8"/>
      <c r="AA130" s="8"/>
      <c r="AB130" s="8"/>
      <c r="AC130" s="8"/>
      <c r="AD130" s="8"/>
      <c r="AE130" s="8"/>
      <c r="AF130" s="8"/>
      <c r="AG130" s="8"/>
      <c r="AH130" s="8"/>
      <c r="AI130" s="8"/>
      <c r="AJ130" s="8"/>
      <c r="AK130" s="8"/>
      <c r="AL130" s="8"/>
      <c r="AM130" s="8"/>
      <c r="AN130" s="8"/>
      <c r="AO130" s="8"/>
      <c r="AP130" s="8"/>
      <c r="AQ130" s="8"/>
      <c r="AR130" s="8"/>
      <c r="AS130" s="8"/>
      <c r="AT130" s="8"/>
      <c r="AU130" s="8"/>
      <c r="AV130" s="8"/>
      <c r="AW130" s="8"/>
      <c r="AX130" s="8"/>
      <c r="AY130" s="8"/>
      <c r="AZ130" s="8"/>
      <c r="BA130" s="8"/>
    </row>
    <row r="131" spans="2:53" s="5" customFormat="1" ht="13.5" customHeight="1">
      <c r="B131" s="5" t="s">
        <v>292</v>
      </c>
      <c r="C131" s="58"/>
      <c r="D131" s="58">
        <f t="shared" ref="D131:H131" si="851">D113/D118</f>
        <v>0.77267855751590309</v>
      </c>
      <c r="E131" s="58">
        <f t="shared" si="851"/>
        <v>0.80090946339194913</v>
      </c>
      <c r="F131" s="58">
        <f t="shared" si="851"/>
        <v>0.74858027001674243</v>
      </c>
      <c r="G131" s="58">
        <f t="shared" si="851"/>
        <v>0.72944864263993225</v>
      </c>
      <c r="H131" s="58">
        <f t="shared" si="851"/>
        <v>0.72103280480251009</v>
      </c>
      <c r="I131" s="58">
        <f t="shared" ref="I131:J131" si="852">I113/I118</f>
        <v>0.63454728331853183</v>
      </c>
      <c r="J131" s="58">
        <f t="shared" si="852"/>
        <v>0.78641604000687904</v>
      </c>
      <c r="K131" s="58">
        <f t="shared" ref="K131:L131" si="853">K113/K118</f>
        <v>0.69940889750749835</v>
      </c>
      <c r="L131" s="58">
        <f t="shared" si="853"/>
        <v>0.96162533594024113</v>
      </c>
      <c r="M131" s="58">
        <f t="shared" ref="M131:N131" si="854">M113/M118</f>
        <v>0.78947920449910614</v>
      </c>
      <c r="N131" s="58">
        <f t="shared" si="854"/>
        <v>0.85931745540813997</v>
      </c>
      <c r="O131" s="58">
        <f t="shared" ref="O131" si="855">O113/O118</f>
        <v>0.72196122844276689</v>
      </c>
      <c r="P131" s="58">
        <f t="shared" ref="P131" si="856">P113/P118</f>
        <v>0.5937520059003768</v>
      </c>
      <c r="Q131" s="265"/>
      <c r="R131" s="58">
        <f t="shared" ref="R131:X131" si="857">R113/R118</f>
        <v>0.71672395060851413</v>
      </c>
      <c r="S131" s="58">
        <f t="shared" si="857"/>
        <v>0.80500585239253919</v>
      </c>
      <c r="T131" s="58">
        <f t="shared" si="857"/>
        <v>0.8285085863384879</v>
      </c>
      <c r="U131" s="58">
        <f t="shared" si="857"/>
        <v>0.72103280480251031</v>
      </c>
      <c r="V131" s="58">
        <f t="shared" si="857"/>
        <v>0.72868931216176225</v>
      </c>
      <c r="W131" s="58">
        <f t="shared" si="857"/>
        <v>0.7436660720043069</v>
      </c>
      <c r="X131" s="58">
        <f t="shared" si="857"/>
        <v>0.76567733964193363</v>
      </c>
      <c r="Y131" s="58">
        <f t="shared" ref="Y131:Z131" si="858">Y113/Y118</f>
        <v>0.63454728331853183</v>
      </c>
      <c r="Z131" s="58">
        <f t="shared" si="858"/>
        <v>0.66002639317082412</v>
      </c>
      <c r="AA131" s="58">
        <f t="shared" ref="AA131:AD131" si="859">AA113/AA118</f>
        <v>0.79469263673904356</v>
      </c>
      <c r="AB131" s="58">
        <f t="shared" si="859"/>
        <v>0.85512989923918215</v>
      </c>
      <c r="AC131" s="58">
        <f t="shared" si="859"/>
        <v>0.78641604000687904</v>
      </c>
      <c r="AD131" s="58">
        <f t="shared" si="859"/>
        <v>0.8494175428661368</v>
      </c>
      <c r="AE131" s="58">
        <f t="shared" ref="AE131:AH131" si="860">AE113/AE118</f>
        <v>0.80015835015656533</v>
      </c>
      <c r="AF131" s="58">
        <f t="shared" si="860"/>
        <v>0.70585490160050257</v>
      </c>
      <c r="AG131" s="58">
        <f t="shared" si="860"/>
        <v>0.93000137139080541</v>
      </c>
      <c r="AH131" s="58">
        <f t="shared" si="860"/>
        <v>0.72607593419106908</v>
      </c>
      <c r="AI131" s="58">
        <f t="shared" ref="AI131:AJ131" si="861">AI113/AI118</f>
        <v>0.85152852796994982</v>
      </c>
      <c r="AJ131" s="58">
        <f t="shared" si="861"/>
        <v>0.95027023706899627</v>
      </c>
      <c r="AK131" s="58">
        <f t="shared" ref="AK131:AN131" si="862">AK113/AK118</f>
        <v>0.96162533594024113</v>
      </c>
      <c r="AL131" s="58">
        <f t="shared" si="862"/>
        <v>0.88866462223254694</v>
      </c>
      <c r="AM131" s="58">
        <f t="shared" si="862"/>
        <v>1.0125441628379095</v>
      </c>
      <c r="AN131" s="58">
        <f t="shared" si="862"/>
        <v>0.83513438652163141</v>
      </c>
      <c r="AO131" s="58">
        <f t="shared" ref="AO131:AR131" si="863">AO113/AO118</f>
        <v>0.78947920449910614</v>
      </c>
      <c r="AP131" s="58">
        <f t="shared" si="863"/>
        <v>0.66779122538314239</v>
      </c>
      <c r="AQ131" s="58">
        <f t="shared" si="863"/>
        <v>0.81017245653566861</v>
      </c>
      <c r="AR131" s="58">
        <f t="shared" si="863"/>
        <v>0.85834892526521567</v>
      </c>
      <c r="AS131" s="58">
        <f t="shared" ref="AS131:AV131" si="864">AS113/AS118</f>
        <v>0.85931745540813997</v>
      </c>
      <c r="AT131" s="58">
        <f t="shared" si="864"/>
        <v>0.82656907335192464</v>
      </c>
      <c r="AU131" s="58">
        <f t="shared" si="864"/>
        <v>0.82076194529774549</v>
      </c>
      <c r="AV131" s="58">
        <f t="shared" si="864"/>
        <v>0.77160400779752492</v>
      </c>
      <c r="AW131" s="58">
        <f t="shared" ref="AW131:AX131" si="865">AW113/AW118</f>
        <v>0.72196122844276689</v>
      </c>
      <c r="AX131" s="58">
        <f t="shared" si="865"/>
        <v>0.5937520059003768</v>
      </c>
      <c r="AY131" s="58"/>
      <c r="AZ131" s="58"/>
      <c r="BA131" s="58"/>
    </row>
    <row r="132" spans="2:53" s="5" customFormat="1" ht="13.5" customHeight="1">
      <c r="C132" s="58"/>
      <c r="D132" s="58"/>
      <c r="E132" s="58"/>
      <c r="F132" s="58"/>
      <c r="G132" s="58"/>
      <c r="H132" s="58"/>
      <c r="I132" s="58"/>
      <c r="J132" s="58"/>
      <c r="K132" s="58"/>
      <c r="L132" s="58"/>
      <c r="M132" s="58"/>
      <c r="N132" s="58"/>
      <c r="O132" s="58"/>
      <c r="P132" s="58"/>
      <c r="Q132" s="265"/>
      <c r="R132" s="58"/>
      <c r="S132" s="58"/>
      <c r="T132" s="58"/>
      <c r="U132" s="58"/>
      <c r="V132" s="58"/>
      <c r="W132" s="58"/>
      <c r="X132" s="58"/>
      <c r="Y132" s="58"/>
      <c r="Z132" s="58"/>
      <c r="AA132" s="58"/>
      <c r="AB132" s="58"/>
      <c r="AC132" s="58"/>
      <c r="AD132" s="58"/>
      <c r="AE132" s="58"/>
      <c r="AF132" s="58"/>
      <c r="AG132" s="58"/>
      <c r="AH132" s="58"/>
      <c r="AI132" s="58"/>
      <c r="AJ132" s="58"/>
      <c r="AK132" s="58"/>
      <c r="AL132" s="58"/>
      <c r="AM132" s="58"/>
      <c r="AN132" s="58"/>
      <c r="AO132" s="58"/>
      <c r="AP132" s="58"/>
      <c r="AQ132" s="58"/>
      <c r="AR132" s="58"/>
      <c r="AS132" s="58"/>
      <c r="AT132" s="58"/>
      <c r="AU132" s="58"/>
      <c r="AV132" s="58"/>
      <c r="AW132" s="58"/>
      <c r="AX132" s="58"/>
      <c r="AY132" s="58"/>
      <c r="AZ132" s="58"/>
      <c r="BA132" s="58"/>
    </row>
    <row r="133" spans="2:53" ht="13.5" customHeight="1">
      <c r="B133" s="93" t="s">
        <v>293</v>
      </c>
      <c r="C133" s="60"/>
      <c r="D133" s="60">
        <f t="shared" ref="D133:H133" si="866">+D213</f>
        <v>42004</v>
      </c>
      <c r="E133" s="60">
        <f t="shared" si="866"/>
        <v>42369</v>
      </c>
      <c r="F133" s="60">
        <f t="shared" si="866"/>
        <v>42735</v>
      </c>
      <c r="G133" s="60">
        <f t="shared" si="866"/>
        <v>43100</v>
      </c>
      <c r="H133" s="60">
        <f t="shared" si="866"/>
        <v>43465</v>
      </c>
      <c r="I133" s="60">
        <f t="shared" ref="I133:J133" si="867">+I213</f>
        <v>43830</v>
      </c>
      <c r="J133" s="60">
        <f t="shared" si="867"/>
        <v>44196</v>
      </c>
      <c r="K133" s="60">
        <f t="shared" ref="K133:L133" si="868">+K213</f>
        <v>44561</v>
      </c>
      <c r="L133" s="60">
        <f t="shared" si="868"/>
        <v>44926</v>
      </c>
      <c r="M133" s="60">
        <f t="shared" ref="M133:N133" si="869">+M213</f>
        <v>45291</v>
      </c>
      <c r="N133" s="60">
        <f t="shared" si="869"/>
        <v>45657</v>
      </c>
      <c r="O133" s="60">
        <f t="shared" ref="O133" si="870">+O213</f>
        <v>46022</v>
      </c>
      <c r="P133" s="84">
        <f t="shared" ref="P133" si="871">+P213</f>
        <v>46111</v>
      </c>
      <c r="Q133" s="268"/>
      <c r="R133" s="60">
        <f t="shared" ref="R133:X133" si="872">+R213</f>
        <v>43189</v>
      </c>
      <c r="S133" s="60">
        <f t="shared" si="872"/>
        <v>43281</v>
      </c>
      <c r="T133" s="60">
        <f t="shared" si="872"/>
        <v>43373</v>
      </c>
      <c r="U133" s="60">
        <f t="shared" si="872"/>
        <v>43464</v>
      </c>
      <c r="V133" s="60">
        <f t="shared" si="872"/>
        <v>43554</v>
      </c>
      <c r="W133" s="60">
        <f t="shared" si="872"/>
        <v>43646</v>
      </c>
      <c r="X133" s="60">
        <f t="shared" si="872"/>
        <v>43738</v>
      </c>
      <c r="Y133" s="60">
        <f t="shared" ref="Y133:Z133" si="873">+Y213</f>
        <v>43829</v>
      </c>
      <c r="Z133" s="60">
        <f t="shared" si="873"/>
        <v>43920</v>
      </c>
      <c r="AA133" s="60">
        <f t="shared" ref="AA133:AD133" si="874">+AA213</f>
        <v>44012</v>
      </c>
      <c r="AB133" s="60">
        <f t="shared" si="874"/>
        <v>44104</v>
      </c>
      <c r="AC133" s="60">
        <f t="shared" si="874"/>
        <v>44195</v>
      </c>
      <c r="AD133" s="60">
        <f t="shared" si="874"/>
        <v>44285</v>
      </c>
      <c r="AE133" s="60">
        <f t="shared" ref="AE133:AH133" si="875">+AE213</f>
        <v>44377</v>
      </c>
      <c r="AF133" s="60">
        <f t="shared" si="875"/>
        <v>44469</v>
      </c>
      <c r="AG133" s="60">
        <f t="shared" si="875"/>
        <v>44560</v>
      </c>
      <c r="AH133" s="60">
        <f t="shared" si="875"/>
        <v>44650</v>
      </c>
      <c r="AI133" s="60">
        <f t="shared" ref="AI133:AJ133" si="876">+AI213</f>
        <v>44742</v>
      </c>
      <c r="AJ133" s="60">
        <f t="shared" si="876"/>
        <v>44834</v>
      </c>
      <c r="AK133" s="60">
        <f t="shared" ref="AK133:AN133" si="877">+AK213</f>
        <v>44925</v>
      </c>
      <c r="AL133" s="60">
        <f t="shared" si="877"/>
        <v>45015</v>
      </c>
      <c r="AM133" s="60">
        <f t="shared" si="877"/>
        <v>45107</v>
      </c>
      <c r="AN133" s="60">
        <f t="shared" si="877"/>
        <v>45199</v>
      </c>
      <c r="AO133" s="60">
        <f t="shared" ref="AO133:AR133" si="878">+AO213</f>
        <v>45290</v>
      </c>
      <c r="AP133" s="60">
        <f t="shared" si="878"/>
        <v>45381</v>
      </c>
      <c r="AQ133" s="60">
        <f t="shared" si="878"/>
        <v>45473</v>
      </c>
      <c r="AR133" s="60">
        <f t="shared" si="878"/>
        <v>45565</v>
      </c>
      <c r="AS133" s="60">
        <f t="shared" ref="AS133:AV133" si="879">+AS213</f>
        <v>45656</v>
      </c>
      <c r="AT133" s="60">
        <f t="shared" si="879"/>
        <v>45746</v>
      </c>
      <c r="AU133" s="60">
        <f t="shared" si="879"/>
        <v>45838</v>
      </c>
      <c r="AV133" s="60">
        <f t="shared" si="879"/>
        <v>45930</v>
      </c>
      <c r="AW133" s="60">
        <f t="shared" ref="AW133:AX133" si="880">+AW213</f>
        <v>46021</v>
      </c>
      <c r="AX133" s="60">
        <f t="shared" si="880"/>
        <v>46111</v>
      </c>
      <c r="AY133" s="268"/>
      <c r="AZ133" s="268"/>
      <c r="BA133" s="268"/>
    </row>
    <row r="134" spans="2:53" ht="13.5" customHeight="1">
      <c r="B134" s="1" t="str">
        <f>B84</f>
        <v>Net Sales</v>
      </c>
      <c r="C134" s="20"/>
      <c r="D134" s="20">
        <f t="shared" ref="D134:H134" si="881">D84</f>
        <v>1797199.8770000001</v>
      </c>
      <c r="E134" s="20">
        <f t="shared" si="881"/>
        <v>1877394.2560000001</v>
      </c>
      <c r="F134" s="20">
        <f t="shared" si="881"/>
        <v>1777459.32</v>
      </c>
      <c r="G134" s="20">
        <f t="shared" si="881"/>
        <v>1848878.6189999999</v>
      </c>
      <c r="H134" s="20">
        <f t="shared" si="881"/>
        <v>1672915.7990000001</v>
      </c>
      <c r="I134" s="20">
        <f t="shared" ref="I134:J134" si="882">I84</f>
        <v>1779025.115</v>
      </c>
      <c r="J134" s="20">
        <f t="shared" si="882"/>
        <v>1698281.237</v>
      </c>
      <c r="K134" s="20">
        <f t="shared" ref="K134:L134" si="883">K84</f>
        <v>2216732.5929999999</v>
      </c>
      <c r="L134" s="20">
        <f t="shared" si="883"/>
        <v>2656878.395</v>
      </c>
      <c r="M134" s="20">
        <f t="shared" ref="M134:N134" si="884">M84</f>
        <v>2618437.0520000001</v>
      </c>
      <c r="N134" s="20">
        <f t="shared" si="884"/>
        <v>3224233.0049999999</v>
      </c>
      <c r="O134" s="20">
        <f t="shared" ref="O134" si="885">O84</f>
        <v>3344835.8509999998</v>
      </c>
      <c r="P134" s="20">
        <f t="shared" ref="P134" si="886">P84</f>
        <v>3380919.9249999998</v>
      </c>
      <c r="Q134" s="20"/>
      <c r="R134" s="20"/>
      <c r="S134" s="20"/>
      <c r="T134" s="20"/>
      <c r="U134" s="20">
        <f t="shared" ref="U134:AA134" si="887">U84</f>
        <v>1672915.7990000001</v>
      </c>
      <c r="V134" s="20">
        <f t="shared" si="887"/>
        <v>1640347.1340000001</v>
      </c>
      <c r="W134" s="20">
        <f t="shared" si="887"/>
        <v>1656580.0480000002</v>
      </c>
      <c r="X134" s="20">
        <f t="shared" si="887"/>
        <v>1717891.1490000002</v>
      </c>
      <c r="Y134" s="20">
        <f t="shared" si="887"/>
        <v>1779025.115</v>
      </c>
      <c r="Z134" s="20">
        <f t="shared" si="887"/>
        <v>1836376.92</v>
      </c>
      <c r="AA134" s="20">
        <f t="shared" si="887"/>
        <v>1768962.112</v>
      </c>
      <c r="AB134" s="20">
        <f t="shared" ref="AB134:AE134" si="888">AB84</f>
        <v>1756624.0559999999</v>
      </c>
      <c r="AC134" s="20">
        <f t="shared" si="888"/>
        <v>1698281.237</v>
      </c>
      <c r="AD134" s="20">
        <f t="shared" si="888"/>
        <v>1702673.868</v>
      </c>
      <c r="AE134" s="20">
        <f t="shared" si="888"/>
        <v>1831973.628</v>
      </c>
      <c r="AF134" s="20">
        <f t="shared" ref="AF134:AI134" si="889">AF84</f>
        <v>1975942.057</v>
      </c>
      <c r="AG134" s="20">
        <f t="shared" si="889"/>
        <v>2216732.5929999994</v>
      </c>
      <c r="AH134" s="20">
        <f t="shared" si="889"/>
        <v>2331953.0279999999</v>
      </c>
      <c r="AI134" s="20">
        <f t="shared" si="889"/>
        <v>2482066.4069999997</v>
      </c>
      <c r="AJ134" s="20">
        <f t="shared" ref="AJ134" si="890">AJ84</f>
        <v>2597541.7799999993</v>
      </c>
      <c r="AK134" s="20">
        <f t="shared" ref="AK134:AN134" si="891">AK84</f>
        <v>2656878.395</v>
      </c>
      <c r="AL134" s="20">
        <f t="shared" si="891"/>
        <v>2734506.3510000007</v>
      </c>
      <c r="AM134" s="20">
        <f t="shared" si="891"/>
        <v>2757218.2250000006</v>
      </c>
      <c r="AN134" s="20">
        <f t="shared" si="891"/>
        <v>2774052.5759999999</v>
      </c>
      <c r="AO134" s="20">
        <f t="shared" ref="AO134:AR134" si="892">AO84</f>
        <v>2618437.0520000006</v>
      </c>
      <c r="AP134" s="20">
        <f t="shared" si="892"/>
        <v>2721218.6780000003</v>
      </c>
      <c r="AQ134" s="20">
        <f t="shared" si="892"/>
        <v>2778983.4840000002</v>
      </c>
      <c r="AR134" s="20">
        <f t="shared" si="892"/>
        <v>2835456.4010000005</v>
      </c>
      <c r="AS134" s="20">
        <f t="shared" ref="AS134:AV134" si="893">AS84</f>
        <v>3224233.0049999999</v>
      </c>
      <c r="AT134" s="20">
        <f t="shared" si="893"/>
        <v>3307774.6319999998</v>
      </c>
      <c r="AU134" s="20">
        <f t="shared" si="893"/>
        <v>3373735.7329999995</v>
      </c>
      <c r="AV134" s="20">
        <f t="shared" si="893"/>
        <v>3447291.3779999996</v>
      </c>
      <c r="AW134" s="20">
        <f t="shared" ref="AW134:AX134" si="894">AW84</f>
        <v>3344835.8509999998</v>
      </c>
      <c r="AX134" s="20">
        <f t="shared" si="894"/>
        <v>3380919.9249999998</v>
      </c>
      <c r="AY134" s="20"/>
      <c r="AZ134" s="20"/>
      <c r="BA134" s="20"/>
    </row>
    <row r="135" spans="2:53" ht="13.5" customHeight="1">
      <c r="B135" s="1" t="str">
        <f>B87</f>
        <v>Adjusted EBITDA</v>
      </c>
      <c r="C135" s="20"/>
      <c r="D135" s="20">
        <f t="shared" ref="D135:H135" si="895">D87</f>
        <v>289740</v>
      </c>
      <c r="E135" s="20">
        <f t="shared" si="895"/>
        <v>316228</v>
      </c>
      <c r="F135" s="20">
        <f t="shared" si="895"/>
        <v>311003</v>
      </c>
      <c r="G135" s="20">
        <f t="shared" si="895"/>
        <v>337891</v>
      </c>
      <c r="H135" s="20">
        <f t="shared" si="895"/>
        <v>324964</v>
      </c>
      <c r="I135" s="20">
        <f t="shared" ref="I135:J135" si="896">I87</f>
        <v>348869</v>
      </c>
      <c r="J135" s="20">
        <f t="shared" si="896"/>
        <v>350532</v>
      </c>
      <c r="K135" s="20">
        <f t="shared" ref="K135:L135" si="897">K87</f>
        <v>397213</v>
      </c>
      <c r="L135" s="20">
        <f t="shared" si="897"/>
        <v>464510</v>
      </c>
      <c r="M135" s="20">
        <f t="shared" ref="M135:N135" si="898">M87</f>
        <v>470108</v>
      </c>
      <c r="N135" s="20">
        <f t="shared" si="898"/>
        <v>578192</v>
      </c>
      <c r="O135" s="20">
        <f t="shared" ref="O135" si="899">O87</f>
        <v>614608</v>
      </c>
      <c r="P135" s="20">
        <f t="shared" ref="P135" si="900">P87</f>
        <v>636574</v>
      </c>
      <c r="Q135" s="20"/>
      <c r="R135" s="20"/>
      <c r="S135" s="20"/>
      <c r="T135" s="20"/>
      <c r="U135" s="20">
        <f t="shared" ref="U135:AA135" si="901">U87</f>
        <v>324964</v>
      </c>
      <c r="V135" s="20">
        <f t="shared" si="901"/>
        <v>317783</v>
      </c>
      <c r="W135" s="20">
        <f t="shared" si="901"/>
        <v>321630</v>
      </c>
      <c r="X135" s="20">
        <f t="shared" si="901"/>
        <v>329178</v>
      </c>
      <c r="Y135" s="20">
        <f t="shared" si="901"/>
        <v>348869</v>
      </c>
      <c r="Z135" s="20">
        <f t="shared" si="901"/>
        <v>359127</v>
      </c>
      <c r="AA135" s="20">
        <f t="shared" si="901"/>
        <v>339530</v>
      </c>
      <c r="AB135" s="20">
        <f t="shared" ref="AB135:AE135" si="902">AB87</f>
        <v>350326</v>
      </c>
      <c r="AC135" s="20">
        <f t="shared" si="902"/>
        <v>350532</v>
      </c>
      <c r="AD135" s="20">
        <f t="shared" si="902"/>
        <v>348498</v>
      </c>
      <c r="AE135" s="20">
        <f t="shared" si="902"/>
        <v>374948</v>
      </c>
      <c r="AF135" s="20">
        <f t="shared" ref="AF135:AI135" si="903">AF87</f>
        <v>382361</v>
      </c>
      <c r="AG135" s="20">
        <f t="shared" si="903"/>
        <v>397213</v>
      </c>
      <c r="AH135" s="20">
        <f t="shared" si="903"/>
        <v>416665</v>
      </c>
      <c r="AI135" s="20">
        <f t="shared" si="903"/>
        <v>441267</v>
      </c>
      <c r="AJ135" s="20">
        <f t="shared" ref="AJ135" si="904">AJ87</f>
        <v>455865</v>
      </c>
      <c r="AK135" s="20">
        <f t="shared" ref="AK135:AN135" si="905">AK87</f>
        <v>464510</v>
      </c>
      <c r="AL135" s="20">
        <f t="shared" si="905"/>
        <v>470570</v>
      </c>
      <c r="AM135" s="20">
        <f t="shared" si="905"/>
        <v>476461</v>
      </c>
      <c r="AN135" s="20">
        <f t="shared" si="905"/>
        <v>487691</v>
      </c>
      <c r="AO135" s="20">
        <f t="shared" ref="AO135:AR135" si="906">AO87</f>
        <v>470108</v>
      </c>
      <c r="AP135" s="20">
        <f t="shared" si="906"/>
        <v>503083</v>
      </c>
      <c r="AQ135" s="20">
        <f t="shared" si="906"/>
        <v>512572</v>
      </c>
      <c r="AR135" s="20">
        <f t="shared" si="906"/>
        <v>516686</v>
      </c>
      <c r="AS135" s="20">
        <f t="shared" ref="AS135:AV135" si="907">AS87</f>
        <v>578192</v>
      </c>
      <c r="AT135" s="20">
        <f t="shared" si="907"/>
        <v>589829</v>
      </c>
      <c r="AU135" s="20">
        <f t="shared" si="907"/>
        <v>599893</v>
      </c>
      <c r="AV135" s="20">
        <f t="shared" si="907"/>
        <v>618389</v>
      </c>
      <c r="AW135" s="20">
        <f t="shared" ref="AW135:AX135" si="908">AW87</f>
        <v>614608</v>
      </c>
      <c r="AX135" s="20">
        <f t="shared" si="908"/>
        <v>636574</v>
      </c>
      <c r="AY135" s="20"/>
      <c r="AZ135" s="20"/>
      <c r="BA135" s="20"/>
    </row>
    <row r="136" spans="2:53" ht="13.5" customHeight="1">
      <c r="B136" s="1" t="s">
        <v>294</v>
      </c>
      <c r="C136" s="39"/>
      <c r="D136" s="39">
        <f t="shared" ref="D136:H136" si="909">D135/D134</f>
        <v>0.16121746039936991</v>
      </c>
      <c r="E136" s="39">
        <f t="shared" si="909"/>
        <v>0.16843984633987288</v>
      </c>
      <c r="F136" s="39">
        <f t="shared" si="909"/>
        <v>0.17497053040853841</v>
      </c>
      <c r="G136" s="39">
        <f t="shared" si="909"/>
        <v>0.18275456080656857</v>
      </c>
      <c r="H136" s="39">
        <f t="shared" si="909"/>
        <v>0.19425006338887471</v>
      </c>
      <c r="I136" s="39">
        <f t="shared" ref="I136:J136" si="910">I135/I134</f>
        <v>0.1961012225507564</v>
      </c>
      <c r="J136" s="39">
        <f t="shared" si="910"/>
        <v>0.20640397618666032</v>
      </c>
      <c r="K136" s="39">
        <f t="shared" ref="K136:L136" si="911">K135/K134</f>
        <v>0.1791885053047533</v>
      </c>
      <c r="L136" s="39">
        <f t="shared" si="911"/>
        <v>0.17483299230938268</v>
      </c>
      <c r="M136" s="39">
        <f t="shared" ref="M136:N136" si="912">M135/M134</f>
        <v>0.17953763663744549</v>
      </c>
      <c r="N136" s="39">
        <f t="shared" si="912"/>
        <v>0.17932699004797886</v>
      </c>
      <c r="O136" s="39">
        <f t="shared" ref="O136" si="913">O135/O134</f>
        <v>0.18374832947818701</v>
      </c>
      <c r="P136" s="39">
        <f t="shared" ref="P136" si="914">P135/P134</f>
        <v>0.1882842581668065</v>
      </c>
      <c r="Q136" s="318"/>
      <c r="R136" s="39"/>
      <c r="S136" s="39"/>
      <c r="T136" s="39"/>
      <c r="U136" s="39">
        <f t="shared" ref="U136:AA136" si="915">U135/U134</f>
        <v>0.19425006338887471</v>
      </c>
      <c r="V136" s="39">
        <f t="shared" si="915"/>
        <v>0.19372911587627401</v>
      </c>
      <c r="W136" s="39">
        <f t="shared" si="915"/>
        <v>0.19415300841532288</v>
      </c>
      <c r="X136" s="39">
        <f t="shared" si="915"/>
        <v>0.19161749578348863</v>
      </c>
      <c r="Y136" s="39">
        <f t="shared" si="915"/>
        <v>0.1961012225507564</v>
      </c>
      <c r="Z136" s="39">
        <f t="shared" si="915"/>
        <v>0.19556279328537848</v>
      </c>
      <c r="AA136" s="39">
        <f t="shared" si="915"/>
        <v>0.19193740651467384</v>
      </c>
      <c r="AB136" s="39">
        <f t="shared" ref="AB136:AE136" si="916">AB135/AB134</f>
        <v>0.19943140298199355</v>
      </c>
      <c r="AC136" s="39">
        <f t="shared" si="916"/>
        <v>0.20640397618666032</v>
      </c>
      <c r="AD136" s="39">
        <f t="shared" si="916"/>
        <v>0.20467689470641479</v>
      </c>
      <c r="AE136" s="39">
        <f t="shared" si="916"/>
        <v>0.2046688851134488</v>
      </c>
      <c r="AF136" s="39">
        <f t="shared" ref="AF136:AI136" si="917">AF135/AF134</f>
        <v>0.19350820467910107</v>
      </c>
      <c r="AG136" s="39">
        <f t="shared" si="917"/>
        <v>0.17918850530475333</v>
      </c>
      <c r="AH136" s="39">
        <f t="shared" si="917"/>
        <v>0.17867641200189732</v>
      </c>
      <c r="AI136" s="39">
        <f t="shared" si="917"/>
        <v>0.17778210879270809</v>
      </c>
      <c r="AJ136" s="39">
        <f t="shared" ref="AJ136" si="918">AJ135/AJ134</f>
        <v>0.17549862085375201</v>
      </c>
      <c r="AK136" s="39">
        <f t="shared" ref="AK136:AN136" si="919">AK135/AK134</f>
        <v>0.17483299230938268</v>
      </c>
      <c r="AL136" s="39">
        <f t="shared" si="919"/>
        <v>0.17208590494877218</v>
      </c>
      <c r="AM136" s="39">
        <f t="shared" si="919"/>
        <v>0.17280496541038201</v>
      </c>
      <c r="AN136" s="39">
        <f t="shared" si="919"/>
        <v>0.17580452664066595</v>
      </c>
      <c r="AO136" s="39">
        <f t="shared" ref="AO136:AR136" si="920">AO135/AO134</f>
        <v>0.17953763663744546</v>
      </c>
      <c r="AP136" s="39">
        <f t="shared" si="920"/>
        <v>0.1848741536530053</v>
      </c>
      <c r="AQ136" s="39">
        <f t="shared" si="920"/>
        <v>0.18444586049220291</v>
      </c>
      <c r="AR136" s="39">
        <f t="shared" si="920"/>
        <v>0.18222322156594498</v>
      </c>
      <c r="AS136" s="39">
        <f t="shared" ref="AS136:AV136" si="921">AS135/AS134</f>
        <v>0.17932699004797886</v>
      </c>
      <c r="AT136" s="39">
        <f t="shared" si="921"/>
        <v>0.17831595728859198</v>
      </c>
      <c r="AU136" s="39">
        <f t="shared" si="921"/>
        <v>0.17781268228337554</v>
      </c>
      <c r="AV136" s="39">
        <f t="shared" si="921"/>
        <v>0.17938402420707708</v>
      </c>
      <c r="AW136" s="39">
        <f t="shared" ref="AW136:AX136" si="922">AW135/AW134</f>
        <v>0.18374832947818701</v>
      </c>
      <c r="AX136" s="39">
        <f t="shared" si="922"/>
        <v>0.1882842581668065</v>
      </c>
      <c r="AY136" s="40"/>
      <c r="AZ136" s="40"/>
      <c r="BA136" s="40"/>
    </row>
    <row r="137" spans="2:53" ht="13.5" customHeight="1">
      <c r="B137" s="1" t="str">
        <f>B88</f>
        <v>Cash interest paid</v>
      </c>
      <c r="C137" s="20"/>
      <c r="D137" s="20">
        <f t="shared" ref="D137:H137" si="923">D88</f>
        <v>62079.743999999999</v>
      </c>
      <c r="E137" s="20">
        <f t="shared" si="923"/>
        <v>57963.478999999999</v>
      </c>
      <c r="F137" s="20">
        <f t="shared" si="923"/>
        <v>49931.807000000001</v>
      </c>
      <c r="G137" s="20">
        <f t="shared" si="923"/>
        <v>53103.434000000001</v>
      </c>
      <c r="H137" s="20">
        <f t="shared" si="923"/>
        <v>41353.012999999999</v>
      </c>
      <c r="I137" s="20">
        <f t="shared" ref="I137:J137" si="924">I88</f>
        <v>36141.476999999999</v>
      </c>
      <c r="J137" s="20">
        <f t="shared" si="924"/>
        <v>44299.000999999997</v>
      </c>
      <c r="K137" s="20">
        <f t="shared" ref="K137:L137" si="925">K88</f>
        <v>55497.167000000001</v>
      </c>
      <c r="L137" s="20">
        <f t="shared" si="925"/>
        <v>44822.402000000002</v>
      </c>
      <c r="M137" s="20">
        <f t="shared" ref="M137:N137" si="926">M88</f>
        <v>67010.058000000005</v>
      </c>
      <c r="N137" s="20">
        <f t="shared" si="926"/>
        <v>65837.409</v>
      </c>
      <c r="O137" s="20">
        <f t="shared" ref="O137" si="927">O88</f>
        <v>57331.557999999997</v>
      </c>
      <c r="P137" s="20">
        <f t="shared" ref="P137" si="928">P88</f>
        <v>54787.959000000003</v>
      </c>
      <c r="Q137" s="20"/>
      <c r="R137" s="20"/>
      <c r="S137" s="20"/>
      <c r="T137" s="20"/>
      <c r="U137" s="20">
        <f t="shared" ref="U137:AA137" si="929">U88</f>
        <v>41353.012999999999</v>
      </c>
      <c r="V137" s="20">
        <f t="shared" si="929"/>
        <v>39727.455000000002</v>
      </c>
      <c r="W137" s="20">
        <f t="shared" si="929"/>
        <v>41353.012999999999</v>
      </c>
      <c r="X137" s="20">
        <f t="shared" si="929"/>
        <v>36094.914999999994</v>
      </c>
      <c r="Y137" s="20">
        <f t="shared" si="929"/>
        <v>36141.476999999999</v>
      </c>
      <c r="Z137" s="20">
        <f t="shared" si="929"/>
        <v>37168.575000000004</v>
      </c>
      <c r="AA137" s="20">
        <f t="shared" si="929"/>
        <v>35644.682000000001</v>
      </c>
      <c r="AB137" s="20">
        <f t="shared" ref="AB137:AE137" si="930">AB88</f>
        <v>44117.520999999993</v>
      </c>
      <c r="AC137" s="20">
        <f t="shared" si="930"/>
        <v>44299.000999999997</v>
      </c>
      <c r="AD137" s="20">
        <f t="shared" si="930"/>
        <v>46615.553</v>
      </c>
      <c r="AE137" s="20">
        <f t="shared" si="930"/>
        <v>49943.044999999998</v>
      </c>
      <c r="AF137" s="20">
        <f t="shared" ref="AF137:AI137" si="931">AF88</f>
        <v>51931.370999999999</v>
      </c>
      <c r="AG137" s="20">
        <f t="shared" si="931"/>
        <v>55497.167000000001</v>
      </c>
      <c r="AH137" s="20">
        <f t="shared" si="931"/>
        <v>56648.322</v>
      </c>
      <c r="AI137" s="20">
        <f t="shared" si="931"/>
        <v>61773.663999999997</v>
      </c>
      <c r="AJ137" s="20">
        <f t="shared" ref="AJ137" si="932">AJ88</f>
        <v>76244.724000000002</v>
      </c>
      <c r="AK137" s="20">
        <f t="shared" ref="AK137:AN137" si="933">AK88</f>
        <v>44822.402000000002</v>
      </c>
      <c r="AL137" s="20">
        <f t="shared" si="933"/>
        <v>43869.349000000002</v>
      </c>
      <c r="AM137" s="20">
        <f t="shared" si="933"/>
        <v>43328.207999999999</v>
      </c>
      <c r="AN137" s="20">
        <f t="shared" si="933"/>
        <v>34940.860000000008</v>
      </c>
      <c r="AO137" s="20">
        <f t="shared" ref="AO137:AR137" si="934">AO88</f>
        <v>67010.05799999999</v>
      </c>
      <c r="AP137" s="20">
        <f t="shared" si="934"/>
        <v>64279.676000000007</v>
      </c>
      <c r="AQ137" s="20">
        <f t="shared" si="934"/>
        <v>62740.477000000006</v>
      </c>
      <c r="AR137" s="20">
        <f t="shared" si="934"/>
        <v>59259.14</v>
      </c>
      <c r="AS137" s="20">
        <f t="shared" ref="AS137:AV137" si="935">AS88</f>
        <v>65837.408999999985</v>
      </c>
      <c r="AT137" s="20">
        <f t="shared" si="935"/>
        <v>67884.21699999999</v>
      </c>
      <c r="AU137" s="20">
        <f t="shared" si="935"/>
        <v>60719.893999999993</v>
      </c>
      <c r="AV137" s="20">
        <f t="shared" si="935"/>
        <v>67990.570999999996</v>
      </c>
      <c r="AW137" s="20">
        <f t="shared" ref="AW137:AX137" si="936">AW88</f>
        <v>57331.557999999997</v>
      </c>
      <c r="AX137" s="20">
        <f t="shared" si="936"/>
        <v>54787.959000000003</v>
      </c>
      <c r="AY137" s="20"/>
      <c r="AZ137" s="20"/>
      <c r="BA137" s="20"/>
    </row>
    <row r="138" spans="2:53" ht="13.5" customHeight="1">
      <c r="B138" s="1" t="str">
        <f>B90</f>
        <v>Capex</v>
      </c>
      <c r="C138" s="20"/>
      <c r="D138" s="20">
        <f t="shared" ref="D138:H139" si="937">D90</f>
        <v>116490.09599999999</v>
      </c>
      <c r="E138" s="20">
        <f t="shared" si="937"/>
        <v>112399.52800000001</v>
      </c>
      <c r="F138" s="20">
        <f t="shared" si="937"/>
        <v>128147.054</v>
      </c>
      <c r="G138" s="20">
        <f t="shared" si="937"/>
        <v>168758.25899999999</v>
      </c>
      <c r="H138" s="20">
        <f t="shared" si="937"/>
        <v>120803.15700000001</v>
      </c>
      <c r="I138" s="20">
        <f t="shared" ref="I138:J138" si="938">I90</f>
        <v>110664.35400000001</v>
      </c>
      <c r="J138" s="20">
        <f t="shared" si="938"/>
        <v>85871.387999999992</v>
      </c>
      <c r="K138" s="20">
        <f t="shared" ref="K138:L138" si="939">K90</f>
        <v>138816.23800000001</v>
      </c>
      <c r="L138" s="20">
        <f t="shared" si="939"/>
        <v>186609.92600000001</v>
      </c>
      <c r="M138" s="20">
        <f t="shared" ref="M138:N138" si="940">M90</f>
        <v>192565.28999999998</v>
      </c>
      <c r="N138" s="20">
        <f t="shared" si="940"/>
        <v>290319.33499999996</v>
      </c>
      <c r="O138" s="20">
        <f t="shared" ref="O138" si="941">O90</f>
        <v>277650.75400000002</v>
      </c>
      <c r="P138" s="20">
        <f>P90</f>
        <v>267319.16800000001</v>
      </c>
      <c r="Q138" s="20"/>
      <c r="R138" s="20"/>
      <c r="S138" s="20"/>
      <c r="T138" s="20"/>
      <c r="U138" s="20">
        <f t="shared" ref="U138:X139" si="942">U90</f>
        <v>120803.15700000001</v>
      </c>
      <c r="V138" s="20">
        <f t="shared" si="942"/>
        <v>118585.149</v>
      </c>
      <c r="W138" s="20">
        <f t="shared" si="942"/>
        <v>120803.15700000001</v>
      </c>
      <c r="X138" s="20">
        <f t="shared" si="942"/>
        <v>114891.07400000001</v>
      </c>
      <c r="Y138" s="20">
        <f t="shared" ref="Y138:Z138" si="943">Y90</f>
        <v>110664.35400000001</v>
      </c>
      <c r="Z138" s="20">
        <f t="shared" si="943"/>
        <v>112628.32800000001</v>
      </c>
      <c r="AA138" s="20">
        <f t="shared" ref="AA138:AD138" si="944">AA90</f>
        <v>106397.10400000001</v>
      </c>
      <c r="AB138" s="20">
        <f t="shared" si="944"/>
        <v>96822.700000000012</v>
      </c>
      <c r="AC138" s="20">
        <f t="shared" si="944"/>
        <v>85871.387999999992</v>
      </c>
      <c r="AD138" s="20">
        <f t="shared" si="944"/>
        <v>69023.12</v>
      </c>
      <c r="AE138" s="20">
        <f t="shared" ref="AE138:AH138" si="945">AE90</f>
        <v>58984.367999999988</v>
      </c>
      <c r="AF138" s="20">
        <f t="shared" si="945"/>
        <v>78626.89899999999</v>
      </c>
      <c r="AG138" s="20">
        <f t="shared" si="945"/>
        <v>138816.23800000001</v>
      </c>
      <c r="AH138" s="20">
        <f t="shared" si="945"/>
        <v>161321.09400000001</v>
      </c>
      <c r="AI138" s="20">
        <f t="shared" ref="AI138:AJ138" si="946">AI90</f>
        <v>185525.00099999999</v>
      </c>
      <c r="AJ138" s="20">
        <f t="shared" si="946"/>
        <v>214921.65599999999</v>
      </c>
      <c r="AK138" s="20">
        <f t="shared" ref="AK138:AN138" si="947">AK90</f>
        <v>186609.92600000001</v>
      </c>
      <c r="AL138" s="20">
        <f t="shared" si="947"/>
        <v>201736.82500000001</v>
      </c>
      <c r="AM138" s="20">
        <f t="shared" si="947"/>
        <v>232866.28200000001</v>
      </c>
      <c r="AN138" s="20">
        <f t="shared" si="947"/>
        <v>202398.78800000003</v>
      </c>
      <c r="AO138" s="20">
        <f t="shared" ref="AO138:AR138" si="948">AO90</f>
        <v>192565.28999999998</v>
      </c>
      <c r="AP138" s="20">
        <f t="shared" si="948"/>
        <v>204191.66699999996</v>
      </c>
      <c r="AQ138" s="20">
        <f t="shared" si="948"/>
        <v>220999.11999999997</v>
      </c>
      <c r="AR138" s="20">
        <f t="shared" si="948"/>
        <v>251914.74799999996</v>
      </c>
      <c r="AS138" s="20">
        <f t="shared" ref="AS138:AV138" si="949">AS90</f>
        <v>290319.33499999996</v>
      </c>
      <c r="AT138" s="20">
        <f t="shared" si="949"/>
        <v>291982.27899999998</v>
      </c>
      <c r="AU138" s="20">
        <f t="shared" si="949"/>
        <v>254927.21499999997</v>
      </c>
      <c r="AV138" s="20">
        <f t="shared" si="949"/>
        <v>272360.53099999996</v>
      </c>
      <c r="AW138" s="20">
        <f t="shared" ref="AW138:AX138" si="950">AW90</f>
        <v>277650.75400000002</v>
      </c>
      <c r="AX138" s="20">
        <f t="shared" si="950"/>
        <v>267319.16800000001</v>
      </c>
      <c r="AY138" s="20"/>
      <c r="AZ138" s="20"/>
      <c r="BA138" s="20"/>
    </row>
    <row r="139" spans="2:53" ht="13.5" customHeight="1">
      <c r="B139" s="1" t="str">
        <f>B91</f>
        <v xml:space="preserve">Free cash flow </v>
      </c>
      <c r="C139" s="20"/>
      <c r="D139" s="20">
        <f t="shared" si="937"/>
        <v>388120.71600000013</v>
      </c>
      <c r="E139" s="20">
        <f t="shared" si="937"/>
        <v>467625.76999999984</v>
      </c>
      <c r="F139" s="20">
        <f t="shared" si="937"/>
        <v>406528.68799999985</v>
      </c>
      <c r="G139" s="20">
        <f t="shared" si="937"/>
        <v>402561.51799999992</v>
      </c>
      <c r="H139" s="20">
        <f t="shared" si="937"/>
        <v>436001.4219999999</v>
      </c>
      <c r="I139" s="20">
        <f t="shared" ref="I139:J139" si="951">I91</f>
        <v>494399.06799999985</v>
      </c>
      <c r="J139" s="20">
        <f t="shared" si="951"/>
        <v>539434.88600000017</v>
      </c>
      <c r="K139" s="20">
        <f t="shared" ref="K139:L139" si="952">K91</f>
        <v>562696.69900000002</v>
      </c>
      <c r="L139" s="20">
        <f t="shared" si="952"/>
        <v>654195.21899999981</v>
      </c>
      <c r="M139" s="20">
        <f t="shared" ref="M139:N139" si="953">M91</f>
        <v>624108.89600000018</v>
      </c>
      <c r="N139" s="20">
        <f t="shared" si="953"/>
        <v>648914.15899999987</v>
      </c>
      <c r="O139" s="20">
        <f t="shared" ref="O139" si="954">O91</f>
        <v>792544.5399999998</v>
      </c>
      <c r="P139" s="20">
        <f>P91</f>
        <v>811810.7789999994</v>
      </c>
      <c r="Q139" s="20"/>
      <c r="R139" s="20"/>
      <c r="S139" s="20"/>
      <c r="T139" s="20"/>
      <c r="U139" s="20">
        <f t="shared" si="942"/>
        <v>436001.42200000002</v>
      </c>
      <c r="V139" s="20">
        <f t="shared" si="942"/>
        <v>437478.51300000004</v>
      </c>
      <c r="W139" s="20">
        <f t="shared" si="942"/>
        <v>223307.14500000011</v>
      </c>
      <c r="X139" s="20">
        <f t="shared" si="942"/>
        <v>478546.63800000004</v>
      </c>
      <c r="Y139" s="20">
        <f t="shared" ref="Y139:Z139" si="955">Y91</f>
        <v>494399.0679999998</v>
      </c>
      <c r="Z139" s="20">
        <f t="shared" si="955"/>
        <v>510316.76499999984</v>
      </c>
      <c r="AA139" s="20">
        <f t="shared" ref="AA139:AD139" si="956">AA91</f>
        <v>496106.63099999982</v>
      </c>
      <c r="AB139" s="20">
        <f t="shared" si="956"/>
        <v>524031.04599999974</v>
      </c>
      <c r="AC139" s="20">
        <f t="shared" si="956"/>
        <v>539434.88600000017</v>
      </c>
      <c r="AD139" s="20">
        <f t="shared" si="956"/>
        <v>528781.90600000019</v>
      </c>
      <c r="AE139" s="20">
        <f t="shared" ref="AE139:AH139" si="957">AE91</f>
        <v>598052.47200000007</v>
      </c>
      <c r="AF139" s="20">
        <f t="shared" si="957"/>
        <v>599643.9304000003</v>
      </c>
      <c r="AG139" s="20">
        <f t="shared" si="957"/>
        <v>562696.69900000002</v>
      </c>
      <c r="AH139" s="20">
        <f t="shared" si="957"/>
        <v>621363.49700000009</v>
      </c>
      <c r="AI139" s="20">
        <f t="shared" ref="AI139:AJ139" si="958">AI91</f>
        <v>596081.10400000028</v>
      </c>
      <c r="AJ139" s="20">
        <f t="shared" si="958"/>
        <v>573602.37760000001</v>
      </c>
      <c r="AK139" s="20">
        <f t="shared" ref="AK139:AN139" si="959">AK91</f>
        <v>654195.21899999981</v>
      </c>
      <c r="AL139" s="20">
        <f t="shared" si="959"/>
        <v>627083.56899999967</v>
      </c>
      <c r="AM139" s="20">
        <f t="shared" si="959"/>
        <v>597713.13099999947</v>
      </c>
      <c r="AN139" s="20">
        <f t="shared" si="959"/>
        <v>646529.88299999991</v>
      </c>
      <c r="AO139" s="20">
        <f t="shared" ref="AO139:AR139" si="960">AO91</f>
        <v>624108.89600000007</v>
      </c>
      <c r="AP139" s="20">
        <f t="shared" si="960"/>
        <v>647189.33700000017</v>
      </c>
      <c r="AQ139" s="20">
        <f t="shared" si="960"/>
        <v>661379.52100000018</v>
      </c>
      <c r="AR139" s="20">
        <f t="shared" si="960"/>
        <v>643804.89299999981</v>
      </c>
      <c r="AS139" s="20">
        <f t="shared" ref="AS139:AV139" si="961">AS91</f>
        <v>648914.15899999999</v>
      </c>
      <c r="AT139" s="20">
        <f t="shared" si="961"/>
        <v>693852.90199999989</v>
      </c>
      <c r="AU139" s="20">
        <f t="shared" si="961"/>
        <v>720669.42399999965</v>
      </c>
      <c r="AV139" s="20">
        <f t="shared" si="961"/>
        <v>734904.70599999989</v>
      </c>
      <c r="AW139" s="20">
        <f t="shared" ref="AW139:AX139" si="962">AW91</f>
        <v>792544.5399999998</v>
      </c>
      <c r="AX139" s="20">
        <f t="shared" si="962"/>
        <v>811810.77899999963</v>
      </c>
      <c r="AY139" s="20"/>
      <c r="AZ139" s="20"/>
      <c r="BA139" s="20"/>
    </row>
    <row r="140" spans="2:53" ht="13.5" customHeight="1">
      <c r="B140" s="1" t="s">
        <v>295</v>
      </c>
      <c r="C140" s="20"/>
      <c r="D140" s="20">
        <f t="shared" ref="D140:H140" si="963">D111</f>
        <v>79514.434000000008</v>
      </c>
      <c r="E140" s="20">
        <f t="shared" si="963"/>
        <v>129160.93900000001</v>
      </c>
      <c r="F140" s="20">
        <f t="shared" si="963"/>
        <v>141263.88</v>
      </c>
      <c r="G140" s="20">
        <f t="shared" si="963"/>
        <v>136242.11600000001</v>
      </c>
      <c r="H140" s="20">
        <f t="shared" si="963"/>
        <v>137538.61300000001</v>
      </c>
      <c r="I140" s="20">
        <f t="shared" ref="I140:J140" si="964">I111</f>
        <v>157567.986</v>
      </c>
      <c r="J140" s="20">
        <f t="shared" si="964"/>
        <v>309530.69900000002</v>
      </c>
      <c r="K140" s="20">
        <f t="shared" ref="K140:L140" si="965">K111</f>
        <v>304312.02</v>
      </c>
      <c r="L140" s="20">
        <f t="shared" si="965"/>
        <v>291681.98700000002</v>
      </c>
      <c r="M140" s="20">
        <f t="shared" ref="M140:N140" si="966">M111</f>
        <v>303683.68300000002</v>
      </c>
      <c r="N140" s="20">
        <f t="shared" si="966"/>
        <v>248899.00399999999</v>
      </c>
      <c r="O140" s="20">
        <f t="shared" ref="O140" si="967">O111</f>
        <v>296539.70899999997</v>
      </c>
      <c r="P140" s="20">
        <f t="shared" ref="P140" si="968">P111</f>
        <v>325667.01</v>
      </c>
      <c r="Q140" s="20"/>
      <c r="R140" s="20">
        <f t="shared" ref="R140:X140" si="969">R111</f>
        <v>115100.69600000001</v>
      </c>
      <c r="S140" s="20">
        <f t="shared" si="969"/>
        <v>109655.73900000002</v>
      </c>
      <c r="T140" s="20">
        <f t="shared" si="969"/>
        <v>73709.086000000025</v>
      </c>
      <c r="U140" s="20">
        <f t="shared" si="969"/>
        <v>137538.61299999995</v>
      </c>
      <c r="V140" s="20">
        <f t="shared" si="969"/>
        <v>121795.38899999995</v>
      </c>
      <c r="W140" s="20">
        <f t="shared" si="969"/>
        <v>117450.34099999996</v>
      </c>
      <c r="X140" s="20">
        <f t="shared" si="969"/>
        <v>105667.11399999994</v>
      </c>
      <c r="Y140" s="20">
        <f t="shared" ref="Y140:Z140" si="970">Y111</f>
        <v>157567.986</v>
      </c>
      <c r="Z140" s="20">
        <f t="shared" si="970"/>
        <v>382144.83899999998</v>
      </c>
      <c r="AA140" s="20">
        <f t="shared" ref="AA140:AD140" si="971">AA111</f>
        <v>371105.24900000001</v>
      </c>
      <c r="AB140" s="20">
        <f t="shared" si="971"/>
        <v>288598.84899999999</v>
      </c>
      <c r="AC140" s="20">
        <f t="shared" si="971"/>
        <v>309530.69900000002</v>
      </c>
      <c r="AD140" s="20">
        <f t="shared" si="971"/>
        <v>208294.736</v>
      </c>
      <c r="AE140" s="20">
        <f t="shared" ref="AE140:AH140" si="972">AE111</f>
        <v>245081.72099999999</v>
      </c>
      <c r="AF140" s="20">
        <f t="shared" si="972"/>
        <v>278041.04499999998</v>
      </c>
      <c r="AG140" s="20">
        <f t="shared" si="972"/>
        <v>304312.02</v>
      </c>
      <c r="AH140" s="20">
        <f t="shared" si="972"/>
        <v>389737.83600000001</v>
      </c>
      <c r="AI140" s="20">
        <f t="shared" ref="AI140:AJ140" si="973">AI111</f>
        <v>261641.342</v>
      </c>
      <c r="AJ140" s="20">
        <f t="shared" si="973"/>
        <v>243637.24900000001</v>
      </c>
      <c r="AK140" s="20">
        <f t="shared" ref="AK140:AN140" si="974">AK111</f>
        <v>291681.98700000002</v>
      </c>
      <c r="AL140" s="20">
        <f t="shared" si="974"/>
        <v>259267.83600000001</v>
      </c>
      <c r="AM140" s="20">
        <f t="shared" si="974"/>
        <v>248989.65599999999</v>
      </c>
      <c r="AN140" s="20">
        <f t="shared" si="974"/>
        <v>224775.962</v>
      </c>
      <c r="AO140" s="20">
        <f t="shared" ref="AO140:AR140" si="975">AO111</f>
        <v>303683.68300000002</v>
      </c>
      <c r="AP140" s="20">
        <f t="shared" si="975"/>
        <v>301523.10700000002</v>
      </c>
      <c r="AQ140" s="20">
        <f t="shared" si="975"/>
        <v>232431.139</v>
      </c>
      <c r="AR140" s="20">
        <f t="shared" si="975"/>
        <v>210685.26699999999</v>
      </c>
      <c r="AS140" s="20">
        <f t="shared" ref="AS140:AV140" si="976">AS111</f>
        <v>248899.00399999999</v>
      </c>
      <c r="AT140" s="20">
        <f t="shared" si="976"/>
        <v>208478.139</v>
      </c>
      <c r="AU140" s="20">
        <f t="shared" si="976"/>
        <v>207186.89</v>
      </c>
      <c r="AV140" s="20">
        <f t="shared" si="976"/>
        <v>282827.772</v>
      </c>
      <c r="AW140" s="20">
        <f t="shared" ref="AW140:AX140" si="977">AW111</f>
        <v>296539.70899999997</v>
      </c>
      <c r="AX140" s="20">
        <f t="shared" si="977"/>
        <v>325667.01</v>
      </c>
      <c r="AY140" s="20"/>
      <c r="AZ140" s="20"/>
      <c r="BA140" s="20"/>
    </row>
    <row r="141" spans="2:53" ht="13.5" customHeight="1">
      <c r="B141" s="1" t="s">
        <v>279</v>
      </c>
      <c r="C141" s="20"/>
      <c r="D141" s="20">
        <f t="shared" ref="D141:H141" si="978">D114</f>
        <v>789604.48299999989</v>
      </c>
      <c r="E141" s="20">
        <f t="shared" si="978"/>
        <v>811162.57799999998</v>
      </c>
      <c r="F141" s="20">
        <f t="shared" si="978"/>
        <v>771695.72600000002</v>
      </c>
      <c r="G141" s="20">
        <f t="shared" si="978"/>
        <v>729453.82400000002</v>
      </c>
      <c r="H141" s="20">
        <f t="shared" si="978"/>
        <v>760305.46200000006</v>
      </c>
      <c r="I141" s="20">
        <f t="shared" ref="I141:J141" si="979">I114</f>
        <v>772383.35400000005</v>
      </c>
      <c r="J141" s="20">
        <f t="shared" si="979"/>
        <v>963483.28599999996</v>
      </c>
      <c r="K141" s="20">
        <f t="shared" ref="K141:L141" si="980">K114</f>
        <v>1074650.463</v>
      </c>
      <c r="L141" s="20">
        <f t="shared" si="980"/>
        <v>1141184.3589999999</v>
      </c>
      <c r="M141" s="20">
        <f t="shared" ref="M141:N141" si="981">M114</f>
        <v>1030782.5149999999</v>
      </c>
      <c r="N141" s="20">
        <f t="shared" si="981"/>
        <v>1120588.07</v>
      </c>
      <c r="O141" s="20">
        <f t="shared" ref="O141" si="982">O114</f>
        <v>1160405.1949999998</v>
      </c>
      <c r="P141" s="20">
        <f t="shared" ref="P141" si="983">P114</f>
        <v>1160801.7379999999</v>
      </c>
      <c r="Q141" s="20"/>
      <c r="R141" s="20">
        <f t="shared" ref="R141:X141" si="984">R114</f>
        <v>708777.25300000003</v>
      </c>
      <c r="S141" s="20">
        <f t="shared" si="984"/>
        <v>725737.58299999998</v>
      </c>
      <c r="T141" s="20">
        <f t="shared" si="984"/>
        <v>722421.36699999997</v>
      </c>
      <c r="U141" s="20">
        <f t="shared" si="984"/>
        <v>760305.46200000006</v>
      </c>
      <c r="V141" s="20">
        <f t="shared" si="984"/>
        <v>761250.76699999999</v>
      </c>
      <c r="W141" s="20">
        <f t="shared" si="984"/>
        <v>767167.83100000001</v>
      </c>
      <c r="X141" s="20">
        <f t="shared" si="984"/>
        <v>766893.04799999995</v>
      </c>
      <c r="Y141" s="20">
        <f t="shared" ref="Y141:Z141" si="985">Y114</f>
        <v>772383.35400000005</v>
      </c>
      <c r="Z141" s="20">
        <f t="shared" si="985"/>
        <v>1053426.3230000001</v>
      </c>
      <c r="AA141" s="20">
        <f t="shared" ref="AA141:AD141" si="986">AA114</f>
        <v>1036864.999</v>
      </c>
      <c r="AB141" s="20">
        <f t="shared" si="986"/>
        <v>1004986.933</v>
      </c>
      <c r="AC141" s="20">
        <f t="shared" si="986"/>
        <v>963483.28599999996</v>
      </c>
      <c r="AD141" s="20">
        <f t="shared" si="986"/>
        <v>964683.08000000007</v>
      </c>
      <c r="AE141" s="20">
        <f t="shared" ref="AE141:AH141" si="987">AE114</f>
        <v>974984.08200000005</v>
      </c>
      <c r="AF141" s="20">
        <f t="shared" si="987"/>
        <v>1031823.6850000001</v>
      </c>
      <c r="AG141" s="20">
        <f t="shared" si="987"/>
        <v>1074650.463</v>
      </c>
      <c r="AH141" s="20">
        <f t="shared" si="987"/>
        <v>1036293.0879999999</v>
      </c>
      <c r="AI141" s="20">
        <f t="shared" ref="AI141:AJ141" si="988">AI114</f>
        <v>1164975.1599999999</v>
      </c>
      <c r="AJ141" s="20">
        <f t="shared" si="988"/>
        <v>1196067.915</v>
      </c>
      <c r="AK141" s="20">
        <f t="shared" ref="AK141:AN141" si="989">AK114</f>
        <v>1141184.3589999999</v>
      </c>
      <c r="AL141" s="20">
        <f t="shared" si="989"/>
        <v>1089430.0629999998</v>
      </c>
      <c r="AM141" s="20">
        <f t="shared" si="989"/>
        <v>1145919.8050000002</v>
      </c>
      <c r="AN141" s="20">
        <f t="shared" si="989"/>
        <v>1028858.1830000001</v>
      </c>
      <c r="AO141" s="20">
        <f t="shared" ref="AO141:AR141" si="990">AO114</f>
        <v>1030782.5149999999</v>
      </c>
      <c r="AP141" s="20">
        <f t="shared" si="990"/>
        <v>1073347.3189999999</v>
      </c>
      <c r="AQ141" s="20">
        <f t="shared" si="990"/>
        <v>1091307.7690000001</v>
      </c>
      <c r="AR141" s="20">
        <f t="shared" si="990"/>
        <v>1072487.3360000001</v>
      </c>
      <c r="AS141" s="20">
        <f t="shared" ref="AS141:AV141" si="991">AS114</f>
        <v>1120588.07</v>
      </c>
      <c r="AT141" s="20">
        <f t="shared" si="991"/>
        <v>1095354.683</v>
      </c>
      <c r="AU141" s="20">
        <f t="shared" si="991"/>
        <v>1116768.5930000001</v>
      </c>
      <c r="AV141" s="20">
        <f t="shared" si="991"/>
        <v>1188424.6730000002</v>
      </c>
      <c r="AW141" s="20">
        <f t="shared" ref="AW141:AX141" si="992">AW114</f>
        <v>1160405.1949999998</v>
      </c>
      <c r="AX141" s="20">
        <f t="shared" si="992"/>
        <v>1160801.7379999999</v>
      </c>
      <c r="AY141" s="20"/>
      <c r="AZ141" s="20"/>
      <c r="BA141" s="20"/>
    </row>
    <row r="142" spans="2:53" ht="13.5" customHeight="1">
      <c r="B142" s="1" t="s">
        <v>139</v>
      </c>
      <c r="C142" s="20"/>
      <c r="D142" s="20">
        <f t="shared" ref="D142:H142" si="993">D113</f>
        <v>710090.04899999988</v>
      </c>
      <c r="E142" s="20">
        <f t="shared" si="993"/>
        <v>682001.63899999997</v>
      </c>
      <c r="F142" s="20">
        <f t="shared" si="993"/>
        <v>630431.84600000002</v>
      </c>
      <c r="G142" s="20">
        <f t="shared" si="993"/>
        <v>593211.70799999998</v>
      </c>
      <c r="H142" s="20">
        <f t="shared" si="993"/>
        <v>622766.84900000005</v>
      </c>
      <c r="I142" s="20">
        <f t="shared" ref="I142:J142" si="994">I113</f>
        <v>614815.36800000002</v>
      </c>
      <c r="J142" s="20">
        <f t="shared" si="994"/>
        <v>653952.58699999994</v>
      </c>
      <c r="K142" s="20">
        <f t="shared" ref="K142:L142" si="995">K113</f>
        <v>770338.44299999997</v>
      </c>
      <c r="L142" s="20">
        <f t="shared" si="995"/>
        <v>849502.37199999997</v>
      </c>
      <c r="M142" s="20">
        <f t="shared" ref="M142:N142" si="996">M113</f>
        <v>727098.83199999994</v>
      </c>
      <c r="N142" s="20">
        <f t="shared" si="996"/>
        <v>871689.06600000011</v>
      </c>
      <c r="O142" s="20">
        <f t="shared" ref="O142" si="997">O113</f>
        <v>863865.4859999998</v>
      </c>
      <c r="P142" s="20">
        <f t="shared" ref="P142" si="998">P113</f>
        <v>835134.72799999989</v>
      </c>
      <c r="Q142" s="20"/>
      <c r="R142" s="20">
        <f t="shared" ref="R142:X142" si="999">R113</f>
        <v>593676.55700000003</v>
      </c>
      <c r="S142" s="20">
        <f t="shared" si="999"/>
        <v>616081.84399999992</v>
      </c>
      <c r="T142" s="20">
        <f t="shared" si="999"/>
        <v>648712.28099999996</v>
      </c>
      <c r="U142" s="20">
        <f t="shared" si="999"/>
        <v>622766.84900000016</v>
      </c>
      <c r="V142" s="20">
        <f t="shared" si="999"/>
        <v>639455.37800000003</v>
      </c>
      <c r="W142" s="20">
        <f t="shared" si="999"/>
        <v>649717.49</v>
      </c>
      <c r="X142" s="20">
        <f t="shared" si="999"/>
        <v>661225.93400000001</v>
      </c>
      <c r="Y142" s="20">
        <f t="shared" ref="Y142:Z142" si="1000">Y113</f>
        <v>614815.36800000002</v>
      </c>
      <c r="Z142" s="20">
        <f t="shared" si="1000"/>
        <v>671281.48400000017</v>
      </c>
      <c r="AA142" s="20">
        <f t="shared" ref="AA142:AD142" si="1001">AA113</f>
        <v>665759.75</v>
      </c>
      <c r="AB142" s="20">
        <f t="shared" si="1001"/>
        <v>716388.08400000003</v>
      </c>
      <c r="AC142" s="20">
        <f t="shared" si="1001"/>
        <v>653952.58699999994</v>
      </c>
      <c r="AD142" s="20">
        <f t="shared" si="1001"/>
        <v>756388.34400000004</v>
      </c>
      <c r="AE142" s="20">
        <f t="shared" ref="AE142:AH142" si="1002">AE113</f>
        <v>729902.36100000003</v>
      </c>
      <c r="AF142" s="20">
        <f t="shared" si="1002"/>
        <v>753782.64000000013</v>
      </c>
      <c r="AG142" s="20">
        <f t="shared" si="1002"/>
        <v>770338.44299999997</v>
      </c>
      <c r="AH142" s="20">
        <f t="shared" si="1002"/>
        <v>646555.25199999986</v>
      </c>
      <c r="AI142" s="20">
        <f t="shared" ref="AI142:AJ142" si="1003">AI113</f>
        <v>903333.81799999997</v>
      </c>
      <c r="AJ142" s="20">
        <f t="shared" si="1003"/>
        <v>952430.66599999997</v>
      </c>
      <c r="AK142" s="20">
        <f t="shared" ref="AK142:AN142" si="1004">AK113</f>
        <v>849502.37199999997</v>
      </c>
      <c r="AL142" s="20">
        <f t="shared" si="1004"/>
        <v>830162.22699999984</v>
      </c>
      <c r="AM142" s="20">
        <f t="shared" si="1004"/>
        <v>896930.14900000021</v>
      </c>
      <c r="AN142" s="20">
        <f t="shared" si="1004"/>
        <v>804082.22100000014</v>
      </c>
      <c r="AO142" s="20">
        <f t="shared" ref="AO142:AR142" si="1005">AO113</f>
        <v>727098.83199999994</v>
      </c>
      <c r="AP142" s="20">
        <f t="shared" si="1005"/>
        <v>771824.21199999982</v>
      </c>
      <c r="AQ142" s="20">
        <f t="shared" si="1005"/>
        <v>858876.63000000012</v>
      </c>
      <c r="AR142" s="20">
        <f t="shared" si="1005"/>
        <v>861802.06900000013</v>
      </c>
      <c r="AS142" s="20">
        <f t="shared" ref="AS142:AV142" si="1006">AS113</f>
        <v>871689.06600000011</v>
      </c>
      <c r="AT142" s="20">
        <f t="shared" si="1006"/>
        <v>886876.54399999999</v>
      </c>
      <c r="AU142" s="20">
        <f t="shared" si="1006"/>
        <v>909581.7030000001</v>
      </c>
      <c r="AV142" s="20">
        <f t="shared" si="1006"/>
        <v>905596.90100000019</v>
      </c>
      <c r="AW142" s="20">
        <f t="shared" ref="AW142:AX142" si="1007">AW113</f>
        <v>863865.4859999998</v>
      </c>
      <c r="AX142" s="20">
        <f t="shared" si="1007"/>
        <v>835134.72799999989</v>
      </c>
      <c r="AY142" s="20"/>
      <c r="AZ142" s="20"/>
      <c r="BA142" s="20"/>
    </row>
    <row r="143" spans="2:53" ht="13.5" customHeight="1">
      <c r="B143" s="1" t="s">
        <v>76</v>
      </c>
      <c r="C143" s="37"/>
      <c r="D143" s="37">
        <f t="shared" ref="D143:H143" si="1008">D124</f>
        <v>2.7252173776489261</v>
      </c>
      <c r="E143" s="37">
        <f t="shared" si="1008"/>
        <v>2.5651194011915455</v>
      </c>
      <c r="F143" s="37">
        <f t="shared" si="1008"/>
        <v>2.4813128040565524</v>
      </c>
      <c r="G143" s="37">
        <f t="shared" si="1008"/>
        <v>2.1588436034105674</v>
      </c>
      <c r="H143" s="37">
        <f t="shared" si="1008"/>
        <v>2.339660583941606</v>
      </c>
      <c r="I143" s="37">
        <f t="shared" ref="I143:J143" si="1009">I124</f>
        <v>2.2139638488945708</v>
      </c>
      <c r="J143" s="37">
        <f t="shared" si="1009"/>
        <v>2.7486314687389455</v>
      </c>
      <c r="K143" s="37">
        <f t="shared" ref="K143:L143" si="1010">K124</f>
        <v>2.7054765654699118</v>
      </c>
      <c r="L143" s="37">
        <f t="shared" si="1010"/>
        <v>2.4567487438375921</v>
      </c>
      <c r="M143" s="37">
        <f t="shared" ref="M143:N143" si="1011">M124</f>
        <v>2.1926504441532582</v>
      </c>
      <c r="N143" s="37">
        <f t="shared" si="1011"/>
        <v>1.9380898905553865</v>
      </c>
      <c r="O143" s="37">
        <f t="shared" ref="O143" si="1012">O124</f>
        <v>1.888041149806055</v>
      </c>
      <c r="P143" s="37">
        <f t="shared" ref="P143" si="1013">P124</f>
        <v>1.8235142151580177</v>
      </c>
      <c r="Q143" s="37"/>
      <c r="R143" s="37"/>
      <c r="S143" s="37"/>
      <c r="T143" s="37"/>
      <c r="U143" s="37">
        <f t="shared" ref="U143:AA143" si="1014">U124</f>
        <v>2.339660583941606</v>
      </c>
      <c r="V143" s="37">
        <f t="shared" si="1014"/>
        <v>2.39550500498768</v>
      </c>
      <c r="W143" s="37">
        <f t="shared" si="1014"/>
        <v>2.3852496066909183</v>
      </c>
      <c r="X143" s="37">
        <f t="shared" si="1014"/>
        <v>2.3297214516158431</v>
      </c>
      <c r="Y143" s="37">
        <f t="shared" si="1014"/>
        <v>2.2139638488945708</v>
      </c>
      <c r="Z143" s="37">
        <f t="shared" si="1014"/>
        <v>2.9332974769371285</v>
      </c>
      <c r="AA143" s="37">
        <f t="shared" si="1014"/>
        <v>3.053824401378376</v>
      </c>
      <c r="AB143" s="37">
        <f t="shared" ref="AB143:AE143" si="1015">AB124</f>
        <v>2.868719230088546</v>
      </c>
      <c r="AC143" s="37">
        <f t="shared" si="1015"/>
        <v>2.7486314687389455</v>
      </c>
      <c r="AD143" s="37">
        <f t="shared" si="1015"/>
        <v>2.7681165458625303</v>
      </c>
      <c r="AE143" s="37">
        <f t="shared" si="1015"/>
        <v>2.6003181294472837</v>
      </c>
      <c r="AF143" s="37">
        <f t="shared" ref="AF143:AI143" si="1016">AF124</f>
        <v>2.6985589142198081</v>
      </c>
      <c r="AG143" s="37">
        <f t="shared" si="1016"/>
        <v>2.7054765654699118</v>
      </c>
      <c r="AH143" s="37">
        <f t="shared" si="1016"/>
        <v>2.4871133596534385</v>
      </c>
      <c r="AI143" s="37">
        <f t="shared" si="1016"/>
        <v>2.6400686205857222</v>
      </c>
      <c r="AJ143" s="37">
        <f t="shared" ref="AJ143" si="1017">AJ124</f>
        <v>2.6237327169227731</v>
      </c>
      <c r="AK143" s="37">
        <f t="shared" ref="AK143:AN143" si="1018">AK124</f>
        <v>2.4567487438375921</v>
      </c>
      <c r="AL143" s="37">
        <f t="shared" si="1018"/>
        <v>2.3151285951080602</v>
      </c>
      <c r="AM143" s="37">
        <f t="shared" si="1018"/>
        <v>2.4050652729184554</v>
      </c>
      <c r="AN143" s="37">
        <f t="shared" si="1018"/>
        <v>2.1096517733564903</v>
      </c>
      <c r="AO143" s="37">
        <f t="shared" ref="AO143:AR143" si="1019">AO124</f>
        <v>2.1926504441532582</v>
      </c>
      <c r="AP143" s="37">
        <f t="shared" si="1019"/>
        <v>2.1335392350765181</v>
      </c>
      <c r="AQ143" s="37">
        <f t="shared" si="1019"/>
        <v>2.1290819026400194</v>
      </c>
      <c r="AR143" s="37">
        <f t="shared" si="1019"/>
        <v>2.0757042691305747</v>
      </c>
      <c r="AS143" s="37">
        <f t="shared" ref="AS143:AV143" si="1020">AS124</f>
        <v>1.9380898905553865</v>
      </c>
      <c r="AT143" s="37">
        <f t="shared" si="1020"/>
        <v>1.8570715970221878</v>
      </c>
      <c r="AU143" s="37">
        <f t="shared" si="1020"/>
        <v>1.8616129759807167</v>
      </c>
      <c r="AV143" s="37">
        <f t="shared" si="1020"/>
        <v>1.9218075887507704</v>
      </c>
      <c r="AW143" s="37">
        <f t="shared" ref="AW143:AX143" si="1021">AW124</f>
        <v>1.888041149806055</v>
      </c>
      <c r="AX143" s="37">
        <f t="shared" si="1021"/>
        <v>1.8235142151580177</v>
      </c>
      <c r="AY143" s="37"/>
      <c r="AZ143" s="37"/>
      <c r="BA143" s="37"/>
    </row>
    <row r="144" spans="2:53" s="5" customFormat="1" ht="13.5" customHeight="1">
      <c r="B144" s="5" t="s">
        <v>296</v>
      </c>
      <c r="C144" s="36"/>
      <c r="D144" s="36">
        <f t="shared" ref="D144:H144" si="1022">D123</f>
        <v>2.4507836301511694</v>
      </c>
      <c r="E144" s="36">
        <f t="shared" si="1022"/>
        <v>2.1566769514401001</v>
      </c>
      <c r="F144" s="36">
        <f t="shared" si="1022"/>
        <v>2.0270924910692178</v>
      </c>
      <c r="G144" s="36">
        <f t="shared" si="1022"/>
        <v>1.7556303896818797</v>
      </c>
      <c r="H144" s="36">
        <f t="shared" si="1022"/>
        <v>1.9164179693750694</v>
      </c>
      <c r="I144" s="36">
        <f t="shared" ref="I144:J144" si="1023">I123</f>
        <v>1.762310116404725</v>
      </c>
      <c r="J144" s="36">
        <f t="shared" si="1023"/>
        <v>1.8656002504764186</v>
      </c>
      <c r="K144" s="36">
        <f t="shared" ref="K144:L144" si="1024">K123</f>
        <v>1.9393585884651308</v>
      </c>
      <c r="L144" s="36">
        <f t="shared" si="1024"/>
        <v>1.8288139587952896</v>
      </c>
      <c r="M144" s="36">
        <f t="shared" ref="M144:N144" si="1025">M123</f>
        <v>1.546663387987441</v>
      </c>
      <c r="N144" s="36">
        <f t="shared" si="1025"/>
        <v>1.5076117725599802</v>
      </c>
      <c r="O144" s="36">
        <f t="shared" ref="O144" si="1026">O123</f>
        <v>1.4055552254445107</v>
      </c>
      <c r="P144" s="36">
        <f t="shared" ref="P144" si="1027">P123</f>
        <v>1.311920889008976</v>
      </c>
      <c r="Q144" s="36"/>
      <c r="R144" s="36"/>
      <c r="S144" s="36"/>
      <c r="T144" s="36"/>
      <c r="U144" s="36">
        <f t="shared" ref="U144:AA144" si="1028">U123</f>
        <v>1.9164179693750698</v>
      </c>
      <c r="V144" s="36">
        <f t="shared" si="1028"/>
        <v>2.0122391002665343</v>
      </c>
      <c r="W144" s="36">
        <f t="shared" si="1028"/>
        <v>2.0200773870596649</v>
      </c>
      <c r="X144" s="36">
        <f t="shared" si="1028"/>
        <v>2.0087184866546366</v>
      </c>
      <c r="Y144" s="36">
        <f t="shared" si="1028"/>
        <v>1.762310116404725</v>
      </c>
      <c r="Z144" s="36">
        <f t="shared" si="1028"/>
        <v>1.8692036076374101</v>
      </c>
      <c r="AA144" s="36">
        <f t="shared" si="1028"/>
        <v>1.9608274673813801</v>
      </c>
      <c r="AB144" s="36">
        <f t="shared" ref="AB144:AE144" si="1029">AB123</f>
        <v>2.0449184017172577</v>
      </c>
      <c r="AC144" s="36">
        <f t="shared" si="1029"/>
        <v>1.8656002504764186</v>
      </c>
      <c r="AD144" s="36">
        <f t="shared" si="1029"/>
        <v>2.1704237728767453</v>
      </c>
      <c r="AE144" s="36">
        <f t="shared" si="1029"/>
        <v>1.9466762351046012</v>
      </c>
      <c r="AF144" s="36">
        <f t="shared" ref="AF144:AI144" si="1030">AF123</f>
        <v>1.9713899691652657</v>
      </c>
      <c r="AG144" s="36">
        <f t="shared" si="1030"/>
        <v>1.9393585884651308</v>
      </c>
      <c r="AH144" s="36">
        <f t="shared" si="1030"/>
        <v>1.5517388117552466</v>
      </c>
      <c r="AI144" s="36">
        <f t="shared" si="1030"/>
        <v>2.0471365817067668</v>
      </c>
      <c r="AJ144" s="36">
        <f t="shared" ref="AJ144" si="1031">AJ123</f>
        <v>2.0892822787448035</v>
      </c>
      <c r="AK144" s="36">
        <f t="shared" ref="AK144:AN144" si="1032">AK123</f>
        <v>1.8288139587952896</v>
      </c>
      <c r="AL144" s="36">
        <f t="shared" si="1032"/>
        <v>1.7641630936948802</v>
      </c>
      <c r="AM144" s="36">
        <f t="shared" si="1032"/>
        <v>1.8824838738112883</v>
      </c>
      <c r="AN144" s="36">
        <f t="shared" si="1032"/>
        <v>1.6487534545439635</v>
      </c>
      <c r="AO144" s="36">
        <f t="shared" ref="AO144:AR144" si="1033">AO123</f>
        <v>1.546663387987441</v>
      </c>
      <c r="AP144" s="36">
        <f t="shared" si="1033"/>
        <v>1.5341886169876537</v>
      </c>
      <c r="AQ144" s="36">
        <f t="shared" si="1033"/>
        <v>1.6756214346472302</v>
      </c>
      <c r="AR144" s="36">
        <f t="shared" si="1033"/>
        <v>1.6679415912178772</v>
      </c>
      <c r="AS144" s="36">
        <f t="shared" ref="AS144:AV144" si="1034">AS123</f>
        <v>1.5076117725599802</v>
      </c>
      <c r="AT144" s="36">
        <f t="shared" si="1034"/>
        <v>1.5036163769499296</v>
      </c>
      <c r="AU144" s="36">
        <f t="shared" si="1034"/>
        <v>1.5162399011156991</v>
      </c>
      <c r="AV144" s="36">
        <f t="shared" si="1034"/>
        <v>1.4644453588275343</v>
      </c>
      <c r="AW144" s="36">
        <f t="shared" ref="AW144:AX144" si="1035">AW123</f>
        <v>1.4055552254445107</v>
      </c>
      <c r="AX144" s="36">
        <f t="shared" si="1035"/>
        <v>1.311920889008976</v>
      </c>
      <c r="AY144" s="36"/>
      <c r="AZ144" s="36"/>
      <c r="BA144" s="36"/>
    </row>
    <row r="145" spans="1:53" s="5" customFormat="1" ht="13.5" customHeight="1">
      <c r="C145" s="36"/>
      <c r="D145" s="36"/>
      <c r="E145" s="36"/>
      <c r="F145" s="36"/>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row>
    <row r="146" spans="1:53" ht="13.5" customHeight="1">
      <c r="A146" s="22"/>
      <c r="B146" s="15" t="s">
        <v>297</v>
      </c>
      <c r="C146" s="33"/>
      <c r="D146" s="33"/>
      <c r="E146" s="33"/>
      <c r="F146" s="33"/>
      <c r="G146" s="33"/>
      <c r="H146" s="33"/>
      <c r="I146" s="33"/>
      <c r="J146" s="33"/>
      <c r="K146" s="33"/>
      <c r="L146" s="33"/>
      <c r="M146" s="33"/>
      <c r="N146" s="33"/>
      <c r="O146" s="33"/>
      <c r="P146" s="33"/>
      <c r="Q146" s="267"/>
      <c r="R146" s="33"/>
      <c r="S146" s="33"/>
      <c r="T146" s="33"/>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c r="AY146" s="267"/>
      <c r="AZ146" s="267"/>
      <c r="BA146" s="267"/>
    </row>
    <row r="147" spans="1:53" s="5" customFormat="1" ht="13.5" customHeight="1">
      <c r="A147" s="50"/>
      <c r="B147" s="51" t="s">
        <v>298</v>
      </c>
      <c r="C147" s="60"/>
      <c r="D147" s="60">
        <f t="shared" ref="D147:H147" si="1036">+D83</f>
        <v>42004</v>
      </c>
      <c r="E147" s="60">
        <f t="shared" si="1036"/>
        <v>42369</v>
      </c>
      <c r="F147" s="60">
        <f t="shared" si="1036"/>
        <v>42735</v>
      </c>
      <c r="G147" s="60">
        <f t="shared" si="1036"/>
        <v>43100</v>
      </c>
      <c r="H147" s="60">
        <f t="shared" si="1036"/>
        <v>43465</v>
      </c>
      <c r="I147" s="60">
        <f t="shared" ref="I147:J147" si="1037">+I83</f>
        <v>43830</v>
      </c>
      <c r="J147" s="60">
        <f t="shared" si="1037"/>
        <v>44196</v>
      </c>
      <c r="K147" s="60">
        <f t="shared" ref="K147:L147" si="1038">+K83</f>
        <v>44561</v>
      </c>
      <c r="L147" s="60">
        <f t="shared" si="1038"/>
        <v>44926</v>
      </c>
      <c r="M147" s="60">
        <f t="shared" ref="M147:N147" si="1039">+M83</f>
        <v>45291</v>
      </c>
      <c r="N147" s="60">
        <f t="shared" si="1039"/>
        <v>45657</v>
      </c>
      <c r="O147" s="60">
        <f t="shared" ref="O147" si="1040">+O83</f>
        <v>46022</v>
      </c>
      <c r="P147" s="84">
        <f t="shared" ref="P147" si="1041">+P83</f>
        <v>46111</v>
      </c>
      <c r="Q147" s="268"/>
      <c r="R147" s="60">
        <f t="shared" ref="R147:X147" si="1042">+R83</f>
        <v>43189</v>
      </c>
      <c r="S147" s="60">
        <f t="shared" si="1042"/>
        <v>43281</v>
      </c>
      <c r="T147" s="60">
        <f t="shared" si="1042"/>
        <v>43373</v>
      </c>
      <c r="U147" s="60">
        <f t="shared" si="1042"/>
        <v>43464</v>
      </c>
      <c r="V147" s="60">
        <f t="shared" si="1042"/>
        <v>43554</v>
      </c>
      <c r="W147" s="60">
        <f t="shared" si="1042"/>
        <v>43646</v>
      </c>
      <c r="X147" s="60">
        <f t="shared" si="1042"/>
        <v>43738</v>
      </c>
      <c r="Y147" s="60">
        <f t="shared" ref="Y147:Z147" si="1043">+Y83</f>
        <v>43829</v>
      </c>
      <c r="Z147" s="60">
        <f t="shared" si="1043"/>
        <v>43920</v>
      </c>
      <c r="AA147" s="60">
        <f t="shared" ref="AA147:AD147" si="1044">+AA83</f>
        <v>44012</v>
      </c>
      <c r="AB147" s="60">
        <f t="shared" si="1044"/>
        <v>44104</v>
      </c>
      <c r="AC147" s="60">
        <f t="shared" si="1044"/>
        <v>44195</v>
      </c>
      <c r="AD147" s="60">
        <f t="shared" si="1044"/>
        <v>44285</v>
      </c>
      <c r="AE147" s="60">
        <f t="shared" ref="AE147:AH147" si="1045">+AE83</f>
        <v>44377</v>
      </c>
      <c r="AF147" s="60">
        <f t="shared" si="1045"/>
        <v>44469</v>
      </c>
      <c r="AG147" s="60">
        <f t="shared" si="1045"/>
        <v>44560</v>
      </c>
      <c r="AH147" s="60">
        <f t="shared" si="1045"/>
        <v>44650</v>
      </c>
      <c r="AI147" s="60">
        <f t="shared" ref="AI147:AJ147" si="1046">+AI83</f>
        <v>44742</v>
      </c>
      <c r="AJ147" s="60">
        <f t="shared" si="1046"/>
        <v>44834</v>
      </c>
      <c r="AK147" s="60">
        <f t="shared" ref="AK147:AN147" si="1047">+AK83</f>
        <v>44925</v>
      </c>
      <c r="AL147" s="60">
        <f t="shared" si="1047"/>
        <v>45015</v>
      </c>
      <c r="AM147" s="60">
        <f t="shared" si="1047"/>
        <v>45107</v>
      </c>
      <c r="AN147" s="60">
        <f t="shared" si="1047"/>
        <v>45199</v>
      </c>
      <c r="AO147" s="60">
        <f t="shared" ref="AO147:AR147" si="1048">+AO83</f>
        <v>45290</v>
      </c>
      <c r="AP147" s="60">
        <f t="shared" si="1048"/>
        <v>45381</v>
      </c>
      <c r="AQ147" s="60">
        <f t="shared" si="1048"/>
        <v>45473</v>
      </c>
      <c r="AR147" s="60">
        <f t="shared" si="1048"/>
        <v>45565</v>
      </c>
      <c r="AS147" s="60">
        <f t="shared" ref="AS147:AV147" si="1049">+AS83</f>
        <v>45656</v>
      </c>
      <c r="AT147" s="60">
        <f t="shared" si="1049"/>
        <v>45746</v>
      </c>
      <c r="AU147" s="60">
        <f t="shared" si="1049"/>
        <v>45838</v>
      </c>
      <c r="AV147" s="60">
        <f t="shared" si="1049"/>
        <v>45930</v>
      </c>
      <c r="AW147" s="60">
        <f t="shared" ref="AW147:AX147" si="1050">+AW83</f>
        <v>46021</v>
      </c>
      <c r="AX147" s="60">
        <f t="shared" si="1050"/>
        <v>46111</v>
      </c>
      <c r="AY147" s="268"/>
      <c r="AZ147" s="268"/>
      <c r="BA147" s="268"/>
    </row>
    <row r="148" spans="1:53" s="5" customFormat="1" ht="13.5" customHeight="1">
      <c r="B148" s="10"/>
      <c r="C148" s="13"/>
      <c r="D148" s="13"/>
      <c r="E148" s="13"/>
      <c r="F148" s="13"/>
      <c r="G148" s="13"/>
      <c r="H148" s="13"/>
      <c r="I148" s="13"/>
      <c r="J148" s="13"/>
      <c r="K148" s="13"/>
      <c r="L148" s="13"/>
      <c r="M148" s="13"/>
      <c r="N148" s="13"/>
      <c r="O148" s="13"/>
      <c r="P148" s="13"/>
      <c r="Q148" s="134"/>
      <c r="R148" s="13"/>
      <c r="S148" s="13"/>
      <c r="T148" s="13"/>
      <c r="U148" s="13"/>
      <c r="V148" s="13"/>
      <c r="W148" s="13"/>
      <c r="X148" s="13"/>
      <c r="Y148" s="13"/>
      <c r="Z148" s="13"/>
      <c r="AA148" s="13"/>
      <c r="AB148" s="13"/>
      <c r="AC148" s="13"/>
      <c r="AD148" s="13"/>
      <c r="AE148" s="13"/>
      <c r="AF148" s="13"/>
      <c r="AG148" s="13"/>
      <c r="AH148" s="13"/>
      <c r="AI148" s="13"/>
      <c r="AJ148" s="13"/>
      <c r="AK148" s="13"/>
      <c r="AL148" s="13"/>
      <c r="AM148" s="13"/>
      <c r="AN148" s="13"/>
      <c r="AO148" s="13"/>
      <c r="AP148" s="13"/>
      <c r="AQ148" s="13"/>
      <c r="AR148" s="13"/>
      <c r="AS148" s="13"/>
      <c r="AT148" s="13"/>
      <c r="AU148" s="13"/>
      <c r="AV148" s="13"/>
      <c r="AW148" s="13"/>
      <c r="AX148" s="13"/>
      <c r="AY148" s="134"/>
      <c r="AZ148" s="134"/>
      <c r="BA148" s="134"/>
    </row>
    <row r="149" spans="1:53" s="5" customFormat="1" ht="13.5" customHeight="1">
      <c r="A149" s="3"/>
      <c r="B149" s="3"/>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c r="AA149" s="19"/>
      <c r="AB149" s="19"/>
      <c r="AC149" s="19"/>
      <c r="AD149" s="19"/>
      <c r="AE149" s="19"/>
      <c r="AF149" s="19"/>
      <c r="AG149" s="19"/>
      <c r="AH149" s="19"/>
      <c r="AI149" s="19"/>
      <c r="AJ149" s="19"/>
      <c r="AK149" s="19"/>
      <c r="AL149" s="19"/>
      <c r="AM149" s="19"/>
      <c r="AN149" s="19"/>
      <c r="AO149" s="19"/>
      <c r="AP149" s="19"/>
      <c r="AQ149" s="19"/>
      <c r="AR149" s="19"/>
      <c r="AS149" s="19"/>
      <c r="AT149" s="19"/>
      <c r="AU149" s="19"/>
      <c r="AV149" s="19"/>
      <c r="AW149" s="19"/>
      <c r="AX149" s="19"/>
      <c r="AY149" s="19"/>
      <c r="AZ149" s="19"/>
      <c r="BA149" s="19"/>
    </row>
    <row r="150" spans="1:53" s="5" customFormat="1" ht="13.5" customHeight="1">
      <c r="B150" s="5" t="str">
        <f>+B7</f>
        <v>Net Sales</v>
      </c>
      <c r="C150" s="38"/>
      <c r="D150" s="38">
        <f t="shared" ref="D150:H150" si="1051">+D7</f>
        <v>1797199.8770000001</v>
      </c>
      <c r="E150" s="38">
        <f t="shared" si="1051"/>
        <v>1877394.2560000001</v>
      </c>
      <c r="F150" s="38">
        <f t="shared" si="1051"/>
        <v>1777459.32</v>
      </c>
      <c r="G150" s="38">
        <f t="shared" si="1051"/>
        <v>1848878.6189999999</v>
      </c>
      <c r="H150" s="38">
        <f t="shared" si="1051"/>
        <v>1672915.7990000001</v>
      </c>
      <c r="I150" s="38">
        <f t="shared" ref="I150:J150" si="1052">+I7</f>
        <v>1779025.115</v>
      </c>
      <c r="J150" s="38">
        <f t="shared" si="1052"/>
        <v>1698281.237</v>
      </c>
      <c r="K150" s="38">
        <f t="shared" ref="K150:L150" si="1053">+K7</f>
        <v>2216732.5929999999</v>
      </c>
      <c r="L150" s="38">
        <f t="shared" si="1053"/>
        <v>2656878.395</v>
      </c>
      <c r="M150" s="38">
        <f t="shared" ref="M150:N150" si="1054">+M7</f>
        <v>2618437.0520000001</v>
      </c>
      <c r="N150" s="38">
        <f t="shared" si="1054"/>
        <v>3224233.0049999999</v>
      </c>
      <c r="O150" s="38">
        <f t="shared" ref="O150" si="1055">+O7</f>
        <v>3344835.8509999998</v>
      </c>
      <c r="P150" s="38">
        <f t="shared" ref="P150" si="1056">+P7</f>
        <v>3380919.9249999998</v>
      </c>
      <c r="Q150" s="38"/>
      <c r="R150" s="38">
        <f t="shared" ref="R150:X150" si="1057">+R7</f>
        <v>479831.47200000001</v>
      </c>
      <c r="S150" s="38">
        <f t="shared" si="1057"/>
        <v>363485.01799999998</v>
      </c>
      <c r="T150" s="38">
        <f t="shared" si="1057"/>
        <v>345081.64899999998</v>
      </c>
      <c r="U150" s="38">
        <f t="shared" si="1057"/>
        <v>484517.66000000021</v>
      </c>
      <c r="V150" s="38">
        <f t="shared" si="1057"/>
        <v>447262.80699999997</v>
      </c>
      <c r="W150" s="38">
        <f t="shared" si="1057"/>
        <v>379717.93199999997</v>
      </c>
      <c r="X150" s="38">
        <f t="shared" si="1057"/>
        <v>406392.75</v>
      </c>
      <c r="Y150" s="38">
        <f t="shared" ref="Y150:Z150" si="1058">+Y7</f>
        <v>545651.62599999993</v>
      </c>
      <c r="Z150" s="38">
        <f t="shared" si="1058"/>
        <v>504614.61200000002</v>
      </c>
      <c r="AA150" s="38">
        <f t="shared" ref="AA150:AD150" si="1059">+AA7</f>
        <v>312303.12400000001</v>
      </c>
      <c r="AB150" s="38">
        <f t="shared" si="1059"/>
        <v>394054.69400000002</v>
      </c>
      <c r="AC150" s="38">
        <f t="shared" si="1059"/>
        <v>487308.80699999997</v>
      </c>
      <c r="AD150" s="38">
        <f t="shared" si="1059"/>
        <v>509007.24300000002</v>
      </c>
      <c r="AE150" s="38">
        <f t="shared" ref="AE150:AH150" si="1060">+AE7</f>
        <v>441602.88400000002</v>
      </c>
      <c r="AF150" s="38">
        <f t="shared" si="1060"/>
        <v>538023.12300000002</v>
      </c>
      <c r="AG150" s="38">
        <f t="shared" si="1060"/>
        <v>728099.34299999964</v>
      </c>
      <c r="AH150" s="38">
        <f t="shared" si="1060"/>
        <v>624227.67799999996</v>
      </c>
      <c r="AI150" s="38">
        <f t="shared" ref="AI150:AJ150" si="1061">+AI7</f>
        <v>591716.26300000004</v>
      </c>
      <c r="AJ150" s="38">
        <f t="shared" si="1061"/>
        <v>653498.49600000004</v>
      </c>
      <c r="AK150" s="38">
        <f t="shared" ref="AK150:AN150" si="1062">+AK7</f>
        <v>787435.9580000001</v>
      </c>
      <c r="AL150" s="38">
        <f t="shared" si="1062"/>
        <v>701855.63399999996</v>
      </c>
      <c r="AM150" s="38">
        <f t="shared" si="1062"/>
        <v>614428.13699999999</v>
      </c>
      <c r="AN150" s="38">
        <f t="shared" si="1062"/>
        <v>670332.84699999995</v>
      </c>
      <c r="AO150" s="38">
        <f t="shared" ref="AO150:AR150" si="1063">+AO7</f>
        <v>631820.43400000036</v>
      </c>
      <c r="AP150" s="38">
        <f t="shared" si="1063"/>
        <v>804637.26</v>
      </c>
      <c r="AQ150" s="38">
        <f t="shared" si="1063"/>
        <v>672192.94299999997</v>
      </c>
      <c r="AR150" s="38">
        <f t="shared" si="1063"/>
        <v>726805.76399999997</v>
      </c>
      <c r="AS150" s="38">
        <f t="shared" ref="AS150:AV150" si="1064">+AS7</f>
        <v>1020597.0379999997</v>
      </c>
      <c r="AT150" s="38">
        <f t="shared" si="1064"/>
        <v>888178.88699999999</v>
      </c>
      <c r="AU150" s="38">
        <f t="shared" si="1064"/>
        <v>738154.04399999999</v>
      </c>
      <c r="AV150" s="38">
        <f t="shared" si="1064"/>
        <v>800361.40899999999</v>
      </c>
      <c r="AW150" s="38">
        <f t="shared" ref="AW150:AX150" si="1065">+AW7</f>
        <v>918141.51099999994</v>
      </c>
      <c r="AX150" s="38">
        <f t="shared" si="1065"/>
        <v>924262.96100000001</v>
      </c>
      <c r="AY150" s="38"/>
      <c r="AZ150" s="38"/>
      <c r="BA150" s="38"/>
    </row>
    <row r="151" spans="1:53" s="34" customFormat="1" ht="13.5" customHeight="1">
      <c r="B151" s="23" t="s">
        <v>210</v>
      </c>
      <c r="C151" s="47"/>
      <c r="D151" s="47"/>
      <c r="E151" s="47"/>
      <c r="F151" s="47"/>
      <c r="G151" s="47">
        <f t="shared" ref="G151:O151" si="1066">+G150/F150-1</f>
        <v>4.0180553330469326E-2</v>
      </c>
      <c r="H151" s="47">
        <f t="shared" si="1066"/>
        <v>-9.5172726966344934E-2</v>
      </c>
      <c r="I151" s="47">
        <f t="shared" si="1066"/>
        <v>6.3427768488663716E-2</v>
      </c>
      <c r="J151" s="47">
        <f t="shared" si="1066"/>
        <v>-4.5386586911674964E-2</v>
      </c>
      <c r="K151" s="47">
        <f t="shared" si="1066"/>
        <v>0.3052800353113716</v>
      </c>
      <c r="L151" s="47">
        <f t="shared" si="1066"/>
        <v>0.19855611064225465</v>
      </c>
      <c r="M151" s="47">
        <f t="shared" si="1066"/>
        <v>-1.446861213984918E-2</v>
      </c>
      <c r="N151" s="47">
        <f t="shared" si="1066"/>
        <v>0.23135784476364796</v>
      </c>
      <c r="O151" s="47">
        <f t="shared" si="1066"/>
        <v>3.7405127300965679E-2</v>
      </c>
      <c r="P151" s="47"/>
      <c r="Q151" s="320"/>
      <c r="R151" s="47"/>
      <c r="S151" s="47"/>
      <c r="T151" s="47"/>
      <c r="U151" s="47"/>
      <c r="V151" s="47">
        <f t="shared" ref="V151:AX151" si="1067">+V150/R150-1</f>
        <v>-6.7875216405146599E-2</v>
      </c>
      <c r="W151" s="47">
        <f t="shared" si="1067"/>
        <v>4.4659100640015881E-2</v>
      </c>
      <c r="X151" s="47">
        <f t="shared" si="1067"/>
        <v>0.17767128787540964</v>
      </c>
      <c r="Y151" s="47">
        <f t="shared" si="1067"/>
        <v>0.12617489731953158</v>
      </c>
      <c r="Z151" s="47">
        <f t="shared" si="1067"/>
        <v>0.12822842432324144</v>
      </c>
      <c r="AA151" s="47">
        <f t="shared" si="1067"/>
        <v>-0.17753917399929364</v>
      </c>
      <c r="AB151" s="47">
        <f t="shared" si="1067"/>
        <v>-3.0359931371807147E-2</v>
      </c>
      <c r="AC151" s="47">
        <f t="shared" si="1067"/>
        <v>-0.10692320194790361</v>
      </c>
      <c r="AD151" s="47">
        <f t="shared" si="1067"/>
        <v>8.7049223219877181E-3</v>
      </c>
      <c r="AE151" s="47">
        <f t="shared" si="1067"/>
        <v>0.41402006596642305</v>
      </c>
      <c r="AF151" s="47">
        <f t="shared" si="1067"/>
        <v>0.36535138698284353</v>
      </c>
      <c r="AG151" s="47">
        <f t="shared" si="1067"/>
        <v>0.49412309513215846</v>
      </c>
      <c r="AH151" s="47">
        <f t="shared" si="1067"/>
        <v>0.2263630558985974</v>
      </c>
      <c r="AI151" s="47">
        <f t="shared" si="1067"/>
        <v>0.33992843896372738</v>
      </c>
      <c r="AJ151" s="47">
        <f t="shared" si="1067"/>
        <v>0.21462901511762733</v>
      </c>
      <c r="AK151" s="47">
        <f t="shared" si="1067"/>
        <v>8.1495218434774142E-2</v>
      </c>
      <c r="AL151" s="47">
        <f t="shared" si="1067"/>
        <v>0.12435840116656927</v>
      </c>
      <c r="AM151" s="47">
        <f t="shared" si="1067"/>
        <v>3.8383048464564418E-2</v>
      </c>
      <c r="AN151" s="47">
        <f t="shared" si="1067"/>
        <v>2.5760351558635985E-2</v>
      </c>
      <c r="AO151" s="47">
        <f t="shared" si="1067"/>
        <v>-0.19762308593989775</v>
      </c>
      <c r="AP151" s="47">
        <f t="shared" si="1067"/>
        <v>0.14644268852588582</v>
      </c>
      <c r="AQ151" s="47">
        <f t="shared" si="1067"/>
        <v>9.4013933479742295E-2</v>
      </c>
      <c r="AR151" s="47">
        <f t="shared" si="1067"/>
        <v>8.4246083498277446E-2</v>
      </c>
      <c r="AS151" s="47">
        <f t="shared" si="1067"/>
        <v>0.61532768343481448</v>
      </c>
      <c r="AT151" s="47">
        <f t="shared" si="1067"/>
        <v>0.10382520317291788</v>
      </c>
      <c r="AU151" s="47">
        <f t="shared" si="1067"/>
        <v>9.8128225960860904E-2</v>
      </c>
      <c r="AV151" s="47">
        <f t="shared" si="1067"/>
        <v>0.10120399237780409</v>
      </c>
      <c r="AW151" s="47">
        <f t="shared" si="1067"/>
        <v>-0.1003878349488212</v>
      </c>
      <c r="AX151" s="47">
        <f t="shared" si="1067"/>
        <v>4.0627034179883559E-2</v>
      </c>
      <c r="AY151" s="138"/>
      <c r="AZ151" s="138"/>
      <c r="BA151" s="138"/>
    </row>
    <row r="152" spans="1:53" s="5" customFormat="1" ht="13.5" customHeight="1" thickBot="1">
      <c r="B152" s="21"/>
      <c r="C152" s="43"/>
      <c r="D152" s="43"/>
      <c r="E152" s="43"/>
      <c r="F152" s="43"/>
      <c r="G152" s="43"/>
      <c r="H152" s="43"/>
      <c r="I152" s="43"/>
      <c r="J152" s="43"/>
      <c r="K152" s="43"/>
      <c r="L152" s="43"/>
      <c r="M152" s="43"/>
      <c r="N152" s="43"/>
      <c r="O152" s="43"/>
      <c r="P152" s="43"/>
      <c r="Q152" s="7"/>
      <c r="R152" s="43"/>
      <c r="S152" s="43"/>
      <c r="T152" s="43"/>
      <c r="U152" s="43"/>
      <c r="V152" s="43"/>
      <c r="W152" s="43"/>
      <c r="X152" s="43"/>
      <c r="Y152" s="43"/>
      <c r="Z152" s="43"/>
      <c r="AA152" s="43"/>
      <c r="AB152" s="43"/>
      <c r="AC152" s="43"/>
      <c r="AD152" s="43"/>
      <c r="AE152" s="43"/>
      <c r="AF152" s="43"/>
      <c r="AG152" s="43"/>
      <c r="AH152" s="43"/>
      <c r="AI152" s="43"/>
      <c r="AJ152" s="43"/>
      <c r="AK152" s="43"/>
      <c r="AL152" s="43"/>
      <c r="AM152" s="43"/>
      <c r="AN152" s="43"/>
      <c r="AO152" s="43"/>
      <c r="AP152" s="43"/>
      <c r="AQ152" s="43"/>
      <c r="AR152" s="43"/>
      <c r="AS152" s="43"/>
      <c r="AT152" s="43"/>
      <c r="AU152" s="43"/>
      <c r="AV152" s="43"/>
      <c r="AW152" s="43"/>
      <c r="AX152" s="43"/>
      <c r="AY152" s="7"/>
      <c r="AZ152" s="7"/>
      <c r="BA152" s="7"/>
    </row>
    <row r="153" spans="1:53" s="5" customFormat="1" ht="13.5" customHeight="1" thickTop="1" thickBot="1">
      <c r="B153" s="21" t="str">
        <f>+B57</f>
        <v>Adj. EBITDA</v>
      </c>
      <c r="C153" s="43"/>
      <c r="D153" s="43">
        <f>+D57</f>
        <v>289740</v>
      </c>
      <c r="E153" s="43">
        <f>+E57</f>
        <v>316228</v>
      </c>
      <c r="F153" s="43">
        <f>+F57</f>
        <v>311003</v>
      </c>
      <c r="G153" s="43">
        <f>+G57</f>
        <v>337891</v>
      </c>
      <c r="H153" s="43">
        <f>+H57</f>
        <v>324964</v>
      </c>
      <c r="I153" s="43">
        <f>+I57</f>
        <v>348869</v>
      </c>
      <c r="J153" s="43">
        <f>+J57</f>
        <v>350532</v>
      </c>
      <c r="K153" s="43">
        <f>+K57</f>
        <v>397213</v>
      </c>
      <c r="L153" s="43">
        <f>+L57</f>
        <v>464510</v>
      </c>
      <c r="M153" s="43">
        <f>+M57</f>
        <v>470108</v>
      </c>
      <c r="N153" s="43">
        <f>+N57</f>
        <v>578192</v>
      </c>
      <c r="O153" s="43">
        <f>+O57</f>
        <v>614608</v>
      </c>
      <c r="P153" s="43">
        <f>+P57</f>
        <v>636574</v>
      </c>
      <c r="Q153" s="7"/>
      <c r="R153" s="43">
        <f>+R57</f>
        <v>100882</v>
      </c>
      <c r="S153" s="43">
        <f>+S57</f>
        <v>58577</v>
      </c>
      <c r="T153" s="43">
        <f>+T57</f>
        <v>58935</v>
      </c>
      <c r="U153" s="43">
        <f>+U57</f>
        <v>106570</v>
      </c>
      <c r="V153" s="43">
        <f>+V57</f>
        <v>93701</v>
      </c>
      <c r="W153" s="43">
        <f>+W57</f>
        <v>62424</v>
      </c>
      <c r="X153" s="43">
        <f>+X57</f>
        <v>66483</v>
      </c>
      <c r="Y153" s="43">
        <f>+Y57</f>
        <v>126261</v>
      </c>
      <c r="Z153" s="43">
        <f>+Z57</f>
        <v>103959</v>
      </c>
      <c r="AA153" s="43">
        <f>+AA57</f>
        <v>42827</v>
      </c>
      <c r="AB153" s="43">
        <f>+AB57</f>
        <v>77279</v>
      </c>
      <c r="AC153" s="43">
        <f>+AC57</f>
        <v>126467</v>
      </c>
      <c r="AD153" s="43">
        <f>+AD57</f>
        <v>101925</v>
      </c>
      <c r="AE153" s="43">
        <f>+AE57</f>
        <v>69277</v>
      </c>
      <c r="AF153" s="43">
        <f>+AF57</f>
        <v>84692</v>
      </c>
      <c r="AG153" s="43">
        <f>+AG57</f>
        <v>141319</v>
      </c>
      <c r="AH153" s="43">
        <f>+AH57</f>
        <v>121377</v>
      </c>
      <c r="AI153" s="43">
        <f>+AI57</f>
        <v>93879</v>
      </c>
      <c r="AJ153" s="43">
        <f>+AJ57</f>
        <v>99290</v>
      </c>
      <c r="AK153" s="43">
        <f>+AK57</f>
        <v>149964</v>
      </c>
      <c r="AL153" s="43">
        <f>+AL57</f>
        <v>127437</v>
      </c>
      <c r="AM153" s="43">
        <f>+AM57</f>
        <v>99770</v>
      </c>
      <c r="AN153" s="43">
        <f>+AN57</f>
        <v>110520</v>
      </c>
      <c r="AO153" s="43">
        <f>+AO57</f>
        <v>132381</v>
      </c>
      <c r="AP153" s="43">
        <f>+AP57</f>
        <v>160412</v>
      </c>
      <c r="AQ153" s="43">
        <f>+AQ57</f>
        <v>109259</v>
      </c>
      <c r="AR153" s="43">
        <f>+AR57</f>
        <v>114634</v>
      </c>
      <c r="AS153" s="43">
        <f>+AS57</f>
        <v>193887</v>
      </c>
      <c r="AT153" s="43">
        <f>+AT57</f>
        <v>172049</v>
      </c>
      <c r="AU153" s="43">
        <f>+AU57</f>
        <v>119323</v>
      </c>
      <c r="AV153" s="43">
        <f>+AV57</f>
        <v>133130</v>
      </c>
      <c r="AW153" s="43">
        <f>+AW57</f>
        <v>190106</v>
      </c>
      <c r="AX153" s="43">
        <f>+AX57</f>
        <v>194015</v>
      </c>
      <c r="AY153" s="7"/>
      <c r="AZ153" s="7"/>
      <c r="BA153" s="7"/>
    </row>
    <row r="154" spans="1:53" s="34" customFormat="1" ht="13.5" customHeight="1" thickTop="1">
      <c r="B154" s="23" t="s">
        <v>241</v>
      </c>
      <c r="C154" s="47"/>
      <c r="D154" s="47"/>
      <c r="E154" s="47"/>
      <c r="F154" s="47"/>
      <c r="G154" s="47">
        <f t="shared" ref="G154:O154" si="1068">+G153/F153-1</f>
        <v>8.6455757661501709E-2</v>
      </c>
      <c r="H154" s="47">
        <f t="shared" si="1068"/>
        <v>-3.8257899736897416E-2</v>
      </c>
      <c r="I154" s="47">
        <f t="shared" si="1068"/>
        <v>7.356199455939727E-2</v>
      </c>
      <c r="J154" s="47">
        <f t="shared" si="1068"/>
        <v>4.7668322493543691E-3</v>
      </c>
      <c r="K154" s="47">
        <f t="shared" si="1068"/>
        <v>0.13317186448027574</v>
      </c>
      <c r="L154" s="47">
        <f t="shared" si="1068"/>
        <v>0.16942295443502609</v>
      </c>
      <c r="M154" s="47">
        <f t="shared" si="1068"/>
        <v>1.2051409011646586E-2</v>
      </c>
      <c r="N154" s="47">
        <f t="shared" si="1068"/>
        <v>0.22991312634543548</v>
      </c>
      <c r="O154" s="47">
        <f t="shared" si="1068"/>
        <v>6.2982538672274879E-2</v>
      </c>
      <c r="P154" s="47"/>
      <c r="Q154" s="320"/>
      <c r="R154" s="47"/>
      <c r="S154" s="47"/>
      <c r="T154" s="47"/>
      <c r="U154" s="47"/>
      <c r="V154" s="47">
        <f t="shared" ref="V154:AX154" si="1069">+V153/R153-1</f>
        <v>-7.1182173232092971E-2</v>
      </c>
      <c r="W154" s="47">
        <f t="shared" si="1069"/>
        <v>6.5674240742953804E-2</v>
      </c>
      <c r="X154" s="47">
        <f t="shared" si="1069"/>
        <v>0.12807330109442616</v>
      </c>
      <c r="Y154" s="47">
        <f t="shared" si="1069"/>
        <v>0.18477057333208213</v>
      </c>
      <c r="Z154" s="47">
        <f t="shared" si="1069"/>
        <v>0.10947588606311576</v>
      </c>
      <c r="AA154" s="47">
        <f t="shared" si="1069"/>
        <v>-0.3139337434320133</v>
      </c>
      <c r="AB154" s="47">
        <f t="shared" si="1069"/>
        <v>0.16238737722425278</v>
      </c>
      <c r="AC154" s="47">
        <f t="shared" si="1069"/>
        <v>1.6315410142482278E-3</v>
      </c>
      <c r="AD154" s="47">
        <f t="shared" si="1069"/>
        <v>-1.9565405592589347E-2</v>
      </c>
      <c r="AE154" s="47">
        <f t="shared" si="1069"/>
        <v>0.61760104606906863</v>
      </c>
      <c r="AF154" s="47">
        <f t="shared" si="1069"/>
        <v>9.5925154311002903E-2</v>
      </c>
      <c r="AG154" s="47">
        <f t="shared" si="1069"/>
        <v>0.1174377505594344</v>
      </c>
      <c r="AH154" s="47">
        <f t="shared" si="1069"/>
        <v>0.19084621044885952</v>
      </c>
      <c r="AI154" s="47">
        <f t="shared" si="1069"/>
        <v>0.35512507758707801</v>
      </c>
      <c r="AJ154" s="47">
        <f t="shared" si="1069"/>
        <v>0.17236574883105837</v>
      </c>
      <c r="AK154" s="47">
        <f t="shared" si="1069"/>
        <v>6.1173656762360418E-2</v>
      </c>
      <c r="AL154" s="47">
        <f t="shared" si="1069"/>
        <v>4.9927086680342958E-2</v>
      </c>
      <c r="AM154" s="47">
        <f t="shared" si="1069"/>
        <v>6.2750987973881234E-2</v>
      </c>
      <c r="AN154" s="47">
        <f t="shared" si="1069"/>
        <v>0.11310303152381906</v>
      </c>
      <c r="AO154" s="47">
        <f t="shared" si="1069"/>
        <v>-0.11724813955349289</v>
      </c>
      <c r="AP154" s="47">
        <f t="shared" si="1069"/>
        <v>0.25875530654362544</v>
      </c>
      <c r="AQ154" s="47">
        <f t="shared" si="1069"/>
        <v>9.5108750125288077E-2</v>
      </c>
      <c r="AR154" s="47">
        <f t="shared" si="1069"/>
        <v>3.722403184943901E-2</v>
      </c>
      <c r="AS154" s="47">
        <f t="shared" si="1069"/>
        <v>0.46461350193758921</v>
      </c>
      <c r="AT154" s="47">
        <f t="shared" si="1069"/>
        <v>7.2544448046280907E-2</v>
      </c>
      <c r="AU154" s="47">
        <f t="shared" si="1069"/>
        <v>9.2111405010113501E-2</v>
      </c>
      <c r="AV154" s="47">
        <f t="shared" si="1069"/>
        <v>0.1613482910829247</v>
      </c>
      <c r="AW154" s="47">
        <f t="shared" si="1069"/>
        <v>-1.9501049580425756E-2</v>
      </c>
      <c r="AX154" s="47">
        <f t="shared" si="1069"/>
        <v>0.12767293038611083</v>
      </c>
      <c r="AY154" s="138"/>
      <c r="AZ154" s="138"/>
      <c r="BA154" s="138"/>
    </row>
    <row r="155" spans="1:53" s="34" customFormat="1" ht="13.5" customHeight="1">
      <c r="B155" s="23" t="s">
        <v>242</v>
      </c>
      <c r="C155" s="47"/>
      <c r="D155" s="47">
        <f>D153/D150</f>
        <v>0.16121746039936991</v>
      </c>
      <c r="E155" s="47">
        <f>E153/E150</f>
        <v>0.16843984633987288</v>
      </c>
      <c r="F155" s="47">
        <f>F153/F150</f>
        <v>0.17497053040853841</v>
      </c>
      <c r="G155" s="47">
        <f>G153/G150</f>
        <v>0.18275456080656857</v>
      </c>
      <c r="H155" s="47">
        <f>H153/H150</f>
        <v>0.19425006338887471</v>
      </c>
      <c r="I155" s="47">
        <f>I153/I150</f>
        <v>0.1961012225507564</v>
      </c>
      <c r="J155" s="47">
        <f>J153/J150</f>
        <v>0.20640397618666032</v>
      </c>
      <c r="K155" s="47">
        <f>K153/K150</f>
        <v>0.1791885053047533</v>
      </c>
      <c r="L155" s="47">
        <f>L153/L150</f>
        <v>0.17483299230938268</v>
      </c>
      <c r="M155" s="47">
        <f>M153/M150</f>
        <v>0.17953763663744549</v>
      </c>
      <c r="N155" s="47">
        <f>N153/N150</f>
        <v>0.17932699004797886</v>
      </c>
      <c r="O155" s="47">
        <f>O153/O150</f>
        <v>0.18374832947818701</v>
      </c>
      <c r="P155" s="47">
        <f>P153/P150</f>
        <v>0.1882842581668065</v>
      </c>
      <c r="Q155" s="320"/>
      <c r="R155" s="47">
        <f>R153/R150</f>
        <v>0.21024465023002908</v>
      </c>
      <c r="S155" s="47">
        <f>S153/S150</f>
        <v>0.16115382230141878</v>
      </c>
      <c r="T155" s="47">
        <f>T153/T150</f>
        <v>0.17078566817675084</v>
      </c>
      <c r="U155" s="47">
        <f>U153/U150</f>
        <v>0.21995070313845724</v>
      </c>
      <c r="V155" s="47">
        <f>V153/V150</f>
        <v>0.20949875226267139</v>
      </c>
      <c r="W155" s="47">
        <f>W153/W150</f>
        <v>0.16439571255223207</v>
      </c>
      <c r="X155" s="47">
        <f>X153/X150</f>
        <v>0.16359297748298907</v>
      </c>
      <c r="Y155" s="47">
        <f>Y153/Y150</f>
        <v>0.23139489370824309</v>
      </c>
      <c r="Z155" s="47">
        <f>Z153/Z150</f>
        <v>0.20601662640716395</v>
      </c>
      <c r="AA155" s="47">
        <f>AA153/AA150</f>
        <v>0.13713279409910736</v>
      </c>
      <c r="AB155" s="47">
        <f>AB153/AB150</f>
        <v>0.1961123701269753</v>
      </c>
      <c r="AC155" s="47">
        <f>AC153/AC150</f>
        <v>0.25952126902561812</v>
      </c>
      <c r="AD155" s="47">
        <f>AD153/AD150</f>
        <v>0.20024273014126834</v>
      </c>
      <c r="AE155" s="47">
        <f>AE153/AE150</f>
        <v>0.15687623996586036</v>
      </c>
      <c r="AF155" s="47">
        <f>AF153/AF150</f>
        <v>0.15741330879565188</v>
      </c>
      <c r="AG155" s="47">
        <f>AG153/AG150</f>
        <v>0.1940930195290673</v>
      </c>
      <c r="AH155" s="47">
        <f>AH153/AH150</f>
        <v>0.19444347675977292</v>
      </c>
      <c r="AI155" s="47">
        <f>AI153/AI150</f>
        <v>0.15865543313620231</v>
      </c>
      <c r="AJ155" s="47">
        <f>AJ153/AJ150</f>
        <v>0.15193608035480466</v>
      </c>
      <c r="AK155" s="47">
        <f>AK153/AK150</f>
        <v>0.19044596386084769</v>
      </c>
      <c r="AL155" s="47">
        <f>AL153/AL150</f>
        <v>0.18157152814135563</v>
      </c>
      <c r="AM155" s="47">
        <f>AM153/AM150</f>
        <v>0.16237863143301981</v>
      </c>
      <c r="AN155" s="47">
        <f>AN153/AN150</f>
        <v>0.16487331703141203</v>
      </c>
      <c r="AO155" s="47">
        <f>AO153/AO150</f>
        <v>0.209523138025004</v>
      </c>
      <c r="AP155" s="47">
        <f>AP153/AP150</f>
        <v>0.19935939829582339</v>
      </c>
      <c r="AQ155" s="47">
        <f>AQ153/AQ150</f>
        <v>0.16254112920670755</v>
      </c>
      <c r="AR155" s="47">
        <f>AR153/AR150</f>
        <v>0.15772301992915952</v>
      </c>
      <c r="AS155" s="47">
        <f>AS153/AS150</f>
        <v>0.18997409631909989</v>
      </c>
      <c r="AT155" s="47">
        <f>AT153/AT150</f>
        <v>0.1937098511552437</v>
      </c>
      <c r="AU155" s="47">
        <f>AU153/AU150</f>
        <v>0.16165054024956341</v>
      </c>
      <c r="AV155" s="47">
        <f>AV153/AV150</f>
        <v>0.16633735522848028</v>
      </c>
      <c r="AW155" s="47">
        <f>AW153/AW150</f>
        <v>0.20705522811286986</v>
      </c>
      <c r="AX155" s="47">
        <f>AX153/AX150</f>
        <v>0.20991320456040649</v>
      </c>
      <c r="AY155" s="138"/>
      <c r="AZ155" s="138"/>
      <c r="BA155" s="138"/>
    </row>
    <row r="157" spans="1:53" s="5" customFormat="1" ht="13.5" customHeight="1">
      <c r="B157" s="5" t="str">
        <f>+B62</f>
        <v xml:space="preserve">Adjusted EBITDA </v>
      </c>
      <c r="C157" s="59"/>
      <c r="D157" s="59">
        <f>+D62</f>
        <v>289740</v>
      </c>
      <c r="E157" s="59">
        <f>+E62</f>
        <v>316228</v>
      </c>
      <c r="F157" s="59">
        <f>+F62</f>
        <v>311003</v>
      </c>
      <c r="G157" s="59">
        <f>+G62</f>
        <v>337891</v>
      </c>
      <c r="H157" s="59">
        <f>+H62</f>
        <v>324964</v>
      </c>
      <c r="I157" s="59">
        <f>+I62</f>
        <v>348869</v>
      </c>
      <c r="J157" s="59">
        <f>+J62</f>
        <v>350532</v>
      </c>
      <c r="K157" s="59">
        <f>+K62</f>
        <v>397213</v>
      </c>
      <c r="L157" s="59">
        <f>+L62</f>
        <v>464510</v>
      </c>
      <c r="M157" s="59">
        <f>+M62</f>
        <v>470108</v>
      </c>
      <c r="N157" s="59">
        <f>+N62</f>
        <v>578192</v>
      </c>
      <c r="O157" s="59">
        <f>+O62</f>
        <v>614608</v>
      </c>
      <c r="P157" s="59">
        <f>+P62</f>
        <v>636574</v>
      </c>
      <c r="Q157" s="57"/>
      <c r="R157" s="59">
        <f>+R62</f>
        <v>100882</v>
      </c>
      <c r="S157" s="59">
        <f>+S62</f>
        <v>58577</v>
      </c>
      <c r="T157" s="59">
        <f>+T62</f>
        <v>58935</v>
      </c>
      <c r="U157" s="59">
        <f>+U62</f>
        <v>106570</v>
      </c>
      <c r="V157" s="59">
        <f>+V62</f>
        <v>93701</v>
      </c>
      <c r="W157" s="59">
        <f>+W62</f>
        <v>62424</v>
      </c>
      <c r="X157" s="59">
        <f>+X62</f>
        <v>66483</v>
      </c>
      <c r="Y157" s="59">
        <f>+Y62</f>
        <v>126261</v>
      </c>
      <c r="Z157" s="59">
        <f>+Z62</f>
        <v>103959</v>
      </c>
      <c r="AA157" s="59">
        <f>+AA62</f>
        <v>42827</v>
      </c>
      <c r="AB157" s="59">
        <f>+AB62</f>
        <v>77279</v>
      </c>
      <c r="AC157" s="59">
        <f>+AC62</f>
        <v>126467</v>
      </c>
      <c r="AD157" s="59">
        <f>+AD62</f>
        <v>101925</v>
      </c>
      <c r="AE157" s="59">
        <f>+AE62</f>
        <v>69277</v>
      </c>
      <c r="AF157" s="59">
        <f>+AF62</f>
        <v>84692</v>
      </c>
      <c r="AG157" s="59">
        <f>+AG62</f>
        <v>141319</v>
      </c>
      <c r="AH157" s="59">
        <f>+AH62</f>
        <v>121377</v>
      </c>
      <c r="AI157" s="59">
        <f>+AI62</f>
        <v>93879</v>
      </c>
      <c r="AJ157" s="59">
        <f>+AJ62</f>
        <v>99290</v>
      </c>
      <c r="AK157" s="59">
        <f>+AK62</f>
        <v>149964</v>
      </c>
      <c r="AL157" s="59">
        <f>+AL62</f>
        <v>127437</v>
      </c>
      <c r="AM157" s="59">
        <f>+AM62</f>
        <v>99770</v>
      </c>
      <c r="AN157" s="59">
        <f>+AN62</f>
        <v>110520</v>
      </c>
      <c r="AO157" s="59">
        <f>+AO62</f>
        <v>132381</v>
      </c>
      <c r="AP157" s="59">
        <f>+AP62</f>
        <v>160412</v>
      </c>
      <c r="AQ157" s="59">
        <f>+AQ62</f>
        <v>109259</v>
      </c>
      <c r="AR157" s="59">
        <f>+AR62</f>
        <v>114634</v>
      </c>
      <c r="AS157" s="59">
        <f>+AS62</f>
        <v>193887</v>
      </c>
      <c r="AT157" s="59">
        <f>+AT62</f>
        <v>172049</v>
      </c>
      <c r="AU157" s="59">
        <f>+AU62</f>
        <v>119323</v>
      </c>
      <c r="AV157" s="59">
        <f>+AV62</f>
        <v>133130</v>
      </c>
      <c r="AW157" s="59">
        <f>+AW62</f>
        <v>190106</v>
      </c>
      <c r="AX157" s="59">
        <f>+AX62</f>
        <v>194015</v>
      </c>
      <c r="AY157" s="59"/>
      <c r="AZ157" s="59"/>
      <c r="BA157" s="59"/>
    </row>
    <row r="158" spans="1:53" ht="13.5" customHeight="1">
      <c r="B158" s="1" t="str">
        <f>+B63</f>
        <v>Working Capital</v>
      </c>
      <c r="C158" s="66"/>
      <c r="D158" s="66">
        <f>+D63</f>
        <v>300728.92200000014</v>
      </c>
      <c r="E158" s="66">
        <f>+E63</f>
        <v>348082.88299999997</v>
      </c>
      <c r="F158" s="66">
        <f>+F63</f>
        <v>299326.27599999984</v>
      </c>
      <c r="G158" s="61">
        <f>+G63</f>
        <v>339109.73699999991</v>
      </c>
      <c r="H158" s="61">
        <f>+H63</f>
        <v>303097.76799999998</v>
      </c>
      <c r="I158" s="61">
        <f>+I63</f>
        <v>326982.97299999982</v>
      </c>
      <c r="J158" s="61">
        <f>+J63</f>
        <v>348756.06400000019</v>
      </c>
      <c r="K158" s="61">
        <f>+K63</f>
        <v>411068.29300000001</v>
      </c>
      <c r="L158" s="61">
        <f>+L63</f>
        <v>508875.25299999974</v>
      </c>
      <c r="M158" s="61">
        <f>+M63</f>
        <v>484846.23200000008</v>
      </c>
      <c r="N158" s="61">
        <f>+N63</f>
        <v>512259.58399999986</v>
      </c>
      <c r="O158" s="61">
        <f>+O63</f>
        <v>615996.42199999979</v>
      </c>
      <c r="P158" s="61">
        <f>+P63</f>
        <v>610697.29299999971</v>
      </c>
      <c r="Q158" s="321"/>
      <c r="R158" s="61">
        <f>+R63</f>
        <v>62850.186000000016</v>
      </c>
      <c r="S158" s="61">
        <f>+S63</f>
        <v>270007.33499999996</v>
      </c>
      <c r="T158" s="61">
        <f>+T63</f>
        <v>-166704.50200000007</v>
      </c>
      <c r="U158" s="61">
        <f>+U63</f>
        <v>136944.7490000001</v>
      </c>
      <c r="V158" s="61">
        <f>+V63</f>
        <v>67146.731000000043</v>
      </c>
      <c r="W158" s="61">
        <f>+W63</f>
        <v>62754.753000000012</v>
      </c>
      <c r="X158" s="61">
        <f>+X63</f>
        <v>69044.85499999985</v>
      </c>
      <c r="Y158" s="61">
        <f>+Y63</f>
        <v>128036.6339999999</v>
      </c>
      <c r="Z158" s="61">
        <f>+Z63</f>
        <v>80932.967000000033</v>
      </c>
      <c r="AA158" s="61">
        <f>+AA63</f>
        <v>52192.553999999975</v>
      </c>
      <c r="AB158" s="61">
        <f>+AB63</f>
        <v>86819.911999999895</v>
      </c>
      <c r="AC158" s="61">
        <f>+AC63</f>
        <v>128810.63100000028</v>
      </c>
      <c r="AD158" s="61">
        <f>+AD63</f>
        <v>54278.740000000049</v>
      </c>
      <c r="AE158" s="61">
        <f>+AE63</f>
        <v>95940.609999999899</v>
      </c>
      <c r="AF158" s="61">
        <f>+AF63</f>
        <v>110673.22000000009</v>
      </c>
      <c r="AG158" s="61">
        <f>+AG63</f>
        <v>150175.72299999997</v>
      </c>
      <c r="AH158" s="61">
        <f>+AH63</f>
        <v>119600.77400000002</v>
      </c>
      <c r="AI158" s="61">
        <f>+AI63</f>
        <v>100998.17400000019</v>
      </c>
      <c r="AJ158" s="61">
        <f>+AJ63</f>
        <v>150494.82699999982</v>
      </c>
      <c r="AK158" s="61">
        <f>+AK63</f>
        <v>137781.47799999971</v>
      </c>
      <c r="AL158" s="61">
        <f>+AL63</f>
        <v>99655.752999999939</v>
      </c>
      <c r="AM158" s="61">
        <f>+AM63</f>
        <v>93619.879000000015</v>
      </c>
      <c r="AN158" s="61">
        <f>+AN63</f>
        <v>119586.82600000032</v>
      </c>
      <c r="AO158" s="61">
        <f>+AO63</f>
        <v>171983.7739999998</v>
      </c>
      <c r="AP158" s="61">
        <f>+AP63</f>
        <v>107209.61500000002</v>
      </c>
      <c r="AQ158" s="61">
        <f>+AQ63</f>
        <v>106942.21799999999</v>
      </c>
      <c r="AR158" s="61">
        <f>+AR63</f>
        <v>124120.72399999996</v>
      </c>
      <c r="AS158" s="61">
        <f>+AS63</f>
        <v>173987.02699999989</v>
      </c>
      <c r="AT158" s="61">
        <f>+AT63</f>
        <v>141032.05900000001</v>
      </c>
      <c r="AU158" s="61">
        <f>+AU63</f>
        <v>88835.676999999792</v>
      </c>
      <c r="AV158" s="61">
        <f>+AV63</f>
        <v>149630.04900000017</v>
      </c>
      <c r="AW158" s="61">
        <f>+AW63</f>
        <v>236498.63699999981</v>
      </c>
      <c r="AX158" s="61">
        <f>+AX63</f>
        <v>135732.92999999991</v>
      </c>
      <c r="AY158" s="139"/>
      <c r="AZ158" s="139"/>
      <c r="BA158" s="139"/>
    </row>
    <row r="159" spans="1:53" ht="13.5" customHeight="1">
      <c r="B159" s="1" t="str">
        <f>+B64</f>
        <v>Taxes, net</v>
      </c>
      <c r="C159" s="66"/>
      <c r="D159" s="66">
        <f>+D64</f>
        <v>-23778.366000000002</v>
      </c>
      <c r="E159" s="66">
        <f>+E64</f>
        <v>-26322.106</v>
      </c>
      <c r="F159" s="66">
        <f>+F64</f>
        <v>-25721.726999999999</v>
      </c>
      <c r="G159" s="61">
        <f>+G64</f>
        <v>-40654.076999999997</v>
      </c>
      <c r="H159" s="61">
        <f>+H64</f>
        <v>-29904.175999999999</v>
      </c>
      <c r="I159" s="61">
        <f>+I64</f>
        <v>-34198.767</v>
      </c>
      <c r="J159" s="61">
        <f>+J64</f>
        <v>-29474.9</v>
      </c>
      <c r="K159" s="61">
        <f>+K64</f>
        <v>-46100.05</v>
      </c>
      <c r="L159" s="61">
        <f>+L64</f>
        <v>-87757.706000000006</v>
      </c>
      <c r="M159" s="61">
        <f>+M64</f>
        <v>-71269.987999999998</v>
      </c>
      <c r="N159" s="61">
        <f>+N64</f>
        <v>-85380.680999999997</v>
      </c>
      <c r="O159" s="61">
        <f>+O64</f>
        <v>-103077.57</v>
      </c>
      <c r="P159" s="61">
        <f>+P64</f>
        <v>-113353.387</v>
      </c>
      <c r="Q159" s="321"/>
      <c r="R159" s="61">
        <f>+R64</f>
        <v>-9961.9639999999999</v>
      </c>
      <c r="S159" s="61">
        <f>+S64</f>
        <v>-3899.4590000000007</v>
      </c>
      <c r="T159" s="61">
        <f>+T64</f>
        <v>-6439.6390000000029</v>
      </c>
      <c r="U159" s="61">
        <f>+U64</f>
        <v>-9603.1139999999941</v>
      </c>
      <c r="V159" s="61">
        <f>+V64</f>
        <v>-9443.9840000000004</v>
      </c>
      <c r="W159" s="61">
        <f>+W64</f>
        <v>-10394.73</v>
      </c>
      <c r="X159" s="61">
        <f>+X64</f>
        <v>-5691.518</v>
      </c>
      <c r="Y159" s="61">
        <f>+Y64</f>
        <v>-8668.5349999999999</v>
      </c>
      <c r="Z159" s="61">
        <f>+Z64</f>
        <v>-14579.450999999999</v>
      </c>
      <c r="AA159" s="61">
        <f>+AA64</f>
        <v>-2510.6170000000002</v>
      </c>
      <c r="AB159" s="61">
        <f>+AB64</f>
        <v>-7410.7279999999973</v>
      </c>
      <c r="AC159" s="61">
        <f>+AC64</f>
        <v>-4974.1040000000085</v>
      </c>
      <c r="AD159" s="61">
        <f>+AD64</f>
        <v>-11075.92</v>
      </c>
      <c r="AE159" s="61">
        <f>+AE64</f>
        <v>-10266.481000000002</v>
      </c>
      <c r="AF159" s="61">
        <f>+AF64</f>
        <v>-10288.744599999996</v>
      </c>
      <c r="AG159" s="61">
        <f>+AG64</f>
        <v>-14468.904400000005</v>
      </c>
      <c r="AH159" s="61">
        <f>+AH64</f>
        <v>-13527.145</v>
      </c>
      <c r="AI159" s="61">
        <f>+AI64</f>
        <v>-35879.188999999998</v>
      </c>
      <c r="AJ159" s="61">
        <f>+AJ64</f>
        <v>-48490.501999999993</v>
      </c>
      <c r="AK159" s="61">
        <f>+AK64</f>
        <v>10139.12999999999</v>
      </c>
      <c r="AL159" s="61">
        <f>+AL64</f>
        <v>-12579.928</v>
      </c>
      <c r="AM159" s="61">
        <f>+AM64</f>
        <v>-33174.016000000003</v>
      </c>
      <c r="AN159" s="61">
        <f>+AN64</f>
        <v>-18850.591</v>
      </c>
      <c r="AO159" s="61">
        <f>+AO64</f>
        <v>-6665.4529999999941</v>
      </c>
      <c r="AP159" s="61">
        <f>+AP64</f>
        <v>-21132.353999999999</v>
      </c>
      <c r="AQ159" s="61">
        <f>+AQ64</f>
        <v>-26526.917000000001</v>
      </c>
      <c r="AR159" s="61">
        <f>+AR64</f>
        <v>-17638.826000000001</v>
      </c>
      <c r="AS159" s="61">
        <f>+AS64</f>
        <v>-20082.583999999995</v>
      </c>
      <c r="AT159" s="61">
        <f>+AT64</f>
        <v>-17943.303</v>
      </c>
      <c r="AU159" s="61">
        <f>+AU64</f>
        <v>-35887.241000000002</v>
      </c>
      <c r="AV159" s="61">
        <f>+AV64</f>
        <v>-22704.875999999997</v>
      </c>
      <c r="AW159" s="61">
        <f>+AW64</f>
        <v>-26542.150000000009</v>
      </c>
      <c r="AX159" s="61">
        <f>+AX64</f>
        <v>-28219.119999999999</v>
      </c>
      <c r="AY159" s="139"/>
      <c r="AZ159" s="139"/>
      <c r="BA159" s="139"/>
    </row>
    <row r="160" spans="1:53" ht="13.5" customHeight="1">
      <c r="B160" s="1" t="str">
        <f>+B65</f>
        <v>Cash interest paid</v>
      </c>
      <c r="C160" s="66"/>
      <c r="D160" s="66">
        <f>+D65</f>
        <v>-62079.743999999999</v>
      </c>
      <c r="E160" s="66">
        <f>+E65</f>
        <v>-57963.478999999999</v>
      </c>
      <c r="F160" s="66">
        <f>+F65</f>
        <v>-49931.807000000001</v>
      </c>
      <c r="G160" s="61">
        <f>+G65</f>
        <v>-53103.434000000001</v>
      </c>
      <c r="H160" s="61">
        <f>+H65</f>
        <v>-41353.012999999999</v>
      </c>
      <c r="I160" s="61">
        <f>+I65</f>
        <v>-36141.476999999999</v>
      </c>
      <c r="J160" s="61">
        <f>+J65</f>
        <v>-44299.000999999997</v>
      </c>
      <c r="K160" s="61">
        <f>+K65</f>
        <v>-55497.167000000001</v>
      </c>
      <c r="L160" s="61">
        <f>+L65</f>
        <v>-44822.402000000002</v>
      </c>
      <c r="M160" s="61">
        <f>+M65</f>
        <v>-67010.058000000005</v>
      </c>
      <c r="N160" s="61">
        <f>+N65</f>
        <v>-65837.409</v>
      </c>
      <c r="O160" s="61">
        <f>+O65</f>
        <v>-57331.557999999997</v>
      </c>
      <c r="P160" s="61">
        <f>+P65</f>
        <v>-54787.959000000003</v>
      </c>
      <c r="Q160" s="321"/>
      <c r="R160" s="61">
        <f>+R65</f>
        <v>-18802.069</v>
      </c>
      <c r="S160" s="61">
        <f>+S65</f>
        <v>-1995.1640000000007</v>
      </c>
      <c r="T160" s="61">
        <f>+T65</f>
        <v>-18669.500000000004</v>
      </c>
      <c r="U160" s="61">
        <f>+U65</f>
        <v>-1886.2799999999952</v>
      </c>
      <c r="V160" s="61">
        <f>+V65</f>
        <v>-17176.510999999999</v>
      </c>
      <c r="W160" s="61">
        <f>+W65</f>
        <v>-3620.7220000000016</v>
      </c>
      <c r="X160" s="61">
        <f>+X65</f>
        <v>-13411.402000000002</v>
      </c>
      <c r="Y160" s="61">
        <f>+Y65</f>
        <v>-1932.8419999999969</v>
      </c>
      <c r="Z160" s="61">
        <f>+Z65</f>
        <v>-18203.609</v>
      </c>
      <c r="AA160" s="61">
        <f>+AA65</f>
        <v>-2096.8289999999979</v>
      </c>
      <c r="AB160" s="61">
        <f>+AB65</f>
        <v>-21884.240999999998</v>
      </c>
      <c r="AC160" s="61">
        <f>+AC65</f>
        <v>-2114.3220000000001</v>
      </c>
      <c r="AD160" s="61">
        <f>+AD65</f>
        <v>-20520.161</v>
      </c>
      <c r="AE160" s="61">
        <f>+AE65</f>
        <v>-5424.3209999999999</v>
      </c>
      <c r="AF160" s="61">
        <f>+AF65</f>
        <v>-23872.567000000003</v>
      </c>
      <c r="AG160" s="61">
        <f>+AG65</f>
        <v>-5680.1179999999986</v>
      </c>
      <c r="AH160" s="61">
        <f>+AH65</f>
        <v>-21671.315999999999</v>
      </c>
      <c r="AI160" s="61">
        <f>+AI65</f>
        <v>-10549.663</v>
      </c>
      <c r="AJ160" s="61">
        <f>+AJ65</f>
        <v>-38343.627</v>
      </c>
      <c r="AK160" s="61">
        <f>+AK65</f>
        <v>25742.203999999998</v>
      </c>
      <c r="AL160" s="61">
        <f>+AL65</f>
        <v>-20718.262999999999</v>
      </c>
      <c r="AM160" s="61">
        <f>+AM65</f>
        <v>-10008.522000000001</v>
      </c>
      <c r="AN160" s="61">
        <f>+AN65</f>
        <v>-29956.279000000002</v>
      </c>
      <c r="AO160" s="61">
        <f>+AO65</f>
        <v>-6326.9939999999988</v>
      </c>
      <c r="AP160" s="61">
        <f>+AP65</f>
        <v>-17987.881000000001</v>
      </c>
      <c r="AQ160" s="61">
        <f>+AQ65</f>
        <v>-8469.3230000000003</v>
      </c>
      <c r="AR160" s="61">
        <f>+AR65</f>
        <v>-26474.942000000003</v>
      </c>
      <c r="AS160" s="61">
        <f>+AS65</f>
        <v>-12905.262999999992</v>
      </c>
      <c r="AT160" s="61">
        <f>+AT65</f>
        <v>-20034.688999999998</v>
      </c>
      <c r="AU160" s="61">
        <f>+AU65</f>
        <v>-1305</v>
      </c>
      <c r="AV160" s="61">
        <f>+AV65</f>
        <v>-33745.618999999999</v>
      </c>
      <c r="AW160" s="61">
        <f>+AW65</f>
        <v>-2246.25</v>
      </c>
      <c r="AX160" s="61">
        <f>+AX65</f>
        <v>-17491.09</v>
      </c>
      <c r="AY160" s="139"/>
      <c r="AZ160" s="139"/>
      <c r="BA160" s="139"/>
    </row>
    <row r="161" spans="2:53" s="5" customFormat="1" ht="13.5" customHeight="1" thickBot="1">
      <c r="B161" s="21" t="str">
        <f>+B66</f>
        <v xml:space="preserve">Net cash from operations </v>
      </c>
      <c r="C161" s="62"/>
      <c r="D161" s="62">
        <f>+D66</f>
        <v>504610.81200000009</v>
      </c>
      <c r="E161" s="62">
        <f>+E66</f>
        <v>580025.29799999984</v>
      </c>
      <c r="F161" s="62">
        <f>+F66</f>
        <v>534675.74199999985</v>
      </c>
      <c r="G161" s="62">
        <f>+G66</f>
        <v>583243.22599999991</v>
      </c>
      <c r="H161" s="62">
        <f>+H66</f>
        <v>556804.57899999991</v>
      </c>
      <c r="I161" s="62">
        <f>+I66</f>
        <v>605511.72899999982</v>
      </c>
      <c r="J161" s="62">
        <f>+J66</f>
        <v>625514.16300000018</v>
      </c>
      <c r="K161" s="62">
        <f>+K66</f>
        <v>706684.076</v>
      </c>
      <c r="L161" s="62">
        <f>+L66</f>
        <v>840805.14499999979</v>
      </c>
      <c r="M161" s="62">
        <f>+M66</f>
        <v>816674.1860000001</v>
      </c>
      <c r="N161" s="62">
        <f>+N66</f>
        <v>939233.49399999983</v>
      </c>
      <c r="O161" s="62">
        <f>+O66</f>
        <v>1070195.2939999998</v>
      </c>
      <c r="P161" s="62">
        <f>+P66</f>
        <v>1079129.9469999995</v>
      </c>
      <c r="Q161" s="264"/>
      <c r="R161" s="62">
        <f>+R66</f>
        <v>134968.15300000002</v>
      </c>
      <c r="S161" s="62">
        <f>+S66</f>
        <v>322689.712</v>
      </c>
      <c r="T161" s="62">
        <f>+T66</f>
        <v>-132878.64100000006</v>
      </c>
      <c r="U161" s="62">
        <f>+U66</f>
        <v>232025.3550000001</v>
      </c>
      <c r="V161" s="62">
        <f>+V66</f>
        <v>134227.23600000003</v>
      </c>
      <c r="W161" s="62">
        <f>+W66</f>
        <v>111163.30100000001</v>
      </c>
      <c r="X161" s="62">
        <f>+X66</f>
        <v>116424.93499999987</v>
      </c>
      <c r="Y161" s="62">
        <f>+Y66</f>
        <v>243696.2569999999</v>
      </c>
      <c r="Z161" s="62">
        <f>+Z66</f>
        <v>152108.90700000004</v>
      </c>
      <c r="AA161" s="62">
        <f>+AA66</f>
        <v>90412.107999999978</v>
      </c>
      <c r="AB161" s="62">
        <f>+AB66</f>
        <v>134803.94299999988</v>
      </c>
      <c r="AC161" s="62">
        <f>+AC66</f>
        <v>248189.20500000025</v>
      </c>
      <c r="AD161" s="62">
        <f>+AD66</f>
        <v>124607.65900000004</v>
      </c>
      <c r="AE161" s="62">
        <f>+AE66</f>
        <v>149526.8079999999</v>
      </c>
      <c r="AF161" s="62">
        <f>+AF66</f>
        <v>161203.90840000007</v>
      </c>
      <c r="AG161" s="62">
        <f>+AG66</f>
        <v>271345.70059999998</v>
      </c>
      <c r="AH161" s="62">
        <f>+AH66</f>
        <v>205779.31300000005</v>
      </c>
      <c r="AI161" s="62">
        <f>+AI66</f>
        <v>148448.32200000016</v>
      </c>
      <c r="AJ161" s="62">
        <f>+AJ66</f>
        <v>162950.69799999983</v>
      </c>
      <c r="AK161" s="62">
        <f>+AK66</f>
        <v>323626.81199999969</v>
      </c>
      <c r="AL161" s="62">
        <f>+AL66</f>
        <v>193794.56199999995</v>
      </c>
      <c r="AM161" s="62">
        <f>+AM66</f>
        <v>150207.34100000001</v>
      </c>
      <c r="AN161" s="62">
        <f>+AN66</f>
        <v>181299.95600000033</v>
      </c>
      <c r="AO161" s="62">
        <f>+AO66</f>
        <v>291372.32699999982</v>
      </c>
      <c r="AP161" s="62">
        <f>+AP66</f>
        <v>228501.38</v>
      </c>
      <c r="AQ161" s="62">
        <f>+AQ66</f>
        <v>181204.97799999997</v>
      </c>
      <c r="AR161" s="62">
        <f>+AR66</f>
        <v>194640.95599999995</v>
      </c>
      <c r="AS161" s="62">
        <f>+AS66</f>
        <v>334886.17999999993</v>
      </c>
      <c r="AT161" s="62">
        <f>+AT66</f>
        <v>275103.06699999998</v>
      </c>
      <c r="AU161" s="62">
        <f>+AU66</f>
        <v>170966.43599999978</v>
      </c>
      <c r="AV161" s="62">
        <f>+AV66</f>
        <v>226309.55400000018</v>
      </c>
      <c r="AW161" s="62">
        <f>+AW66</f>
        <v>397816.23699999979</v>
      </c>
      <c r="AX161" s="62">
        <f>+AX66</f>
        <v>284037.71999999991</v>
      </c>
      <c r="AY161" s="264"/>
      <c r="AZ161" s="264"/>
      <c r="BA161" s="264"/>
    </row>
    <row r="162" spans="2:53" s="5" customFormat="1" ht="13.5" customHeight="1" thickTop="1">
      <c r="B162" s="1" t="str">
        <f>+B67</f>
        <v>Net Capex</v>
      </c>
      <c r="C162" s="63"/>
      <c r="D162" s="63">
        <f>+D67</f>
        <v>-116490.09599999999</v>
      </c>
      <c r="E162" s="63">
        <f>+E67</f>
        <v>-112399.52800000001</v>
      </c>
      <c r="F162" s="63">
        <f>+F67</f>
        <v>-128147.054</v>
      </c>
      <c r="G162" s="63">
        <f>+G67</f>
        <v>-168758.25899999999</v>
      </c>
      <c r="H162" s="63">
        <f>+H67</f>
        <v>-120803.15700000001</v>
      </c>
      <c r="I162" s="63">
        <f>+I67</f>
        <v>-110664.35400000001</v>
      </c>
      <c r="J162" s="63">
        <f>+J67</f>
        <v>-85871.387999999992</v>
      </c>
      <c r="K162" s="63">
        <f>+K67</f>
        <v>-138816.23800000001</v>
      </c>
      <c r="L162" s="63">
        <f>+L67</f>
        <v>-186609.92600000001</v>
      </c>
      <c r="M162" s="63">
        <f>+M67</f>
        <v>-192565.28999999998</v>
      </c>
      <c r="N162" s="63">
        <f>+N67</f>
        <v>-290319.33499999996</v>
      </c>
      <c r="O162" s="63">
        <f>+O67</f>
        <v>-277650.75400000002</v>
      </c>
      <c r="P162" s="63">
        <f>+P67</f>
        <v>-267319.16800000001</v>
      </c>
      <c r="Q162" s="56"/>
      <c r="R162" s="63">
        <f>+R67</f>
        <v>-30466.557000000001</v>
      </c>
      <c r="S162" s="63">
        <f>+S67</f>
        <v>-26781.504000000001</v>
      </c>
      <c r="T162" s="63">
        <f>+T67</f>
        <v>-28940.013999999996</v>
      </c>
      <c r="U162" s="63">
        <f>+U67</f>
        <v>-34615.082000000009</v>
      </c>
      <c r="V162" s="63">
        <f>+V67</f>
        <v>-28248.548999999999</v>
      </c>
      <c r="W162" s="63">
        <f>+W67</f>
        <v>-28999.512000000002</v>
      </c>
      <c r="X162" s="63">
        <f>+X67</f>
        <v>-23027.930999999997</v>
      </c>
      <c r="Y162" s="63">
        <f>+Y67</f>
        <v>-30388.362000000008</v>
      </c>
      <c r="Z162" s="63">
        <f>+Z67</f>
        <v>-30212.523000000001</v>
      </c>
      <c r="AA162" s="63">
        <f>+AA67</f>
        <v>-22768.288</v>
      </c>
      <c r="AB162" s="63">
        <f>+AB67</f>
        <v>-13453.527000000002</v>
      </c>
      <c r="AC162" s="63">
        <f>+AC67</f>
        <v>-19437.049999999988</v>
      </c>
      <c r="AD162" s="63">
        <f>+AD67</f>
        <v>-13364.254999999999</v>
      </c>
      <c r="AE162" s="63">
        <f>+AE67</f>
        <v>-12729.536000000002</v>
      </c>
      <c r="AF162" s="63">
        <f>+AF67</f>
        <v>-33096.058000000005</v>
      </c>
      <c r="AG162" s="63">
        <f>+AG67</f>
        <v>-79626.388999999996</v>
      </c>
      <c r="AH162" s="63">
        <f>+AH67</f>
        <v>-35869.110999999997</v>
      </c>
      <c r="AI162" s="63">
        <f>+AI67</f>
        <v>-36933.443000000007</v>
      </c>
      <c r="AJ162" s="63">
        <f>+AJ67</f>
        <v>-62492.712999999996</v>
      </c>
      <c r="AK162" s="63">
        <f>+AK67</f>
        <v>-51314.659000000007</v>
      </c>
      <c r="AL162" s="63">
        <f>+AL67</f>
        <v>-50996.01</v>
      </c>
      <c r="AM162" s="63">
        <f>+AM67</f>
        <v>-68062.899999999994</v>
      </c>
      <c r="AN162" s="63">
        <f>+AN67</f>
        <v>-32025.219000000019</v>
      </c>
      <c r="AO162" s="63">
        <f>+AO67</f>
        <v>-41481.160999999956</v>
      </c>
      <c r="AP162" s="63">
        <f>+AP67</f>
        <v>-62622.387000000002</v>
      </c>
      <c r="AQ162" s="63">
        <f>+AQ67</f>
        <v>-84870.352999999988</v>
      </c>
      <c r="AR162" s="63">
        <f>+AR67</f>
        <v>-62940.847000000009</v>
      </c>
      <c r="AS162" s="63">
        <f>+AS67</f>
        <v>-79885.747999999963</v>
      </c>
      <c r="AT162" s="63">
        <f>+AT67</f>
        <v>-64285.330999999998</v>
      </c>
      <c r="AU162" s="63">
        <f>+AU67</f>
        <v>-47815.288999999997</v>
      </c>
      <c r="AV162" s="63">
        <f>+AV67</f>
        <v>-80374.163</v>
      </c>
      <c r="AW162" s="63">
        <f>+AW67</f>
        <v>-85175.97100000002</v>
      </c>
      <c r="AX162" s="63">
        <f>+AX67</f>
        <v>-53953.744999999995</v>
      </c>
      <c r="AY162" s="56"/>
      <c r="AZ162" s="56"/>
      <c r="BA162" s="56"/>
    </row>
    <row r="163" spans="2:53" ht="13.5" customHeight="1">
      <c r="B163" s="1" t="str">
        <f>+B68</f>
        <v>Purchase and development of intangible assets</v>
      </c>
      <c r="C163" s="63"/>
      <c r="D163" s="63">
        <f>+D68</f>
        <v>0</v>
      </c>
      <c r="E163" s="63">
        <f>+E68</f>
        <v>0</v>
      </c>
      <c r="F163" s="63">
        <f>+F68</f>
        <v>0</v>
      </c>
      <c r="G163" s="63">
        <f>+G68</f>
        <v>-11923.449000000001</v>
      </c>
      <c r="H163" s="63">
        <f>+H68</f>
        <v>0</v>
      </c>
      <c r="I163" s="63">
        <f>+I68</f>
        <v>-448.30700000000002</v>
      </c>
      <c r="J163" s="63">
        <f>+J68</f>
        <v>-207.88900000000001</v>
      </c>
      <c r="K163" s="63">
        <f>+K68</f>
        <v>-5171.1390000000001</v>
      </c>
      <c r="L163" s="63">
        <f>+L68</f>
        <v>0</v>
      </c>
      <c r="M163" s="63">
        <f>+M68</f>
        <v>0</v>
      </c>
      <c r="N163" s="63">
        <f>+N68</f>
        <v>0</v>
      </c>
      <c r="O163" s="63">
        <f>+O68</f>
        <v>0</v>
      </c>
      <c r="P163" s="63">
        <f>+P68</f>
        <v>0</v>
      </c>
      <c r="Q163" s="56"/>
      <c r="R163" s="63">
        <f>+R68</f>
        <v>0</v>
      </c>
      <c r="S163" s="63">
        <f>+S68</f>
        <v>0</v>
      </c>
      <c r="T163" s="63">
        <f>+T68</f>
        <v>0</v>
      </c>
      <c r="U163" s="63">
        <f>+U68</f>
        <v>0</v>
      </c>
      <c r="V163" s="63">
        <f>+V68</f>
        <v>0</v>
      </c>
      <c r="W163" s="63">
        <f>+W68</f>
        <v>-426.94900000000001</v>
      </c>
      <c r="X163" s="63">
        <f>+X68</f>
        <v>23.834000000000003</v>
      </c>
      <c r="Y163" s="63">
        <f>+Y68</f>
        <v>-45.192000000000007</v>
      </c>
      <c r="Z163" s="63">
        <f>+Z68</f>
        <v>0</v>
      </c>
      <c r="AA163" s="63">
        <f>+AA68</f>
        <v>-117.114</v>
      </c>
      <c r="AB163" s="63">
        <f>+AB68</f>
        <v>-5.1629999999999967</v>
      </c>
      <c r="AC163" s="63">
        <f>+AC68</f>
        <v>-85.611999999999995</v>
      </c>
      <c r="AD163" s="63">
        <f>+AD68</f>
        <v>0</v>
      </c>
      <c r="AE163" s="63">
        <f>+AE68</f>
        <v>0</v>
      </c>
      <c r="AF163" s="63">
        <f>+AF68</f>
        <v>-5171.1390000000001</v>
      </c>
      <c r="AG163" s="63">
        <f>+AG68</f>
        <v>0</v>
      </c>
      <c r="AH163" s="63">
        <f>+AH68</f>
        <v>0</v>
      </c>
      <c r="AI163" s="63">
        <f>+AI68</f>
        <v>0</v>
      </c>
      <c r="AJ163" s="63">
        <f>+AJ68</f>
        <v>0</v>
      </c>
      <c r="AK163" s="63">
        <f>+AK68</f>
        <v>0</v>
      </c>
      <c r="AL163" s="63">
        <f>+AL68</f>
        <v>0</v>
      </c>
      <c r="AM163" s="63">
        <f>+AM68</f>
        <v>0</v>
      </c>
      <c r="AN163" s="63">
        <f>+AN68</f>
        <v>0</v>
      </c>
      <c r="AO163" s="63">
        <f>+AO68</f>
        <v>0</v>
      </c>
      <c r="AP163" s="63">
        <f>+AP68</f>
        <v>0</v>
      </c>
      <c r="AQ163" s="63">
        <f>+AQ68</f>
        <v>0</v>
      </c>
      <c r="AR163" s="63">
        <f>+AR68</f>
        <v>0</v>
      </c>
      <c r="AS163" s="63">
        <f>+AS68</f>
        <v>0</v>
      </c>
      <c r="AT163" s="63">
        <f>+AT68</f>
        <v>0</v>
      </c>
      <c r="AU163" s="63">
        <f>+AU68</f>
        <v>0</v>
      </c>
      <c r="AV163" s="63">
        <f>+AV68</f>
        <v>0</v>
      </c>
      <c r="AW163" s="63">
        <f>+AW68</f>
        <v>0</v>
      </c>
      <c r="AX163" s="63">
        <f>+AX68</f>
        <v>0</v>
      </c>
      <c r="AY163" s="56"/>
      <c r="AZ163" s="56"/>
      <c r="BA163" s="56"/>
    </row>
    <row r="164" spans="2:53" ht="13.5" customHeight="1" thickBot="1">
      <c r="B164" s="46" t="str">
        <f>+B69</f>
        <v xml:space="preserve">Free cash flow </v>
      </c>
      <c r="C164" s="65"/>
      <c r="D164" s="65">
        <f>+D69</f>
        <v>388120.71600000013</v>
      </c>
      <c r="E164" s="65">
        <f>+E69</f>
        <v>467625.76999999984</v>
      </c>
      <c r="F164" s="65">
        <f>+F69</f>
        <v>406528.68799999985</v>
      </c>
      <c r="G164" s="65">
        <f>+G69</f>
        <v>402561.51799999992</v>
      </c>
      <c r="H164" s="65">
        <f>+H69</f>
        <v>436001.4219999999</v>
      </c>
      <c r="I164" s="65">
        <f>+I69</f>
        <v>494399.06799999985</v>
      </c>
      <c r="J164" s="65">
        <f>+J69</f>
        <v>539434.88600000017</v>
      </c>
      <c r="K164" s="65">
        <f>+K69</f>
        <v>562696.69900000002</v>
      </c>
      <c r="L164" s="65">
        <f>+L69</f>
        <v>654195.21899999981</v>
      </c>
      <c r="M164" s="65">
        <f>+M69</f>
        <v>624108.89600000018</v>
      </c>
      <c r="N164" s="65">
        <f>+N69</f>
        <v>648914.15899999987</v>
      </c>
      <c r="O164" s="65">
        <f>+O69</f>
        <v>792544.5399999998</v>
      </c>
      <c r="P164" s="65">
        <f>+P69</f>
        <v>811810.7789999994</v>
      </c>
      <c r="Q164" s="57"/>
      <c r="R164" s="65">
        <f>+R69</f>
        <v>104501.59600000002</v>
      </c>
      <c r="S164" s="65">
        <f>+S69</f>
        <v>295908.20799999998</v>
      </c>
      <c r="T164" s="65">
        <f>+T69</f>
        <v>-161818.65500000006</v>
      </c>
      <c r="U164" s="65">
        <f>+U69</f>
        <v>197410.2730000001</v>
      </c>
      <c r="V164" s="65">
        <f>+V69</f>
        <v>105978.68700000003</v>
      </c>
      <c r="W164" s="65">
        <f>+W69</f>
        <v>81736.840000000011</v>
      </c>
      <c r="X164" s="65">
        <f>+X69</f>
        <v>93420.837999999872</v>
      </c>
      <c r="Y164" s="65">
        <f>+Y69</f>
        <v>213262.70299999989</v>
      </c>
      <c r="Z164" s="65">
        <f>+Z69</f>
        <v>121896.38400000003</v>
      </c>
      <c r="AA164" s="65">
        <f>+AA69</f>
        <v>67526.705999999976</v>
      </c>
      <c r="AB164" s="65">
        <f>+AB69</f>
        <v>121345.25299999988</v>
      </c>
      <c r="AC164" s="65">
        <f>+AC69</f>
        <v>228666.54300000027</v>
      </c>
      <c r="AD164" s="65">
        <f>+AD69</f>
        <v>111243.40400000004</v>
      </c>
      <c r="AE164" s="65">
        <f>+AE69</f>
        <v>136797.27199999991</v>
      </c>
      <c r="AF164" s="65">
        <f>+AF69</f>
        <v>122936.71140000007</v>
      </c>
      <c r="AG164" s="65">
        <f>+AG69</f>
        <v>191719.31159999999</v>
      </c>
      <c r="AH164" s="65">
        <f>+AH69</f>
        <v>169910.20200000005</v>
      </c>
      <c r="AI164" s="65">
        <f>+AI69</f>
        <v>111514.87900000016</v>
      </c>
      <c r="AJ164" s="65">
        <f>+AJ69</f>
        <v>100457.98499999984</v>
      </c>
      <c r="AK164" s="65">
        <f>+AK69</f>
        <v>272312.1529999997</v>
      </c>
      <c r="AL164" s="65">
        <f>+AL69</f>
        <v>142798.55199999994</v>
      </c>
      <c r="AM164" s="65">
        <f>+AM69</f>
        <v>82144.441000000021</v>
      </c>
      <c r="AN164" s="65">
        <f>+AN69</f>
        <v>149274.73700000031</v>
      </c>
      <c r="AO164" s="65">
        <f>+AO69</f>
        <v>249891.16599999985</v>
      </c>
      <c r="AP164" s="65">
        <f>+AP69</f>
        <v>165878.99300000002</v>
      </c>
      <c r="AQ164" s="65">
        <f>+AQ69</f>
        <v>96334.624999999985</v>
      </c>
      <c r="AR164" s="65">
        <f>+AR69</f>
        <v>131700.10899999994</v>
      </c>
      <c r="AS164" s="65">
        <f>+AS69</f>
        <v>255000.43199999997</v>
      </c>
      <c r="AT164" s="65">
        <f>+AT69</f>
        <v>210817.73599999998</v>
      </c>
      <c r="AU164" s="65">
        <f>+AU69</f>
        <v>123151.14699999979</v>
      </c>
      <c r="AV164" s="65">
        <f>+AV69</f>
        <v>145935.39100000018</v>
      </c>
      <c r="AW164" s="65">
        <f>+AW69</f>
        <v>312640.26599999977</v>
      </c>
      <c r="AX164" s="65">
        <f>+AX69</f>
        <v>230083.97499999992</v>
      </c>
      <c r="AY164" s="57"/>
      <c r="AZ164" s="57"/>
      <c r="BA164" s="57"/>
    </row>
    <row r="165" spans="2:53" ht="13.5" customHeight="1" thickTop="1">
      <c r="B165" s="70" t="str">
        <f>+B70</f>
        <v>Other investing activities</v>
      </c>
      <c r="C165" s="71"/>
      <c r="D165" s="71">
        <f>+D70</f>
        <v>0</v>
      </c>
      <c r="E165" s="71">
        <f>+E70</f>
        <v>0</v>
      </c>
      <c r="F165" s="71">
        <f>+F70</f>
        <v>0</v>
      </c>
      <c r="G165" s="71">
        <f>+G70</f>
        <v>0</v>
      </c>
      <c r="H165" s="71">
        <f>+H70</f>
        <v>20286.284</v>
      </c>
      <c r="I165" s="71">
        <f>+I70</f>
        <v>1135.0340000000001</v>
      </c>
      <c r="J165" s="71">
        <f>+J70</f>
        <v>-137799.481</v>
      </c>
      <c r="K165" s="71">
        <f>+K70</f>
        <v>-54265.303</v>
      </c>
      <c r="L165" s="71">
        <f>+L70</f>
        <v>101441.455</v>
      </c>
      <c r="M165" s="71">
        <f>+M70</f>
        <v>34276.412000000004</v>
      </c>
      <c r="N165" s="71">
        <f>+N70</f>
        <v>466.70400000000001</v>
      </c>
      <c r="O165" s="71">
        <f>+O70</f>
        <v>29075.397000000001</v>
      </c>
      <c r="P165" s="71">
        <f>+P70</f>
        <v>-48392.401000000013</v>
      </c>
      <c r="Q165" s="56"/>
      <c r="R165" s="71">
        <f>+R70</f>
        <v>0</v>
      </c>
      <c r="S165" s="71">
        <f>+S70</f>
        <v>0</v>
      </c>
      <c r="T165" s="71">
        <f>+T70</f>
        <v>0</v>
      </c>
      <c r="U165" s="71">
        <f>+U70</f>
        <v>20286.284</v>
      </c>
      <c r="V165" s="71">
        <f>+V70</f>
        <v>0</v>
      </c>
      <c r="W165" s="71">
        <f>+W70</f>
        <v>358.62299999999999</v>
      </c>
      <c r="X165" s="71">
        <f>+X70</f>
        <v>0</v>
      </c>
      <c r="Y165" s="71">
        <f>+Y70</f>
        <v>776.41100000000006</v>
      </c>
      <c r="Z165" s="71">
        <f>+Z70</f>
        <v>3462.3220000000001</v>
      </c>
      <c r="AA165" s="71">
        <f>+AA70</f>
        <v>526.28900000000021</v>
      </c>
      <c r="AB165" s="71">
        <f>+AB70</f>
        <v>0</v>
      </c>
      <c r="AC165" s="71">
        <f>+AC70</f>
        <v>-141788.092</v>
      </c>
      <c r="AD165" s="71">
        <f>+AD70</f>
        <v>-80344.104999999996</v>
      </c>
      <c r="AE165" s="71">
        <f>+AE70</f>
        <v>7191.7989999999845</v>
      </c>
      <c r="AF165" s="71">
        <f>+AF70</f>
        <v>16843.929000000011</v>
      </c>
      <c r="AG165" s="71">
        <f>+AG70</f>
        <v>2043.0739999999932</v>
      </c>
      <c r="AH165" s="71">
        <f>+AH70</f>
        <v>67147.471999999994</v>
      </c>
      <c r="AI165" s="71">
        <f>+AI70</f>
        <v>32397.972000000009</v>
      </c>
      <c r="AJ165" s="71">
        <f>+AJ70</f>
        <v>6438.9939999999915</v>
      </c>
      <c r="AK165" s="71">
        <f>+AK70</f>
        <v>-4542.9829999999929</v>
      </c>
      <c r="AL165" s="71">
        <f>+AL70</f>
        <v>-536.01400000000001</v>
      </c>
      <c r="AM165" s="71">
        <f>+AM70</f>
        <v>63603.342000000004</v>
      </c>
      <c r="AN165" s="71">
        <f>+AN70</f>
        <v>7097.1059999999898</v>
      </c>
      <c r="AO165" s="71">
        <f>+AO70</f>
        <v>-35888.02199999999</v>
      </c>
      <c r="AP165" s="71">
        <f>+AP70</f>
        <v>101.36</v>
      </c>
      <c r="AQ165" s="71">
        <f>+AQ70</f>
        <v>268.26599999999996</v>
      </c>
      <c r="AR165" s="71">
        <f>+AR70</f>
        <v>149.745</v>
      </c>
      <c r="AS165" s="71">
        <f>+AS70</f>
        <v>-52.666999999999973</v>
      </c>
      <c r="AT165" s="71">
        <f>+AT70</f>
        <v>73252.40800000001</v>
      </c>
      <c r="AU165" s="71">
        <f>+AU70</f>
        <v>-851.92300000000978</v>
      </c>
      <c r="AV165" s="71">
        <f>+AV70</f>
        <v>-1000.4660000000003</v>
      </c>
      <c r="AW165" s="71">
        <f>+AW70</f>
        <v>-42324.622000000003</v>
      </c>
      <c r="AX165" s="71">
        <f>+AX70</f>
        <v>-4215.3900000000003</v>
      </c>
      <c r="AY165" s="56"/>
      <c r="AZ165" s="56"/>
      <c r="BA165" s="56"/>
    </row>
    <row r="166" spans="2:53" ht="13.5" customHeight="1">
      <c r="B166" s="1" t="str">
        <f>+B71</f>
        <v>Equity Issuance/Buyback</v>
      </c>
      <c r="C166" s="66"/>
      <c r="D166" s="66">
        <f>+D71</f>
        <v>0</v>
      </c>
      <c r="E166" s="66">
        <f>+E71</f>
        <v>0</v>
      </c>
      <c r="F166" s="66">
        <f>+F71</f>
        <v>0</v>
      </c>
      <c r="G166" s="66">
        <f>+G71</f>
        <v>-18286.456999999999</v>
      </c>
      <c r="H166" s="66">
        <f>+H71</f>
        <v>-10319.483</v>
      </c>
      <c r="I166" s="66">
        <f>+I71</f>
        <v>-13821.732</v>
      </c>
      <c r="J166" s="66">
        <f>+J71</f>
        <v>214565.128</v>
      </c>
      <c r="K166" s="66">
        <f>+K71</f>
        <v>-7165.9970000000003</v>
      </c>
      <c r="L166" s="66">
        <f>+L71</f>
        <v>0</v>
      </c>
      <c r="M166" s="66">
        <f>+M71</f>
        <v>0</v>
      </c>
      <c r="N166" s="66">
        <f>+N71</f>
        <v>0</v>
      </c>
      <c r="O166" s="66">
        <f>+O71</f>
        <v>0</v>
      </c>
      <c r="P166" s="66">
        <f>+P71</f>
        <v>0</v>
      </c>
      <c r="Q166" s="56"/>
      <c r="R166" s="66">
        <f>+R71</f>
        <v>-3295.4479999999999</v>
      </c>
      <c r="S166" s="66">
        <f>+S71</f>
        <v>-3043.9609999999998</v>
      </c>
      <c r="T166" s="66">
        <f>+T71</f>
        <v>-3635.7750000000001</v>
      </c>
      <c r="U166" s="66">
        <f>+U71</f>
        <v>-344.29900000000089</v>
      </c>
      <c r="V166" s="66">
        <f>+V71</f>
        <v>-3455.681</v>
      </c>
      <c r="W166" s="66">
        <f>+W71</f>
        <v>-3230.7919999999999</v>
      </c>
      <c r="X166" s="66">
        <f>+X71</f>
        <v>-3600.4640000000004</v>
      </c>
      <c r="Y166" s="66">
        <f>+Y71</f>
        <v>-3534.7950000000005</v>
      </c>
      <c r="Z166" s="66">
        <f>+Z71</f>
        <v>225028.027</v>
      </c>
      <c r="AA166" s="66">
        <f>+AA71</f>
        <v>-3559.8010000000068</v>
      </c>
      <c r="AB166" s="66">
        <f>+AB71</f>
        <v>-8005.4249999999884</v>
      </c>
      <c r="AC166" s="66">
        <f>+AC71</f>
        <v>1102.3269999999902</v>
      </c>
      <c r="AD166" s="66">
        <f>+AD71</f>
        <v>-4308.8599999999997</v>
      </c>
      <c r="AE166" s="66">
        <f>+AE71</f>
        <v>-489.16499999999996</v>
      </c>
      <c r="AF166" s="66">
        <f>+AF71</f>
        <v>-2050.0120000000006</v>
      </c>
      <c r="AG166" s="66">
        <f>+AG71</f>
        <v>-317.96000000000004</v>
      </c>
      <c r="AH166" s="66">
        <f>+AH71</f>
        <v>-4733.9790000000003</v>
      </c>
      <c r="AI166" s="66">
        <f>+AI71</f>
        <v>-4342.686999999999</v>
      </c>
      <c r="AJ166" s="66">
        <f>+AJ71</f>
        <v>-4213.0860000000021</v>
      </c>
      <c r="AK166" s="66">
        <f>+AK71</f>
        <v>13289.752</v>
      </c>
      <c r="AL166" s="66">
        <f>+AL71</f>
        <v>0</v>
      </c>
      <c r="AM166" s="66">
        <f>+AM71</f>
        <v>0</v>
      </c>
      <c r="AN166" s="66">
        <f>+AN71</f>
        <v>0</v>
      </c>
      <c r="AO166" s="66">
        <f>+AO71</f>
        <v>0</v>
      </c>
      <c r="AP166" s="66">
        <f>+AP71</f>
        <v>0</v>
      </c>
      <c r="AQ166" s="66">
        <f>+AQ71</f>
        <v>0</v>
      </c>
      <c r="AR166" s="66">
        <f>+AR71</f>
        <v>0</v>
      </c>
      <c r="AS166" s="66">
        <f>+AS71</f>
        <v>0</v>
      </c>
      <c r="AT166" s="66">
        <f>+AT71</f>
        <v>0</v>
      </c>
      <c r="AU166" s="66">
        <f>+AU71</f>
        <v>0</v>
      </c>
      <c r="AV166" s="66">
        <f>+AV71</f>
        <v>0</v>
      </c>
      <c r="AW166" s="66">
        <f>+AW71</f>
        <v>0</v>
      </c>
      <c r="AX166" s="66">
        <f>+AX71</f>
        <v>0</v>
      </c>
      <c r="AY166" s="140"/>
      <c r="AZ166" s="140"/>
      <c r="BA166" s="140"/>
    </row>
    <row r="167" spans="2:53" s="5" customFormat="1" ht="13.5" customHeight="1">
      <c r="B167" s="1" t="str">
        <f>+B72</f>
        <v xml:space="preserve">Dividends Paid </v>
      </c>
      <c r="C167" s="66"/>
      <c r="D167" s="66">
        <f>+D72</f>
        <v>-52268.909</v>
      </c>
      <c r="E167" s="66">
        <f>+E72</f>
        <v>-54319.680999999997</v>
      </c>
      <c r="F167" s="66">
        <f>+F72</f>
        <v>-67591.929999999993</v>
      </c>
      <c r="G167" s="66">
        <f>+G72</f>
        <v>-74968.175000000003</v>
      </c>
      <c r="H167" s="66">
        <f>+H72</f>
        <v>-87535.698000000004</v>
      </c>
      <c r="I167" s="66">
        <f>+I72</f>
        <v>-86265.895999999993</v>
      </c>
      <c r="J167" s="66">
        <f>+J72</f>
        <v>-99985.5</v>
      </c>
      <c r="K167" s="66">
        <f>+K72</f>
        <v>-106347.16499999999</v>
      </c>
      <c r="L167" s="66">
        <f>+L72</f>
        <v>-274316.05</v>
      </c>
      <c r="M167" s="66">
        <f>+M72</f>
        <v>-165877.42199999999</v>
      </c>
      <c r="N167" s="66">
        <f>+N72</f>
        <v>-158408.12</v>
      </c>
      <c r="O167" s="66">
        <f>+O72</f>
        <v>-195890.117</v>
      </c>
      <c r="P167" s="66">
        <f>+P72</f>
        <v>-55750.39499999999</v>
      </c>
      <c r="Q167" s="56"/>
      <c r="R167" s="66">
        <f>+R72</f>
        <v>-21370.021000000001</v>
      </c>
      <c r="S167" s="66">
        <f>+S72</f>
        <v>-43699.277999999998</v>
      </c>
      <c r="T167" s="66">
        <f>+T72</f>
        <v>29.391999999999825</v>
      </c>
      <c r="U167" s="66">
        <f>+U72</f>
        <v>-22495.790999999997</v>
      </c>
      <c r="V167" s="66">
        <f>+V72</f>
        <v>-21369.142</v>
      </c>
      <c r="W167" s="66">
        <f>+W72</f>
        <v>-21368.504000000001</v>
      </c>
      <c r="X167" s="66">
        <f>+X72</f>
        <v>-21370.440999999999</v>
      </c>
      <c r="Y167" s="66">
        <f>+Y72</f>
        <v>-22157.808999999994</v>
      </c>
      <c r="Z167" s="66">
        <f>+Z72</f>
        <v>-22471.138999999999</v>
      </c>
      <c r="AA167" s="66">
        <f>+AA72</f>
        <v>-25841.710999999999</v>
      </c>
      <c r="AB167" s="66">
        <f>+AB72</f>
        <v>-25841.677000000007</v>
      </c>
      <c r="AC167" s="66">
        <f>+AC72</f>
        <v>-25830.972999999994</v>
      </c>
      <c r="AD167" s="66">
        <f>+AD72</f>
        <v>-25841.366999999998</v>
      </c>
      <c r="AE167" s="66">
        <f>+AE72</f>
        <v>-25841.366999999998</v>
      </c>
      <c r="AF167" s="66">
        <f>+AF72</f>
        <v>-24768.967000000004</v>
      </c>
      <c r="AG167" s="66">
        <f>+AG72</f>
        <v>-29895.463999999993</v>
      </c>
      <c r="AH167" s="66">
        <f>+AH72</f>
        <v>-28823.062999999998</v>
      </c>
      <c r="AI167" s="66">
        <f>+AI72</f>
        <v>-187846.861</v>
      </c>
      <c r="AJ167" s="66">
        <f>+AJ72</f>
        <v>-28823.064000000009</v>
      </c>
      <c r="AK167" s="66">
        <f>+AK72</f>
        <v>-28823.06199999998</v>
      </c>
      <c r="AL167" s="66">
        <f>+AL72</f>
        <v>-28823.062999999998</v>
      </c>
      <c r="AM167" s="66">
        <f>+AM72</f>
        <v>-78518</v>
      </c>
      <c r="AN167" s="66">
        <f>+AN72</f>
        <v>-28823.064000000009</v>
      </c>
      <c r="AO167" s="66">
        <f>+AO72</f>
        <v>-29713.294999999987</v>
      </c>
      <c r="AP167" s="66">
        <f>+AP72</f>
        <v>-31826.348999999998</v>
      </c>
      <c r="AQ167" s="66">
        <f>+AQ72</f>
        <v>-62972.251000000004</v>
      </c>
      <c r="AR167" s="66">
        <f>+AR72</f>
        <v>-31804.76</v>
      </c>
      <c r="AS167" s="66">
        <f>+AS72</f>
        <v>-31804.759999999995</v>
      </c>
      <c r="AT167" s="66">
        <f>+AT72</f>
        <v>-140139.72200000001</v>
      </c>
      <c r="AU167" s="66">
        <f>+AU72</f>
        <v>-692.62599999998929</v>
      </c>
      <c r="AV167" s="66">
        <f>+AV72</f>
        <v>-141.27799999999115</v>
      </c>
      <c r="AW167" s="66">
        <f>+AW72</f>
        <v>-54916.491000000009</v>
      </c>
      <c r="AX167" s="66">
        <f>+AX72</f>
        <v>0</v>
      </c>
      <c r="AY167" s="140"/>
      <c r="AZ167" s="140"/>
      <c r="BA167" s="140"/>
    </row>
    <row r="168" spans="2:53" ht="13.5" customHeight="1">
      <c r="B168" s="1" t="str">
        <f>+B73</f>
        <v>Change in debt</v>
      </c>
      <c r="C168" s="63"/>
      <c r="D168" s="63">
        <f>+D73</f>
        <v>12252.154999999999</v>
      </c>
      <c r="E168" s="63">
        <f>+E73</f>
        <v>-41080.695999999996</v>
      </c>
      <c r="F168" s="63">
        <f>+F73</f>
        <v>-25099.435000000001</v>
      </c>
      <c r="G168" s="63">
        <f>+G73</f>
        <v>19654.745999999992</v>
      </c>
      <c r="H168" s="63">
        <f>+H73</f>
        <v>-16780.096999999998</v>
      </c>
      <c r="I168" s="63">
        <f>+I73</f>
        <v>-27025.008999999998</v>
      </c>
      <c r="J168" s="63">
        <f>+J73</f>
        <v>-1538.6670000000017</v>
      </c>
      <c r="K168" s="63">
        <f>+K73</f>
        <v>-1806.3519999999999</v>
      </c>
      <c r="L168" s="63">
        <f>+L73</f>
        <v>4306.208999999998</v>
      </c>
      <c r="M168" s="63">
        <f>+M73</f>
        <v>-827.47500000000127</v>
      </c>
      <c r="N168" s="63">
        <f>+N73</f>
        <v>33718.036000000007</v>
      </c>
      <c r="O168" s="63">
        <f>+O73</f>
        <v>53760.903999999995</v>
      </c>
      <c r="P168" s="63">
        <f>+P73</f>
        <v>53667.702999999994</v>
      </c>
      <c r="Q168" s="56"/>
      <c r="R168" s="63">
        <f>+R73</f>
        <v>-3881.7110000000011</v>
      </c>
      <c r="S168" s="63">
        <f>+S73</f>
        <v>22575.208999999999</v>
      </c>
      <c r="T168" s="63">
        <f>+T73</f>
        <v>-29071.988999999994</v>
      </c>
      <c r="U168" s="63">
        <f>+U73</f>
        <v>-6401.6060000000016</v>
      </c>
      <c r="V168" s="63">
        <f>+V73</f>
        <v>-215.48399999999998</v>
      </c>
      <c r="W168" s="63">
        <f>+W73</f>
        <v>-613.23400000000015</v>
      </c>
      <c r="X168" s="63">
        <f>+X73</f>
        <v>-13307.016</v>
      </c>
      <c r="Y168" s="63">
        <f>+Y73</f>
        <v>-12889.274999999998</v>
      </c>
      <c r="Z168" s="63">
        <f>+Z73</f>
        <v>-2294.4340000000002</v>
      </c>
      <c r="AA168" s="63">
        <f>+AA73</f>
        <v>-450.42799999999988</v>
      </c>
      <c r="AB168" s="63">
        <f>+AB73</f>
        <v>5418.66</v>
      </c>
      <c r="AC168" s="63">
        <f>+AC73</f>
        <v>-4212.4650000000011</v>
      </c>
      <c r="AD168" s="63">
        <f>+AD73</f>
        <v>-832.54300000000001</v>
      </c>
      <c r="AE168" s="63">
        <f>+AE73</f>
        <v>-1382.73</v>
      </c>
      <c r="AF168" s="63">
        <f>+AF73</f>
        <v>-988.45899999999995</v>
      </c>
      <c r="AG168" s="63">
        <f>+AG73</f>
        <v>1397.38</v>
      </c>
      <c r="AH168" s="63">
        <f>+AH73</f>
        <v>-1342.3720000000001</v>
      </c>
      <c r="AI168" s="63">
        <f>+AI73</f>
        <v>4131.4939999999997</v>
      </c>
      <c r="AJ168" s="63">
        <f>+AJ73</f>
        <v>7534.1930000000029</v>
      </c>
      <c r="AK168" s="63">
        <f>+AK73</f>
        <v>-6017.1060000000043</v>
      </c>
      <c r="AL168" s="63">
        <f>+AL73</f>
        <v>-1628.2909999999999</v>
      </c>
      <c r="AM168" s="63">
        <f>+AM73</f>
        <v>31046.800999999999</v>
      </c>
      <c r="AN168" s="63">
        <f>+AN73</f>
        <v>-4060.8600000000015</v>
      </c>
      <c r="AO168" s="63">
        <f>+AO73</f>
        <v>-26185.125</v>
      </c>
      <c r="AP168" s="63">
        <f>+AP73</f>
        <v>-2260.6849999999999</v>
      </c>
      <c r="AQ168" s="63">
        <f>+AQ73</f>
        <v>32299.616999999998</v>
      </c>
      <c r="AR168" s="63">
        <f>+AR73</f>
        <v>3472.9249999999979</v>
      </c>
      <c r="AS168" s="63">
        <f>+AS73</f>
        <v>206.179000000011</v>
      </c>
      <c r="AT168" s="63">
        <f>+AT73</f>
        <v>-6740.6340000000018</v>
      </c>
      <c r="AU168" s="63">
        <f>+AU73</f>
        <v>477.81700000000092</v>
      </c>
      <c r="AV168" s="63">
        <f>+AV73</f>
        <v>66581.249000000011</v>
      </c>
      <c r="AW168" s="63">
        <f>+AW73</f>
        <v>-6557.528000000013</v>
      </c>
      <c r="AX168" s="63">
        <f>+AX73</f>
        <v>-6833.8350000000009</v>
      </c>
      <c r="AY168" s="56"/>
      <c r="AZ168" s="56"/>
      <c r="BA168" s="56"/>
    </row>
    <row r="169" spans="2:53" ht="13.5" customHeight="1" thickBot="1">
      <c r="B169" s="41" t="str">
        <f>+B74</f>
        <v>Other financing activities</v>
      </c>
      <c r="C169" s="64"/>
      <c r="D169" s="64">
        <f>+D74</f>
        <v>0</v>
      </c>
      <c r="E169" s="64">
        <f>+E74</f>
        <v>0</v>
      </c>
      <c r="F169" s="64">
        <f>+F74</f>
        <v>0</v>
      </c>
      <c r="G169" s="64">
        <f>+G74</f>
        <v>0</v>
      </c>
      <c r="H169" s="64">
        <f>+H74</f>
        <v>0</v>
      </c>
      <c r="I169" s="64">
        <f>+I74</f>
        <v>0</v>
      </c>
      <c r="J169" s="64">
        <f>+J74</f>
        <v>0</v>
      </c>
      <c r="K169" s="64">
        <f>+K74</f>
        <v>0</v>
      </c>
      <c r="L169" s="64">
        <f>+L74</f>
        <v>-16953.541000000001</v>
      </c>
      <c r="M169" s="64">
        <f>+M74</f>
        <v>-20421.900999999998</v>
      </c>
      <c r="N169" s="64">
        <f>+N74</f>
        <v>4931.9079999999994</v>
      </c>
      <c r="O169" s="64">
        <f>+O74</f>
        <v>-20282.998</v>
      </c>
      <c r="P169" s="64">
        <f>+P74</f>
        <v>-20745.292000000001</v>
      </c>
      <c r="Q169" s="56"/>
      <c r="R169" s="64">
        <f>+R74</f>
        <v>0</v>
      </c>
      <c r="S169" s="64">
        <f>+S74</f>
        <v>0</v>
      </c>
      <c r="T169" s="64">
        <f>+T74</f>
        <v>0</v>
      </c>
      <c r="U169" s="64">
        <f>+U74</f>
        <v>0</v>
      </c>
      <c r="V169" s="64">
        <f>+V74</f>
        <v>0</v>
      </c>
      <c r="W169" s="64">
        <f>+W74</f>
        <v>0</v>
      </c>
      <c r="X169" s="64">
        <f>+X74</f>
        <v>0</v>
      </c>
      <c r="Y169" s="64">
        <f>+Y74</f>
        <v>0</v>
      </c>
      <c r="Z169" s="64">
        <f>+Z74</f>
        <v>0</v>
      </c>
      <c r="AA169" s="64">
        <f>+AA74</f>
        <v>0</v>
      </c>
      <c r="AB169" s="64">
        <f>+AB74</f>
        <v>0</v>
      </c>
      <c r="AC169" s="64">
        <f>+AC74</f>
        <v>0</v>
      </c>
      <c r="AD169" s="64">
        <f>+AD74</f>
        <v>0</v>
      </c>
      <c r="AE169" s="64">
        <f>+AE74</f>
        <v>0</v>
      </c>
      <c r="AF169" s="64">
        <f>+AF74</f>
        <v>3000</v>
      </c>
      <c r="AG169" s="64">
        <f>+AG74</f>
        <v>-3000</v>
      </c>
      <c r="AH169" s="64">
        <f>+AH74</f>
        <v>94.86</v>
      </c>
      <c r="AI169" s="64">
        <f>+AI74</f>
        <v>-94.86</v>
      </c>
      <c r="AJ169" s="64">
        <f>+AJ74</f>
        <v>0</v>
      </c>
      <c r="AK169" s="64">
        <f>+AK74</f>
        <v>-16953.541000000001</v>
      </c>
      <c r="AL169" s="64">
        <f>+AL74</f>
        <v>-3056.4609999999998</v>
      </c>
      <c r="AM169" s="64">
        <f>+AM74</f>
        <v>5123.0389999999998</v>
      </c>
      <c r="AN169" s="64">
        <f>+AN74</f>
        <v>-55334.695999999996</v>
      </c>
      <c r="AO169" s="64">
        <f>+AO74</f>
        <v>32846.216999999997</v>
      </c>
      <c r="AP169" s="64">
        <f>+AP74</f>
        <v>6504.2379999999994</v>
      </c>
      <c r="AQ169" s="64">
        <f>+AQ74</f>
        <v>-5088.8149999999996</v>
      </c>
      <c r="AR169" s="64">
        <f>+AR74</f>
        <v>-281.93399999999929</v>
      </c>
      <c r="AS169" s="64">
        <f>+AS74</f>
        <v>3798.418999999999</v>
      </c>
      <c r="AT169" s="64">
        <f>+AT74</f>
        <v>-1990.8330000000001</v>
      </c>
      <c r="AU169" s="64">
        <f>+AU74</f>
        <v>-7356.67</v>
      </c>
      <c r="AV169" s="64">
        <f>+AV74</f>
        <v>-6596.4709999999995</v>
      </c>
      <c r="AW169" s="64">
        <f>+AW74</f>
        <v>-4339.0239999999994</v>
      </c>
      <c r="AX169" s="64">
        <f>+AX74</f>
        <v>-2453.127</v>
      </c>
      <c r="AY169" s="56"/>
      <c r="AZ169" s="56"/>
      <c r="BA169" s="56"/>
    </row>
    <row r="170" spans="2:53" ht="13.5" customHeight="1" thickTop="1" thickBot="1">
      <c r="B170" s="52" t="str">
        <f>+B75</f>
        <v>Cash flow after financing activities</v>
      </c>
      <c r="C170" s="65"/>
      <c r="D170" s="65">
        <f>+D75</f>
        <v>348103.96200000017</v>
      </c>
      <c r="E170" s="65">
        <f>+E75</f>
        <v>372225.39299999987</v>
      </c>
      <c r="F170" s="65">
        <f>+F75</f>
        <v>313837.32299999986</v>
      </c>
      <c r="G170" s="65">
        <f>+G75</f>
        <v>328961.63199999993</v>
      </c>
      <c r="H170" s="65">
        <f>+H75</f>
        <v>341652.4279999999</v>
      </c>
      <c r="I170" s="65">
        <f>+I75</f>
        <v>368421.46499999979</v>
      </c>
      <c r="J170" s="65">
        <f>+J75</f>
        <v>514676.36600000015</v>
      </c>
      <c r="K170" s="65">
        <f>+K75</f>
        <v>393111.88200000004</v>
      </c>
      <c r="L170" s="65">
        <f>+L75</f>
        <v>468673.29199999972</v>
      </c>
      <c r="M170" s="65">
        <f>+M75</f>
        <v>471258.51000000018</v>
      </c>
      <c r="N170" s="65">
        <f>+N75</f>
        <v>529622.68699999992</v>
      </c>
      <c r="O170" s="65">
        <f>+O75</f>
        <v>659207.72599999979</v>
      </c>
      <c r="P170" s="65">
        <f>+P75</f>
        <v>740590.39399999927</v>
      </c>
      <c r="Q170" s="57"/>
      <c r="R170" s="65">
        <f>+R75</f>
        <v>75954.416000000012</v>
      </c>
      <c r="S170" s="65">
        <f>+S75</f>
        <v>271740.17799999996</v>
      </c>
      <c r="T170" s="65">
        <f>+T75</f>
        <v>-194497.02700000006</v>
      </c>
      <c r="U170" s="65">
        <f>+U75</f>
        <v>188454.86100000009</v>
      </c>
      <c r="V170" s="65">
        <f>+V75</f>
        <v>80938.380000000034</v>
      </c>
      <c r="W170" s="65">
        <f>+W75</f>
        <v>56882.933000000019</v>
      </c>
      <c r="X170" s="65">
        <f>+X75</f>
        <v>55142.91699999987</v>
      </c>
      <c r="Y170" s="65">
        <f>+Y75</f>
        <v>175457.2349999999</v>
      </c>
      <c r="Z170" s="65">
        <f>+Z75</f>
        <v>325621.15999999997</v>
      </c>
      <c r="AA170" s="65">
        <f>+AA75</f>
        <v>38201.054999999978</v>
      </c>
      <c r="AB170" s="65">
        <f>+AB75</f>
        <v>92916.810999999885</v>
      </c>
      <c r="AC170" s="65">
        <f>+AC75</f>
        <v>57937.340000000251</v>
      </c>
      <c r="AD170" s="65">
        <f>+AD75</f>
        <v>-83.470999999956234</v>
      </c>
      <c r="AE170" s="65">
        <f>+AE75</f>
        <v>116275.80899999988</v>
      </c>
      <c r="AF170" s="65">
        <f>+AF75</f>
        <v>114973.2024000001</v>
      </c>
      <c r="AG170" s="65">
        <f>+AG75</f>
        <v>161946.34159999999</v>
      </c>
      <c r="AH170" s="65">
        <f>+AH75</f>
        <v>202253.12000000005</v>
      </c>
      <c r="AI170" s="65">
        <f>+AI75</f>
        <v>-44240.062999999842</v>
      </c>
      <c r="AJ170" s="65">
        <f>+AJ75</f>
        <v>81395.021999999823</v>
      </c>
      <c r="AK170" s="65">
        <f>+AK75</f>
        <v>229265.2129999997</v>
      </c>
      <c r="AL170" s="65">
        <f>+AL75</f>
        <v>108754.72299999995</v>
      </c>
      <c r="AM170" s="65">
        <f>+AM75</f>
        <v>103399.62300000004</v>
      </c>
      <c r="AN170" s="65">
        <f>+AN75</f>
        <v>68153.223000000304</v>
      </c>
      <c r="AO170" s="65">
        <f>+AO75</f>
        <v>190950.94099999988</v>
      </c>
      <c r="AP170" s="65">
        <f>+AP75</f>
        <v>138397.55700000003</v>
      </c>
      <c r="AQ170" s="65">
        <f>+AQ75</f>
        <v>60841.441999999981</v>
      </c>
      <c r="AR170" s="65">
        <f>+AR75</f>
        <v>103236.08499999995</v>
      </c>
      <c r="AS170" s="65">
        <f>+AS75</f>
        <v>227147.603</v>
      </c>
      <c r="AT170" s="65">
        <f>+AT75</f>
        <v>135198.95499999996</v>
      </c>
      <c r="AU170" s="65">
        <f>+AU75</f>
        <v>114727.74499999979</v>
      </c>
      <c r="AV170" s="65">
        <f>+AV75</f>
        <v>204778.42500000019</v>
      </c>
      <c r="AW170" s="65">
        <f>+AW75</f>
        <v>204502.6009999997</v>
      </c>
      <c r="AX170" s="65">
        <f>+AX75</f>
        <v>216581.62299999991</v>
      </c>
      <c r="AY170" s="57"/>
      <c r="AZ170" s="57"/>
      <c r="BA170" s="57"/>
    </row>
    <row r="171" spans="2:53" ht="13.5" customHeight="1" thickTop="1">
      <c r="B171" s="1" t="str">
        <f>+B76</f>
        <v>FX and effects of inflation</v>
      </c>
      <c r="C171" s="63"/>
      <c r="D171" s="63">
        <f>+D76</f>
        <v>-2280.1460000000002</v>
      </c>
      <c r="E171" s="63">
        <f>+E76</f>
        <v>-13571.278</v>
      </c>
      <c r="F171" s="63">
        <f>+F76</f>
        <v>797.22299999999996</v>
      </c>
      <c r="G171" s="63">
        <f>+G76</f>
        <v>-5804.9319999999998</v>
      </c>
      <c r="H171" s="63">
        <f>+H76</f>
        <v>-1261.9390000000003</v>
      </c>
      <c r="I171" s="63">
        <f>+I76</f>
        <v>2041.5360000000001</v>
      </c>
      <c r="J171" s="63">
        <f>+J76</f>
        <v>-15968.487999999999</v>
      </c>
      <c r="K171" s="63">
        <f>+K76</f>
        <v>3298.5320000000002</v>
      </c>
      <c r="L171" s="63">
        <f>+L76</f>
        <v>-37950.603999999999</v>
      </c>
      <c r="M171" s="63">
        <f>+M76</f>
        <v>-9412.8640000000014</v>
      </c>
      <c r="N171" s="63">
        <f>+N76</f>
        <v>-2415.7830000000013</v>
      </c>
      <c r="O171" s="63">
        <f>+O76</f>
        <v>-2499.1289999999999</v>
      </c>
      <c r="P171" s="63">
        <f>+P76</f>
        <v>6933.5590000000002</v>
      </c>
      <c r="Q171" s="56"/>
      <c r="R171" s="63">
        <f>+R76</f>
        <v>-1889.5889999999999</v>
      </c>
      <c r="S171" s="63">
        <f>+S76</f>
        <v>-4667.45</v>
      </c>
      <c r="T171" s="63">
        <f>+T76</f>
        <v>-1337.9349999999995</v>
      </c>
      <c r="U171" s="63">
        <f>+U76</f>
        <v>6633.0349999999989</v>
      </c>
      <c r="V171" s="63">
        <f>+V76</f>
        <v>-1973.316</v>
      </c>
      <c r="W171" s="63">
        <f>+W76</f>
        <v>720.23699999999985</v>
      </c>
      <c r="X171" s="63">
        <f>+X76</f>
        <v>1249.1420000000003</v>
      </c>
      <c r="Y171" s="63">
        <f>+Y76</f>
        <v>2045.473</v>
      </c>
      <c r="Z171" s="63">
        <f>+Z76</f>
        <v>2538.7470000000003</v>
      </c>
      <c r="AA171" s="63">
        <f>+AA76</f>
        <v>-6760.4890000000005</v>
      </c>
      <c r="AB171" s="63">
        <f>+AB76</f>
        <v>-7404.8850000000002</v>
      </c>
      <c r="AC171" s="63">
        <f>+AC76</f>
        <v>-4341.860999999999</v>
      </c>
      <c r="AD171" s="63">
        <f>+AD76</f>
        <v>-1464.248</v>
      </c>
      <c r="AE171" s="63">
        <f>+AE76</f>
        <v>-2938.8319999999999</v>
      </c>
      <c r="AF171" s="63">
        <f>+AF76</f>
        <v>4998.5349999999999</v>
      </c>
      <c r="AG171" s="63">
        <f>+AG76</f>
        <v>2703.0770000000002</v>
      </c>
      <c r="AH171" s="63">
        <f>+AH76</f>
        <v>-2564.0550000000003</v>
      </c>
      <c r="AI171" s="63">
        <f>+AI76</f>
        <v>-18064.173999999999</v>
      </c>
      <c r="AJ171" s="63">
        <f>+AJ76</f>
        <v>-5551.6510000000017</v>
      </c>
      <c r="AK171" s="63">
        <f>+AK76</f>
        <v>-11770.723999999998</v>
      </c>
      <c r="AL171" s="63">
        <f>+AL76</f>
        <v>-16996.045999999998</v>
      </c>
      <c r="AM171" s="63">
        <f>+AM76</f>
        <v>-20856.914000000001</v>
      </c>
      <c r="AN171" s="63">
        <f>+AN76</f>
        <v>17543.826000000001</v>
      </c>
      <c r="AO171" s="63">
        <f>+AO76</f>
        <v>10896.269999999997</v>
      </c>
      <c r="AP171" s="63">
        <f>+AP76</f>
        <v>15005.546</v>
      </c>
      <c r="AQ171" s="63">
        <f>+AQ76</f>
        <v>-21174.445</v>
      </c>
      <c r="AR171" s="63">
        <f>+AR76</f>
        <v>-3211.6050000000014</v>
      </c>
      <c r="AS171" s="63">
        <f>+AS76</f>
        <v>6964.7209999999995</v>
      </c>
      <c r="AT171" s="63">
        <f>+AT76</f>
        <v>-2226.1189999999997</v>
      </c>
      <c r="AU171" s="63">
        <f>+AU76</f>
        <v>-18.718000000000302</v>
      </c>
      <c r="AV171" s="63">
        <f>+AV76</f>
        <v>7141.929000000001</v>
      </c>
      <c r="AW171" s="63">
        <f>+AW76</f>
        <v>-7396.2210000000005</v>
      </c>
      <c r="AX171" s="63">
        <f>+AX76</f>
        <v>7206.5689999999995</v>
      </c>
      <c r="AY171" s="56"/>
      <c r="AZ171" s="56"/>
      <c r="BA171" s="56"/>
    </row>
    <row r="172" spans="2:53" ht="13.5" customHeight="1">
      <c r="B172" s="1" t="str">
        <f>+B77</f>
        <v>Balancing figure</v>
      </c>
      <c r="C172" s="63"/>
      <c r="D172" s="63">
        <f>+D77</f>
        <v>-346285.50800000015</v>
      </c>
      <c r="E172" s="63">
        <f>+E77</f>
        <v>-309007.60999999987</v>
      </c>
      <c r="F172" s="63">
        <f>+F77</f>
        <v>-302531.60499999986</v>
      </c>
      <c r="G172" s="63">
        <f>+G77</f>
        <v>-328178.46399999998</v>
      </c>
      <c r="H172" s="63">
        <f>+H77</f>
        <v>-339093.99199999991</v>
      </c>
      <c r="I172" s="63">
        <f>+I77</f>
        <v>-350433.62799999979</v>
      </c>
      <c r="J172" s="63">
        <f>+J77</f>
        <v>-346745.16500000015</v>
      </c>
      <c r="K172" s="63">
        <f>+K77</f>
        <v>-401629.09300000005</v>
      </c>
      <c r="L172" s="63">
        <f>+L77</f>
        <v>-443352.72099999973</v>
      </c>
      <c r="M172" s="63">
        <f>+M77</f>
        <v>-449843.95000000019</v>
      </c>
      <c r="N172" s="63">
        <f>+N77</f>
        <v>-581991.58299999987</v>
      </c>
      <c r="O172" s="63">
        <f>+O77</f>
        <v>-609067.89199999988</v>
      </c>
      <c r="P172" s="63">
        <f>+P77</f>
        <v>-630335.08199999994</v>
      </c>
      <c r="Q172" s="56"/>
      <c r="R172" s="63">
        <f>+R77</f>
        <v>-95206.247000000003</v>
      </c>
      <c r="S172" s="63">
        <f>+S77</f>
        <v>-272517.685</v>
      </c>
      <c r="T172" s="63">
        <f>+T77</f>
        <v>159888.3090000001</v>
      </c>
      <c r="U172" s="63">
        <f>+U77</f>
        <v>-131258.36899999998</v>
      </c>
      <c r="V172" s="63">
        <f>+V77</f>
        <v>-94708.28800000003</v>
      </c>
      <c r="W172" s="63">
        <f>+W77</f>
        <v>-61948.218000000023</v>
      </c>
      <c r="X172" s="63">
        <f>+X77</f>
        <v>-68175.285999999847</v>
      </c>
      <c r="Y172" s="63">
        <f>+Y77</f>
        <v>-125601.83599999989</v>
      </c>
      <c r="Z172" s="63">
        <f>+Z77</f>
        <v>-103583.05399999997</v>
      </c>
      <c r="AA172" s="63">
        <f>+AA77</f>
        <v>-42480.155999999988</v>
      </c>
      <c r="AB172" s="63">
        <f>+AB77</f>
        <v>-168018.32599999988</v>
      </c>
      <c r="AC172" s="63">
        <f>+AC77</f>
        <v>-32663.629000000306</v>
      </c>
      <c r="AD172" s="63">
        <f>+AD77</f>
        <v>-99688.244000000035</v>
      </c>
      <c r="AE172" s="63">
        <f>+AE77</f>
        <v>-76549.991999999882</v>
      </c>
      <c r="AF172" s="63">
        <f>+AF77</f>
        <v>-87012.413400000121</v>
      </c>
      <c r="AG172" s="63">
        <f>+AG77</f>
        <v>-138378.4436</v>
      </c>
      <c r="AH172" s="63">
        <f>+AH77</f>
        <v>-114263.24900000004</v>
      </c>
      <c r="AI172" s="63">
        <f>+AI77</f>
        <v>-65792.257000000187</v>
      </c>
      <c r="AJ172" s="63">
        <f>+AJ77</f>
        <v>-93847.463999999818</v>
      </c>
      <c r="AK172" s="63">
        <f>+AK77</f>
        <v>-169449.7509999997</v>
      </c>
      <c r="AL172" s="63">
        <f>+AL77</f>
        <v>-124172.82799999995</v>
      </c>
      <c r="AM172" s="63">
        <f>+AM77</f>
        <v>-92820.889000000039</v>
      </c>
      <c r="AN172" s="63">
        <f>+AN77</f>
        <v>-109910.74300000029</v>
      </c>
      <c r="AO172" s="63">
        <f>+AO77</f>
        <v>-122939.48999999989</v>
      </c>
      <c r="AP172" s="63">
        <f>+AP77</f>
        <v>-155563.67900000003</v>
      </c>
      <c r="AQ172" s="63">
        <f>+AQ77</f>
        <v>-108758.96499999997</v>
      </c>
      <c r="AR172" s="63">
        <f>+AR77</f>
        <v>-121770.35199999994</v>
      </c>
      <c r="AS172" s="63">
        <f>+AS77</f>
        <v>-195898.58699999994</v>
      </c>
      <c r="AT172" s="63">
        <f>+AT77</f>
        <v>-173393.70099999994</v>
      </c>
      <c r="AU172" s="63">
        <f>+AU77</f>
        <v>-122000.27599999981</v>
      </c>
      <c r="AV172" s="63">
        <f>+AV77</f>
        <v>-130279.47200000018</v>
      </c>
      <c r="AW172" s="63">
        <f>+AW77</f>
        <v>-183394.44299999997</v>
      </c>
      <c r="AX172" s="63">
        <f>+AX77</f>
        <v>-194660.89099999989</v>
      </c>
      <c r="AY172" s="56"/>
      <c r="AZ172" s="56"/>
      <c r="BA172" s="56"/>
    </row>
    <row r="173" spans="2:53" s="5" customFormat="1" ht="13.5" customHeight="1" thickBot="1">
      <c r="B173" s="46" t="str">
        <f>+B78</f>
        <v xml:space="preserve">Net change in cash </v>
      </c>
      <c r="C173" s="65"/>
      <c r="D173" s="65">
        <f>+D78</f>
        <v>-461.69199999998091</v>
      </c>
      <c r="E173" s="65">
        <f>+E78</f>
        <v>49646.505000000005</v>
      </c>
      <c r="F173" s="65">
        <f>+F78</f>
        <v>12102.940999999992</v>
      </c>
      <c r="G173" s="65">
        <f>+G78</f>
        <v>-5021.7640000000247</v>
      </c>
      <c r="H173" s="65">
        <f>+H78</f>
        <v>1296.4969999999739</v>
      </c>
      <c r="I173" s="65">
        <f>+I78</f>
        <v>20029.373000000021</v>
      </c>
      <c r="J173" s="65">
        <f>+J78</f>
        <v>151962.71299999999</v>
      </c>
      <c r="K173" s="65">
        <f>+K78</f>
        <v>-5218.6790000000037</v>
      </c>
      <c r="L173" s="65">
        <f>+L78</f>
        <v>-12630.032999999996</v>
      </c>
      <c r="M173" s="65">
        <f>+M78</f>
        <v>12001.695999999996</v>
      </c>
      <c r="N173" s="65">
        <f>+N78</f>
        <v>-54784.679000000004</v>
      </c>
      <c r="O173" s="65">
        <f>+O78</f>
        <v>47640.704999999958</v>
      </c>
      <c r="P173" s="65">
        <f>+P78</f>
        <v>117188.87099999934</v>
      </c>
      <c r="Q173" s="57"/>
      <c r="R173" s="65">
        <f>+R78</f>
        <v>-21141.419999999984</v>
      </c>
      <c r="S173" s="65">
        <f>+S78</f>
        <v>-5444.9570000000531</v>
      </c>
      <c r="T173" s="65">
        <f>+T78</f>
        <v>-35946.652999999962</v>
      </c>
      <c r="U173" s="65">
        <f>+U78</f>
        <v>63829.527000000118</v>
      </c>
      <c r="V173" s="65">
        <f>+V78</f>
        <v>-15743.224000000002</v>
      </c>
      <c r="W173" s="65">
        <f>+W78</f>
        <v>-4345.0480000000025</v>
      </c>
      <c r="X173" s="65">
        <f>+X78</f>
        <v>-11783.226999999977</v>
      </c>
      <c r="Y173" s="65">
        <f>+Y78</f>
        <v>51900.872000000003</v>
      </c>
      <c r="Z173" s="65">
        <f>+Z78</f>
        <v>224576.85299999997</v>
      </c>
      <c r="AA173" s="65">
        <f>+AA78</f>
        <v>-11039.590000000011</v>
      </c>
      <c r="AB173" s="65">
        <f>+AB78</f>
        <v>-82506.399999999994</v>
      </c>
      <c r="AC173" s="65">
        <f>+AC78</f>
        <v>20931.849999999948</v>
      </c>
      <c r="AD173" s="65">
        <f>+AD78</f>
        <v>-101235.96299999999</v>
      </c>
      <c r="AE173" s="65">
        <f>+AE78</f>
        <v>36786.985000000001</v>
      </c>
      <c r="AF173" s="65">
        <f>+AF78</f>
        <v>32959.323999999979</v>
      </c>
      <c r="AG173" s="65">
        <f>+AG78</f>
        <v>26270.974999999977</v>
      </c>
      <c r="AH173" s="65">
        <f>+AH78</f>
        <v>85425.816000000021</v>
      </c>
      <c r="AI173" s="65">
        <f>+AI78</f>
        <v>-128096.49400000004</v>
      </c>
      <c r="AJ173" s="65">
        <f>+AJ78</f>
        <v>-18004.092999999993</v>
      </c>
      <c r="AK173" s="65">
        <f>+AK78</f>
        <v>48044.738000000012</v>
      </c>
      <c r="AL173" s="65">
        <f>+AL78</f>
        <v>-32414.150999999998</v>
      </c>
      <c r="AM173" s="65">
        <f>+AM78</f>
        <v>-10278.180000000008</v>
      </c>
      <c r="AN173" s="65">
        <f>+AN78</f>
        <v>-24213.693999999989</v>
      </c>
      <c r="AO173" s="65">
        <f>+AO78</f>
        <v>78907.720999999976</v>
      </c>
      <c r="AP173" s="65">
        <f>+AP78</f>
        <v>-2160.5760000000009</v>
      </c>
      <c r="AQ173" s="65">
        <f>+AQ78</f>
        <v>-69091.967999999993</v>
      </c>
      <c r="AR173" s="65">
        <f>+AR78</f>
        <v>-21745.871999999988</v>
      </c>
      <c r="AS173" s="65">
        <f>+AS78</f>
        <v>38213.737000000052</v>
      </c>
      <c r="AT173" s="65">
        <f>+AT78</f>
        <v>-40420.864999999991</v>
      </c>
      <c r="AU173" s="65">
        <f>+AU78</f>
        <v>-7291.2490000000107</v>
      </c>
      <c r="AV173" s="65">
        <f>+AV78</f>
        <v>81640.882000000012</v>
      </c>
      <c r="AW173" s="65">
        <f>+AW78</f>
        <v>13711.936999999743</v>
      </c>
      <c r="AX173" s="65">
        <f>+AX78</f>
        <v>29127.301000000007</v>
      </c>
      <c r="AY173" s="57"/>
      <c r="AZ173" s="57"/>
      <c r="BA173" s="57"/>
    </row>
    <row r="174" spans="2:53" ht="13.5" customHeight="1" thickTop="1">
      <c r="C174" s="35"/>
      <c r="D174" s="35"/>
      <c r="E174" s="35"/>
      <c r="F174" s="35"/>
      <c r="G174" s="45"/>
      <c r="H174" s="45"/>
      <c r="I174" s="45"/>
      <c r="J174" s="45"/>
      <c r="K174" s="45"/>
      <c r="L174" s="45"/>
      <c r="M174" s="45"/>
      <c r="N174" s="45"/>
      <c r="O174" s="45"/>
      <c r="P174" s="45"/>
      <c r="Q174" s="45"/>
      <c r="R174" s="45"/>
      <c r="S174" s="45"/>
      <c r="T174" s="45"/>
      <c r="U174" s="45"/>
      <c r="V174" s="45"/>
      <c r="W174" s="45"/>
      <c r="X174" s="45"/>
      <c r="Y174" s="45"/>
      <c r="Z174" s="45"/>
      <c r="AA174" s="45"/>
      <c r="AB174" s="45"/>
      <c r="AC174" s="45"/>
      <c r="AD174" s="45"/>
      <c r="AE174" s="45"/>
      <c r="AF174" s="45"/>
      <c r="AG174" s="45"/>
      <c r="AH174" s="45"/>
      <c r="AI174" s="45"/>
      <c r="AJ174" s="45"/>
      <c r="AK174" s="45"/>
      <c r="AL174" s="45"/>
      <c r="AM174" s="45"/>
      <c r="AN174" s="45"/>
      <c r="AO174" s="45"/>
      <c r="AP174" s="45"/>
      <c r="AQ174" s="45"/>
      <c r="AR174" s="45"/>
      <c r="AS174" s="45"/>
      <c r="AT174" s="45"/>
      <c r="AU174" s="45"/>
      <c r="AV174" s="45"/>
      <c r="AW174" s="45"/>
      <c r="AX174" s="45"/>
      <c r="AY174" s="45"/>
      <c r="AZ174" s="45"/>
      <c r="BA174" s="45"/>
    </row>
    <row r="175" spans="2:53" ht="13.5" customHeight="1">
      <c r="B175" s="6" t="s">
        <v>280</v>
      </c>
      <c r="C175" s="83"/>
      <c r="D175" s="83">
        <f>D111</f>
        <v>79514.434000000008</v>
      </c>
      <c r="E175" s="83">
        <f>E111</f>
        <v>129160.93900000001</v>
      </c>
      <c r="F175" s="83">
        <f>F111</f>
        <v>141263.88</v>
      </c>
      <c r="G175" s="83">
        <f>G111</f>
        <v>136242.11600000001</v>
      </c>
      <c r="H175" s="83">
        <f>H111</f>
        <v>137538.61300000001</v>
      </c>
      <c r="I175" s="83">
        <f>I111</f>
        <v>157567.986</v>
      </c>
      <c r="J175" s="83">
        <f>J111</f>
        <v>309530.69900000002</v>
      </c>
      <c r="K175" s="83">
        <f>K111</f>
        <v>304312.02</v>
      </c>
      <c r="L175" s="83">
        <f>L111</f>
        <v>291681.98700000002</v>
      </c>
      <c r="M175" s="83">
        <f>M111</f>
        <v>303683.68300000002</v>
      </c>
      <c r="N175" s="83">
        <f>N111</f>
        <v>248899.00399999999</v>
      </c>
      <c r="O175" s="83">
        <f>O111</f>
        <v>296539.70899999997</v>
      </c>
      <c r="P175" s="83">
        <f>P111</f>
        <v>325667.01</v>
      </c>
      <c r="Q175" s="83"/>
      <c r="R175" s="83">
        <f>R111</f>
        <v>115100.69600000001</v>
      </c>
      <c r="S175" s="83">
        <f>S111</f>
        <v>109655.73900000002</v>
      </c>
      <c r="T175" s="83">
        <f>T111</f>
        <v>73709.086000000025</v>
      </c>
      <c r="U175" s="83">
        <f>U111</f>
        <v>137538.61299999995</v>
      </c>
      <c r="V175" s="83">
        <f>V111</f>
        <v>121795.38899999995</v>
      </c>
      <c r="W175" s="83">
        <f>W111</f>
        <v>117450.34099999996</v>
      </c>
      <c r="X175" s="83">
        <f>X111</f>
        <v>105667.11399999994</v>
      </c>
      <c r="Y175" s="83">
        <f>Y111</f>
        <v>157567.986</v>
      </c>
      <c r="Z175" s="83">
        <f>Z111</f>
        <v>382144.83899999998</v>
      </c>
      <c r="AA175" s="83">
        <f>AA111</f>
        <v>371105.24900000001</v>
      </c>
      <c r="AB175" s="83">
        <f>AB111</f>
        <v>288598.84899999999</v>
      </c>
      <c r="AC175" s="83">
        <f>AC111</f>
        <v>309530.69900000002</v>
      </c>
      <c r="AD175" s="83">
        <f>AD111</f>
        <v>208294.736</v>
      </c>
      <c r="AE175" s="83">
        <f>AE111</f>
        <v>245081.72099999999</v>
      </c>
      <c r="AF175" s="83">
        <f>AF111</f>
        <v>278041.04499999998</v>
      </c>
      <c r="AG175" s="83">
        <f>AG111</f>
        <v>304312.02</v>
      </c>
      <c r="AH175" s="83">
        <f>AH111</f>
        <v>389737.83600000001</v>
      </c>
      <c r="AI175" s="83">
        <f>AI111</f>
        <v>261641.342</v>
      </c>
      <c r="AJ175" s="83">
        <f>AJ111</f>
        <v>243637.24900000001</v>
      </c>
      <c r="AK175" s="83">
        <f>AK111</f>
        <v>291681.98700000002</v>
      </c>
      <c r="AL175" s="83">
        <f>AL111</f>
        <v>259267.83600000001</v>
      </c>
      <c r="AM175" s="83">
        <f>AM111</f>
        <v>248989.65599999999</v>
      </c>
      <c r="AN175" s="83">
        <f>AN111</f>
        <v>224775.962</v>
      </c>
      <c r="AO175" s="83">
        <f>AO111</f>
        <v>303683.68300000002</v>
      </c>
      <c r="AP175" s="83">
        <f>AP111</f>
        <v>301523.10700000002</v>
      </c>
      <c r="AQ175" s="83">
        <f>AQ111</f>
        <v>232431.139</v>
      </c>
      <c r="AR175" s="83">
        <f>AR111</f>
        <v>210685.26699999999</v>
      </c>
      <c r="AS175" s="83">
        <f>AS111</f>
        <v>248899.00399999999</v>
      </c>
      <c r="AT175" s="83">
        <f>AT111</f>
        <v>208478.139</v>
      </c>
      <c r="AU175" s="83">
        <f>AU111</f>
        <v>207186.89</v>
      </c>
      <c r="AV175" s="83">
        <f>AV111</f>
        <v>282827.772</v>
      </c>
      <c r="AW175" s="83">
        <f>AW111</f>
        <v>296539.70899999997</v>
      </c>
      <c r="AX175" s="83">
        <f>AX111</f>
        <v>325667.01</v>
      </c>
      <c r="AY175" s="83"/>
      <c r="AZ175" s="83"/>
      <c r="BA175" s="83"/>
    </row>
    <row r="176" spans="2:53" ht="13.5" customHeight="1">
      <c r="B176" s="6"/>
      <c r="C176" s="83"/>
      <c r="D176" s="83"/>
      <c r="E176" s="83"/>
      <c r="F176" s="83"/>
      <c r="G176" s="83"/>
      <c r="H176" s="83"/>
      <c r="I176" s="83"/>
      <c r="J176" s="83"/>
      <c r="K176" s="83"/>
      <c r="L176" s="83"/>
      <c r="M176" s="83"/>
      <c r="N176" s="83"/>
      <c r="O176" s="83"/>
      <c r="P176" s="83"/>
      <c r="Q176" s="83"/>
      <c r="R176" s="83"/>
      <c r="S176" s="83"/>
      <c r="T176" s="83"/>
      <c r="U176" s="83"/>
      <c r="V176" s="83"/>
      <c r="W176" s="83"/>
      <c r="X176" s="83"/>
      <c r="Y176" s="83"/>
      <c r="Z176" s="83"/>
      <c r="AA176" s="83"/>
      <c r="AB176" s="83"/>
      <c r="AC176" s="83"/>
      <c r="AD176" s="83"/>
      <c r="AE176" s="83"/>
      <c r="AF176" s="83"/>
      <c r="AG176" s="83"/>
      <c r="AH176" s="83"/>
      <c r="AI176" s="83"/>
      <c r="AJ176" s="83"/>
      <c r="AK176" s="83"/>
      <c r="AL176" s="83"/>
      <c r="AM176" s="83"/>
      <c r="AN176" s="83"/>
      <c r="AO176" s="83"/>
      <c r="AP176" s="83"/>
      <c r="AQ176" s="83"/>
      <c r="AR176" s="83"/>
      <c r="AS176" s="83"/>
      <c r="AT176" s="83"/>
      <c r="AU176" s="83"/>
      <c r="AV176" s="83"/>
      <c r="AW176" s="83"/>
      <c r="AX176" s="83"/>
      <c r="AY176" s="83"/>
      <c r="AZ176" s="83"/>
      <c r="BA176" s="83"/>
    </row>
    <row r="177" spans="2:53" s="5" customFormat="1" ht="13.5" customHeight="1">
      <c r="B177" s="5" t="s">
        <v>139</v>
      </c>
      <c r="C177" s="38"/>
      <c r="D177" s="38">
        <f>D113</f>
        <v>710090.04899999988</v>
      </c>
      <c r="E177" s="38">
        <f>E113</f>
        <v>682001.63899999997</v>
      </c>
      <c r="F177" s="38">
        <f>F113</f>
        <v>630431.84600000002</v>
      </c>
      <c r="G177" s="38">
        <f>G113</f>
        <v>593211.70799999998</v>
      </c>
      <c r="H177" s="38">
        <f>H113</f>
        <v>622766.84900000005</v>
      </c>
      <c r="I177" s="38">
        <f>I113</f>
        <v>614815.36800000002</v>
      </c>
      <c r="J177" s="38">
        <f>J113</f>
        <v>653952.58699999994</v>
      </c>
      <c r="K177" s="38">
        <f>K113</f>
        <v>770338.44299999997</v>
      </c>
      <c r="L177" s="38">
        <f>L113</f>
        <v>849502.37199999997</v>
      </c>
      <c r="M177" s="38">
        <f>M113</f>
        <v>727098.83199999994</v>
      </c>
      <c r="N177" s="38">
        <f>N113</f>
        <v>871689.06600000011</v>
      </c>
      <c r="O177" s="38">
        <f>O113</f>
        <v>863865.4859999998</v>
      </c>
      <c r="P177" s="38">
        <f>P113</f>
        <v>835134.72799999989</v>
      </c>
      <c r="Q177" s="38"/>
      <c r="R177" s="38">
        <f>R113</f>
        <v>593676.55700000003</v>
      </c>
      <c r="S177" s="38">
        <f>S113</f>
        <v>616081.84399999992</v>
      </c>
      <c r="T177" s="38">
        <f>T113</f>
        <v>648712.28099999996</v>
      </c>
      <c r="U177" s="38">
        <f>U113</f>
        <v>622766.84900000016</v>
      </c>
      <c r="V177" s="38">
        <f>V113</f>
        <v>639455.37800000003</v>
      </c>
      <c r="W177" s="38">
        <f>W113</f>
        <v>649717.49</v>
      </c>
      <c r="X177" s="38">
        <f>X113</f>
        <v>661225.93400000001</v>
      </c>
      <c r="Y177" s="38">
        <f>Y113</f>
        <v>614815.36800000002</v>
      </c>
      <c r="Z177" s="38">
        <f>Z113</f>
        <v>671281.48400000017</v>
      </c>
      <c r="AA177" s="38">
        <f>AA113</f>
        <v>665759.75</v>
      </c>
      <c r="AB177" s="38">
        <f>AB113</f>
        <v>716388.08400000003</v>
      </c>
      <c r="AC177" s="38">
        <f>AC113</f>
        <v>653952.58699999994</v>
      </c>
      <c r="AD177" s="38">
        <f>AD113</f>
        <v>756388.34400000004</v>
      </c>
      <c r="AE177" s="38">
        <f>AE113</f>
        <v>729902.36100000003</v>
      </c>
      <c r="AF177" s="38">
        <f>AF113</f>
        <v>753782.64000000013</v>
      </c>
      <c r="AG177" s="38">
        <f>AG113</f>
        <v>770338.44299999997</v>
      </c>
      <c r="AH177" s="38">
        <f>AH113</f>
        <v>646555.25199999986</v>
      </c>
      <c r="AI177" s="38">
        <f>AI113</f>
        <v>903333.81799999997</v>
      </c>
      <c r="AJ177" s="38">
        <f>AJ113</f>
        <v>952430.66599999997</v>
      </c>
      <c r="AK177" s="38">
        <f>AK113</f>
        <v>849502.37199999997</v>
      </c>
      <c r="AL177" s="38">
        <f>AL113</f>
        <v>830162.22699999984</v>
      </c>
      <c r="AM177" s="38">
        <f>AM113</f>
        <v>896930.14900000021</v>
      </c>
      <c r="AN177" s="38">
        <f>AN113</f>
        <v>804082.22100000014</v>
      </c>
      <c r="AO177" s="38">
        <f>AO113</f>
        <v>727098.83199999994</v>
      </c>
      <c r="AP177" s="38">
        <f>AP113</f>
        <v>771824.21199999982</v>
      </c>
      <c r="AQ177" s="38">
        <f>AQ113</f>
        <v>858876.63000000012</v>
      </c>
      <c r="AR177" s="38">
        <f>AR113</f>
        <v>861802.06900000013</v>
      </c>
      <c r="AS177" s="38">
        <f>AS113</f>
        <v>871689.06600000011</v>
      </c>
      <c r="AT177" s="38">
        <f>AT113</f>
        <v>886876.54399999999</v>
      </c>
      <c r="AU177" s="38">
        <f>AU113</f>
        <v>909581.7030000001</v>
      </c>
      <c r="AV177" s="38">
        <f>AV113</f>
        <v>905596.90100000019</v>
      </c>
      <c r="AW177" s="38">
        <f>AW113</f>
        <v>863865.4859999998</v>
      </c>
      <c r="AX177" s="38">
        <f>AX113</f>
        <v>835134.72799999989</v>
      </c>
      <c r="AY177" s="38"/>
      <c r="AZ177" s="38"/>
      <c r="BA177" s="38"/>
    </row>
    <row r="178" spans="2:53" ht="13.5" customHeight="1">
      <c r="B178" s="1" t="s">
        <v>299</v>
      </c>
      <c r="C178" s="83"/>
      <c r="D178" s="83">
        <f>D114</f>
        <v>789604.48299999989</v>
      </c>
      <c r="E178" s="83">
        <f>E114</f>
        <v>811162.57799999998</v>
      </c>
      <c r="F178" s="83">
        <f>F114</f>
        <v>771695.72600000002</v>
      </c>
      <c r="G178" s="83">
        <f>G114</f>
        <v>729453.82400000002</v>
      </c>
      <c r="H178" s="83">
        <f>H114</f>
        <v>760305.46200000006</v>
      </c>
      <c r="I178" s="83">
        <f>I114</f>
        <v>772383.35400000005</v>
      </c>
      <c r="J178" s="83">
        <f>J114</f>
        <v>963483.28599999996</v>
      </c>
      <c r="K178" s="83">
        <f>K114</f>
        <v>1074650.463</v>
      </c>
      <c r="L178" s="83">
        <f>L114</f>
        <v>1141184.3589999999</v>
      </c>
      <c r="M178" s="83">
        <f>M114</f>
        <v>1030782.5149999999</v>
      </c>
      <c r="N178" s="83">
        <f>N114</f>
        <v>1120588.07</v>
      </c>
      <c r="O178" s="83">
        <f>O114</f>
        <v>1160405.1949999998</v>
      </c>
      <c r="P178" s="83">
        <f>P114</f>
        <v>1160801.7379999999</v>
      </c>
      <c r="Q178" s="83"/>
      <c r="R178" s="83">
        <f>R114</f>
        <v>708777.25300000003</v>
      </c>
      <c r="S178" s="83">
        <f>S114</f>
        <v>725737.58299999998</v>
      </c>
      <c r="T178" s="83">
        <f>T114</f>
        <v>722421.36699999997</v>
      </c>
      <c r="U178" s="83">
        <f>U114</f>
        <v>760305.46200000006</v>
      </c>
      <c r="V178" s="83">
        <f>V114</f>
        <v>761250.76699999999</v>
      </c>
      <c r="W178" s="83">
        <f>W114</f>
        <v>767167.83100000001</v>
      </c>
      <c r="X178" s="83">
        <f>X114</f>
        <v>766893.04799999995</v>
      </c>
      <c r="Y178" s="83">
        <f>Y114</f>
        <v>772383.35400000005</v>
      </c>
      <c r="Z178" s="83">
        <f>Z114</f>
        <v>1053426.3230000001</v>
      </c>
      <c r="AA178" s="83">
        <f>AA114</f>
        <v>1036864.999</v>
      </c>
      <c r="AB178" s="83">
        <f>AB114</f>
        <v>1004986.933</v>
      </c>
      <c r="AC178" s="83">
        <f>AC114</f>
        <v>963483.28599999996</v>
      </c>
      <c r="AD178" s="83">
        <f>AD114</f>
        <v>964683.08000000007</v>
      </c>
      <c r="AE178" s="83">
        <f>AE114</f>
        <v>974984.08200000005</v>
      </c>
      <c r="AF178" s="83">
        <f>AF114</f>
        <v>1031823.6850000001</v>
      </c>
      <c r="AG178" s="83">
        <f>AG114</f>
        <v>1074650.463</v>
      </c>
      <c r="AH178" s="83">
        <f>AH114</f>
        <v>1036293.0879999999</v>
      </c>
      <c r="AI178" s="83">
        <f>AI114</f>
        <v>1164975.1599999999</v>
      </c>
      <c r="AJ178" s="83">
        <f>AJ114</f>
        <v>1196067.915</v>
      </c>
      <c r="AK178" s="83">
        <f>AK114</f>
        <v>1141184.3589999999</v>
      </c>
      <c r="AL178" s="83">
        <f>AL114</f>
        <v>1089430.0629999998</v>
      </c>
      <c r="AM178" s="83">
        <f>AM114</f>
        <v>1145919.8050000002</v>
      </c>
      <c r="AN178" s="83">
        <f>AN114</f>
        <v>1028858.1830000001</v>
      </c>
      <c r="AO178" s="83">
        <f>AO114</f>
        <v>1030782.5149999999</v>
      </c>
      <c r="AP178" s="83">
        <f>AP114</f>
        <v>1073347.3189999999</v>
      </c>
      <c r="AQ178" s="83">
        <f>AQ114</f>
        <v>1091307.7690000001</v>
      </c>
      <c r="AR178" s="83">
        <f>AR114</f>
        <v>1072487.3360000001</v>
      </c>
      <c r="AS178" s="83">
        <f>AS114</f>
        <v>1120588.07</v>
      </c>
      <c r="AT178" s="83">
        <f>AT114</f>
        <v>1095354.683</v>
      </c>
      <c r="AU178" s="83">
        <f>AU114</f>
        <v>1116768.5930000001</v>
      </c>
      <c r="AV178" s="83">
        <f>AV114</f>
        <v>1188424.6730000002</v>
      </c>
      <c r="AW178" s="83">
        <f>AW114</f>
        <v>1160405.1949999998</v>
      </c>
      <c r="AX178" s="83">
        <f>AX114</f>
        <v>1160801.7379999999</v>
      </c>
      <c r="AY178" s="83"/>
      <c r="AZ178" s="83"/>
      <c r="BA178" s="83"/>
    </row>
    <row r="179" spans="2:53" ht="13.5" customHeight="1">
      <c r="C179" s="83"/>
      <c r="D179" s="83"/>
      <c r="E179" s="83"/>
      <c r="F179" s="83"/>
      <c r="G179" s="83"/>
      <c r="H179" s="83"/>
      <c r="I179" s="83"/>
      <c r="J179" s="83"/>
      <c r="K179" s="83"/>
      <c r="L179" s="83"/>
      <c r="M179" s="83"/>
      <c r="N179" s="83"/>
      <c r="O179" s="83"/>
      <c r="P179" s="83"/>
      <c r="Q179" s="83"/>
      <c r="R179" s="83"/>
      <c r="S179" s="83"/>
      <c r="T179" s="83"/>
      <c r="U179" s="83"/>
      <c r="V179" s="83"/>
      <c r="W179" s="83"/>
      <c r="X179" s="83"/>
      <c r="Y179" s="83"/>
      <c r="Z179" s="83"/>
      <c r="AA179" s="83"/>
      <c r="AB179" s="83"/>
      <c r="AC179" s="83"/>
      <c r="AD179" s="83"/>
      <c r="AE179" s="83"/>
      <c r="AF179" s="83"/>
      <c r="AG179" s="83"/>
      <c r="AH179" s="83"/>
      <c r="AI179" s="83"/>
      <c r="AJ179" s="83"/>
      <c r="AK179" s="83"/>
      <c r="AL179" s="83"/>
      <c r="AM179" s="83"/>
      <c r="AN179" s="83"/>
      <c r="AO179" s="83"/>
      <c r="AP179" s="83"/>
      <c r="AQ179" s="83"/>
      <c r="AR179" s="83"/>
      <c r="AS179" s="83"/>
      <c r="AT179" s="83"/>
      <c r="AU179" s="83"/>
      <c r="AV179" s="83"/>
      <c r="AW179" s="83"/>
      <c r="AX179" s="83"/>
      <c r="AY179" s="83"/>
      <c r="AZ179" s="83"/>
      <c r="BA179" s="83"/>
    </row>
    <row r="180" spans="2:53" ht="13.5" customHeight="1">
      <c r="B180" s="5" t="s">
        <v>289</v>
      </c>
      <c r="C180" s="244"/>
      <c r="D180" s="244"/>
      <c r="E180" s="244"/>
      <c r="F180" s="244"/>
      <c r="G180" s="244"/>
      <c r="H180" s="244"/>
      <c r="I180" s="244"/>
      <c r="J180" s="244"/>
      <c r="K180" s="244"/>
      <c r="L180" s="36">
        <f>L126</f>
        <v>1.3822728122107166</v>
      </c>
      <c r="M180" s="36">
        <f>M126</f>
        <v>1.3770551532839261</v>
      </c>
      <c r="N180" s="36">
        <f>N126</f>
        <v>1.2224959062041674</v>
      </c>
      <c r="O180" s="36">
        <f>O126</f>
        <v>1.2507558281050686</v>
      </c>
      <c r="P180" s="36">
        <f>P126</f>
        <v>1.11314089171094</v>
      </c>
      <c r="Q180" s="83"/>
      <c r="R180" s="244"/>
      <c r="S180" s="244"/>
      <c r="T180" s="244"/>
      <c r="U180" s="244"/>
      <c r="V180" s="244"/>
      <c r="W180" s="244"/>
      <c r="X180" s="244"/>
      <c r="Y180" s="244"/>
      <c r="Z180" s="244"/>
      <c r="AA180" s="244"/>
      <c r="AB180" s="244"/>
      <c r="AC180" s="244"/>
      <c r="AD180" s="244"/>
      <c r="AE180" s="244"/>
      <c r="AF180" s="244"/>
      <c r="AG180" s="244"/>
      <c r="AH180" s="244"/>
      <c r="AI180" s="244"/>
      <c r="AJ180" s="244"/>
      <c r="AK180" s="244"/>
      <c r="AL180" s="36">
        <f>AL126</f>
        <v>1.2332231973988992</v>
      </c>
      <c r="AM180" s="36">
        <f>AM126</f>
        <v>1.5468616780806823</v>
      </c>
      <c r="AN180" s="36">
        <f>AN126</f>
        <v>1.4793214207356709</v>
      </c>
      <c r="AO180" s="36">
        <f>AO126</f>
        <v>1.3770551532839261</v>
      </c>
      <c r="AP180" s="36">
        <f>AP126</f>
        <v>1.3266668164100159</v>
      </c>
      <c r="AQ180" s="36">
        <f>AQ126</f>
        <v>1.4322556206737787</v>
      </c>
      <c r="AR180" s="36">
        <f>AR126</f>
        <v>1.3883865210205037</v>
      </c>
      <c r="AS180" s="36">
        <f>AS126</f>
        <v>1.2224959062041674</v>
      </c>
      <c r="AT180" s="36">
        <f>AT126</f>
        <v>1.3967400009155195</v>
      </c>
      <c r="AU180" s="36">
        <f>AU126</f>
        <v>1.3952779162283939</v>
      </c>
      <c r="AV180" s="36">
        <f>AV126</f>
        <v>1.3354236653627409</v>
      </c>
      <c r="AW180" s="36">
        <f>AW126</f>
        <v>1.2507558281050686</v>
      </c>
      <c r="AX180" s="36">
        <f>AX126</f>
        <v>1.11314089171094</v>
      </c>
      <c r="AY180" s="36"/>
      <c r="AZ180" s="36"/>
      <c r="BA180" s="36"/>
    </row>
    <row r="181" spans="2:53" ht="13.5" customHeight="1">
      <c r="C181" s="35"/>
      <c r="D181" s="35"/>
      <c r="E181" s="35"/>
      <c r="F181" s="35"/>
      <c r="G181" s="45"/>
      <c r="H181" s="45"/>
      <c r="I181" s="45"/>
      <c r="J181" s="45"/>
      <c r="K181" s="45"/>
      <c r="L181" s="45"/>
      <c r="M181" s="45"/>
      <c r="N181" s="45"/>
      <c r="O181" s="45"/>
      <c r="P181" s="45"/>
      <c r="Q181" s="83"/>
      <c r="R181" s="45"/>
      <c r="S181" s="45"/>
      <c r="T181" s="45"/>
      <c r="U181" s="45"/>
      <c r="V181" s="45"/>
      <c r="W181" s="45"/>
      <c r="X181" s="45"/>
      <c r="Y181" s="45"/>
      <c r="Z181" s="45"/>
      <c r="AA181" s="45"/>
      <c r="AB181" s="45"/>
      <c r="AC181" s="45"/>
      <c r="AD181" s="45"/>
      <c r="AE181" s="45"/>
      <c r="AF181" s="45"/>
      <c r="AG181" s="45"/>
      <c r="AH181" s="45"/>
      <c r="AI181" s="45"/>
      <c r="AJ181" s="45"/>
      <c r="AK181" s="45"/>
      <c r="AL181" s="45"/>
      <c r="AM181" s="45"/>
      <c r="AN181" s="45"/>
      <c r="AO181" s="45"/>
      <c r="AP181" s="45"/>
      <c r="AQ181" s="45"/>
      <c r="AR181" s="45"/>
      <c r="AS181" s="45"/>
      <c r="AT181" s="45"/>
      <c r="AU181" s="45"/>
      <c r="AV181" s="45"/>
      <c r="AW181" s="45"/>
      <c r="AX181" s="45"/>
      <c r="AY181" s="45"/>
      <c r="AZ181" s="45"/>
      <c r="BA181" s="45"/>
    </row>
    <row r="182" spans="2:53" s="5" customFormat="1" ht="13.5" customHeight="1">
      <c r="B182" s="5" t="s">
        <v>300</v>
      </c>
      <c r="C182" s="311"/>
      <c r="D182" s="311">
        <f>D135</f>
        <v>289740</v>
      </c>
      <c r="E182" s="311">
        <f>E135</f>
        <v>316228</v>
      </c>
      <c r="F182" s="311">
        <f>F135</f>
        <v>311003</v>
      </c>
      <c r="G182" s="311">
        <f>G135</f>
        <v>337891</v>
      </c>
      <c r="H182" s="311">
        <f>H135</f>
        <v>324964</v>
      </c>
      <c r="I182" s="311">
        <f>I135</f>
        <v>348869</v>
      </c>
      <c r="J182" s="311">
        <f>J135</f>
        <v>350532</v>
      </c>
      <c r="K182" s="311">
        <f>K135</f>
        <v>397213</v>
      </c>
      <c r="L182" s="311">
        <f>L135</f>
        <v>464510</v>
      </c>
      <c r="M182" s="311">
        <f>M135</f>
        <v>470108</v>
      </c>
      <c r="N182" s="311">
        <f>N135</f>
        <v>578192</v>
      </c>
      <c r="O182" s="311">
        <f>O135</f>
        <v>614608</v>
      </c>
      <c r="P182" s="311">
        <f>P135</f>
        <v>636574</v>
      </c>
      <c r="Q182" s="311"/>
      <c r="R182" s="311"/>
      <c r="S182" s="311"/>
      <c r="T182" s="311"/>
      <c r="U182" s="311">
        <f>U135</f>
        <v>324964</v>
      </c>
      <c r="V182" s="311">
        <f>V135</f>
        <v>317783</v>
      </c>
      <c r="W182" s="311">
        <f>W135</f>
        <v>321630</v>
      </c>
      <c r="X182" s="311">
        <f>X135</f>
        <v>329178</v>
      </c>
      <c r="Y182" s="311">
        <f>Y135</f>
        <v>348869</v>
      </c>
      <c r="Z182" s="311">
        <f>Z135</f>
        <v>359127</v>
      </c>
      <c r="AA182" s="311">
        <f>AA135</f>
        <v>339530</v>
      </c>
      <c r="AB182" s="311">
        <f>AB135</f>
        <v>350326</v>
      </c>
      <c r="AC182" s="311">
        <f>AC135</f>
        <v>350532</v>
      </c>
      <c r="AD182" s="311">
        <f>AD135</f>
        <v>348498</v>
      </c>
      <c r="AE182" s="311">
        <f>AE135</f>
        <v>374948</v>
      </c>
      <c r="AF182" s="311">
        <f>AF135</f>
        <v>382361</v>
      </c>
      <c r="AG182" s="311">
        <f>AG135</f>
        <v>397213</v>
      </c>
      <c r="AH182" s="311">
        <f>AH135</f>
        <v>416665</v>
      </c>
      <c r="AI182" s="311">
        <f>AI135</f>
        <v>441267</v>
      </c>
      <c r="AJ182" s="311">
        <f>AJ135</f>
        <v>455865</v>
      </c>
      <c r="AK182" s="311">
        <f>AK135</f>
        <v>464510</v>
      </c>
      <c r="AL182" s="311">
        <f>AL135</f>
        <v>470570</v>
      </c>
      <c r="AM182" s="311">
        <f>AM135</f>
        <v>476461</v>
      </c>
      <c r="AN182" s="311">
        <f>AN135</f>
        <v>487691</v>
      </c>
      <c r="AO182" s="311">
        <f>AO135</f>
        <v>470108</v>
      </c>
      <c r="AP182" s="311">
        <f>AP135</f>
        <v>503083</v>
      </c>
      <c r="AQ182" s="311">
        <f>AQ135</f>
        <v>512572</v>
      </c>
      <c r="AR182" s="311">
        <f>AR135</f>
        <v>516686</v>
      </c>
      <c r="AS182" s="311">
        <f>AS135</f>
        <v>578192</v>
      </c>
      <c r="AT182" s="311">
        <f>AT135</f>
        <v>589829</v>
      </c>
      <c r="AU182" s="311">
        <f>AU135</f>
        <v>599893</v>
      </c>
      <c r="AV182" s="311">
        <f>AV135</f>
        <v>618389</v>
      </c>
      <c r="AW182" s="311">
        <f>AW135</f>
        <v>614608</v>
      </c>
      <c r="AX182" s="311">
        <f>AX135</f>
        <v>636574</v>
      </c>
      <c r="AY182" s="311"/>
      <c r="AZ182" s="311"/>
      <c r="BA182" s="311"/>
    </row>
    <row r="183" spans="2:53" ht="13.5" customHeight="1">
      <c r="C183" s="35"/>
      <c r="D183" s="35"/>
      <c r="E183" s="35"/>
      <c r="F183" s="35"/>
      <c r="G183" s="45"/>
      <c r="H183" s="45"/>
      <c r="I183" s="45"/>
      <c r="J183" s="45"/>
      <c r="K183" s="45"/>
      <c r="L183" s="45"/>
      <c r="M183" s="45"/>
      <c r="N183" s="45"/>
      <c r="O183" s="45"/>
      <c r="P183" s="45"/>
      <c r="Q183" s="45"/>
      <c r="R183" s="45"/>
      <c r="S183" s="45"/>
      <c r="T183" s="45"/>
      <c r="U183" s="45"/>
      <c r="V183" s="45"/>
      <c r="W183" s="45"/>
      <c r="X183" s="45"/>
      <c r="Y183" s="45"/>
      <c r="Z183" s="45"/>
      <c r="AA183" s="45"/>
      <c r="AB183" s="45"/>
      <c r="AC183" s="45"/>
      <c r="AD183" s="45"/>
      <c r="AE183" s="45"/>
      <c r="AF183" s="45"/>
      <c r="AG183" s="45"/>
      <c r="AH183" s="45"/>
      <c r="AI183" s="45"/>
      <c r="AJ183" s="45"/>
      <c r="AK183" s="45"/>
      <c r="AL183" s="45"/>
      <c r="AM183" s="45"/>
      <c r="AN183" s="45"/>
      <c r="AO183" s="45"/>
      <c r="AP183" s="45"/>
      <c r="AQ183" s="45"/>
      <c r="AR183" s="45"/>
      <c r="AS183" s="45"/>
      <c r="AT183" s="45"/>
      <c r="AU183" s="45"/>
      <c r="AV183" s="45"/>
      <c r="AW183" s="45"/>
      <c r="AX183" s="45"/>
      <c r="AY183" s="45"/>
      <c r="AZ183" s="45"/>
      <c r="BA183" s="45"/>
    </row>
    <row r="184" spans="2:53" s="5" customFormat="1" ht="13.5" customHeight="1">
      <c r="B184" s="5" t="s">
        <v>287</v>
      </c>
      <c r="C184" s="36"/>
      <c r="D184" s="36">
        <f>+D123</f>
        <v>2.4507836301511694</v>
      </c>
      <c r="E184" s="36">
        <f>+E123</f>
        <v>2.1566769514401001</v>
      </c>
      <c r="F184" s="36">
        <f>+F123</f>
        <v>2.0270924910692178</v>
      </c>
      <c r="G184" s="36">
        <f>+G123</f>
        <v>1.7556303896818797</v>
      </c>
      <c r="H184" s="36">
        <f>+H123</f>
        <v>1.9164179693750694</v>
      </c>
      <c r="I184" s="36">
        <f>+I123</f>
        <v>1.762310116404725</v>
      </c>
      <c r="J184" s="36">
        <f>+J123</f>
        <v>1.8656002504764186</v>
      </c>
      <c r="K184" s="36">
        <f>+K123</f>
        <v>1.9393585884651308</v>
      </c>
      <c r="L184" s="36">
        <f>+L123</f>
        <v>1.8288139587952896</v>
      </c>
      <c r="M184" s="36">
        <f>+M123</f>
        <v>1.546663387987441</v>
      </c>
      <c r="N184" s="36">
        <f>+N123</f>
        <v>1.5076117725599802</v>
      </c>
      <c r="O184" s="36">
        <f>+O123</f>
        <v>1.4055552254445107</v>
      </c>
      <c r="P184" s="36">
        <f>+P123</f>
        <v>1.311920889008976</v>
      </c>
      <c r="Q184" s="36"/>
      <c r="R184" s="36"/>
      <c r="S184" s="36"/>
      <c r="T184" s="36"/>
      <c r="U184" s="36">
        <f>+U123</f>
        <v>1.9164179693750698</v>
      </c>
      <c r="V184" s="36">
        <f>+V123</f>
        <v>2.0122391002665343</v>
      </c>
      <c r="W184" s="36">
        <f>+W123</f>
        <v>2.0200773870596649</v>
      </c>
      <c r="X184" s="36">
        <f>+X123</f>
        <v>2.0087184866546366</v>
      </c>
      <c r="Y184" s="36">
        <f>+Y123</f>
        <v>1.762310116404725</v>
      </c>
      <c r="Z184" s="36">
        <f>+Z123</f>
        <v>1.8692036076374101</v>
      </c>
      <c r="AA184" s="36">
        <f>+AA123</f>
        <v>1.9608274673813801</v>
      </c>
      <c r="AB184" s="36">
        <f>+AB123</f>
        <v>2.0449184017172577</v>
      </c>
      <c r="AC184" s="36">
        <f>+AC123</f>
        <v>1.8656002504764186</v>
      </c>
      <c r="AD184" s="36">
        <f>+AD123</f>
        <v>2.1704237728767453</v>
      </c>
      <c r="AE184" s="36">
        <f>+AE123</f>
        <v>1.9466762351046012</v>
      </c>
      <c r="AF184" s="36">
        <f>+AF123</f>
        <v>1.9713899691652657</v>
      </c>
      <c r="AG184" s="36">
        <f>+AG123</f>
        <v>1.9393585884651308</v>
      </c>
      <c r="AH184" s="36">
        <f>+AH123</f>
        <v>1.5517388117552466</v>
      </c>
      <c r="AI184" s="36">
        <f>+AI123</f>
        <v>2.0471365817067668</v>
      </c>
      <c r="AJ184" s="36">
        <f>+AJ123</f>
        <v>2.0892822787448035</v>
      </c>
      <c r="AK184" s="36">
        <f>+AK123</f>
        <v>1.8288139587952896</v>
      </c>
      <c r="AL184" s="36">
        <f>+AL123</f>
        <v>1.7641630936948802</v>
      </c>
      <c r="AM184" s="36">
        <f>+AM123</f>
        <v>1.8824838738112883</v>
      </c>
      <c r="AN184" s="36">
        <f>+AN123</f>
        <v>1.6487534545439635</v>
      </c>
      <c r="AO184" s="36">
        <f>+AO123</f>
        <v>1.546663387987441</v>
      </c>
      <c r="AP184" s="36">
        <f>+AP123</f>
        <v>1.5341886169876537</v>
      </c>
      <c r="AQ184" s="36">
        <f>+AQ123</f>
        <v>1.6756214346472302</v>
      </c>
      <c r="AR184" s="36">
        <f>+AR123</f>
        <v>1.6679415912178772</v>
      </c>
      <c r="AS184" s="36">
        <f>+AS123</f>
        <v>1.5076117725599802</v>
      </c>
      <c r="AT184" s="36">
        <f>+AT123</f>
        <v>1.5036163769499296</v>
      </c>
      <c r="AU184" s="36">
        <f>+AU123</f>
        <v>1.5162399011156991</v>
      </c>
      <c r="AV184" s="36">
        <f>+AV123</f>
        <v>1.4644453588275343</v>
      </c>
      <c r="AW184" s="36">
        <f>+AW123</f>
        <v>1.4055552254445107</v>
      </c>
      <c r="AX184" s="36">
        <f>+AX123</f>
        <v>1.311920889008976</v>
      </c>
      <c r="AY184" s="36"/>
      <c r="AZ184" s="36"/>
      <c r="BA184" s="36"/>
    </row>
    <row r="185" spans="2:53" ht="12.75">
      <c r="B185" s="1" t="s">
        <v>288</v>
      </c>
      <c r="C185" s="37"/>
      <c r="D185" s="37">
        <f>+D124</f>
        <v>2.7252173776489261</v>
      </c>
      <c r="E185" s="37">
        <f>+E124</f>
        <v>2.5651194011915455</v>
      </c>
      <c r="F185" s="37">
        <f>+F124</f>
        <v>2.4813128040565524</v>
      </c>
      <c r="G185" s="37">
        <f>+G124</f>
        <v>2.1588436034105674</v>
      </c>
      <c r="H185" s="37">
        <f>+H124</f>
        <v>2.339660583941606</v>
      </c>
      <c r="I185" s="37">
        <f>+I124</f>
        <v>2.2139638488945708</v>
      </c>
      <c r="J185" s="37">
        <f>+J124</f>
        <v>2.7486314687389455</v>
      </c>
      <c r="K185" s="37">
        <f>+K124</f>
        <v>2.7054765654699118</v>
      </c>
      <c r="L185" s="37">
        <f>+L124</f>
        <v>2.4567487438375921</v>
      </c>
      <c r="M185" s="37">
        <f>+M124</f>
        <v>2.1926504441532582</v>
      </c>
      <c r="N185" s="37">
        <f>+N124</f>
        <v>1.9380898905553865</v>
      </c>
      <c r="O185" s="37">
        <f>+O124</f>
        <v>1.888041149806055</v>
      </c>
      <c r="P185" s="37">
        <f>+P124</f>
        <v>1.8235142151580177</v>
      </c>
      <c r="Q185" s="37"/>
      <c r="R185" s="37"/>
      <c r="S185" s="37"/>
      <c r="T185" s="37"/>
      <c r="U185" s="37">
        <f>+U124</f>
        <v>2.339660583941606</v>
      </c>
      <c r="V185" s="37">
        <f>+V124</f>
        <v>2.39550500498768</v>
      </c>
      <c r="W185" s="37">
        <f>+W124</f>
        <v>2.3852496066909183</v>
      </c>
      <c r="X185" s="37">
        <f>+X124</f>
        <v>2.3297214516158431</v>
      </c>
      <c r="Y185" s="37">
        <f>+Y124</f>
        <v>2.2139638488945708</v>
      </c>
      <c r="Z185" s="37">
        <f>+Z124</f>
        <v>2.9332974769371285</v>
      </c>
      <c r="AA185" s="37">
        <f>+AA124</f>
        <v>3.053824401378376</v>
      </c>
      <c r="AB185" s="37">
        <f>+AB124</f>
        <v>2.868719230088546</v>
      </c>
      <c r="AC185" s="37">
        <f>+AC124</f>
        <v>2.7486314687389455</v>
      </c>
      <c r="AD185" s="37">
        <f>+AD124</f>
        <v>2.7681165458625303</v>
      </c>
      <c r="AE185" s="37">
        <f>+AE124</f>
        <v>2.6003181294472837</v>
      </c>
      <c r="AF185" s="37">
        <f>+AF124</f>
        <v>2.6985589142198081</v>
      </c>
      <c r="AG185" s="37">
        <f>+AG124</f>
        <v>2.7054765654699118</v>
      </c>
      <c r="AH185" s="37">
        <f>+AH124</f>
        <v>2.4871133596534385</v>
      </c>
      <c r="AI185" s="37">
        <f>+AI124</f>
        <v>2.6400686205857222</v>
      </c>
      <c r="AJ185" s="37">
        <f>+AJ124</f>
        <v>2.6237327169227731</v>
      </c>
      <c r="AK185" s="37">
        <f>+AK124</f>
        <v>2.4567487438375921</v>
      </c>
      <c r="AL185" s="37">
        <f>+AL124</f>
        <v>2.3151285951080602</v>
      </c>
      <c r="AM185" s="37">
        <f>+AM124</f>
        <v>2.4050652729184554</v>
      </c>
      <c r="AN185" s="37">
        <f>+AN124</f>
        <v>2.1096517733564903</v>
      </c>
      <c r="AO185" s="37">
        <f>+AO124</f>
        <v>2.1926504441532582</v>
      </c>
      <c r="AP185" s="37">
        <f>+AP124</f>
        <v>2.1335392350765181</v>
      </c>
      <c r="AQ185" s="37">
        <f>+AQ124</f>
        <v>2.1290819026400194</v>
      </c>
      <c r="AR185" s="37">
        <f>+AR124</f>
        <v>2.0757042691305747</v>
      </c>
      <c r="AS185" s="37">
        <f>+AS124</f>
        <v>1.9380898905553865</v>
      </c>
      <c r="AT185" s="37">
        <f>+AT124</f>
        <v>1.8570715970221878</v>
      </c>
      <c r="AU185" s="37">
        <f>+AU124</f>
        <v>1.8616129759807167</v>
      </c>
      <c r="AV185" s="37">
        <f>+AV124</f>
        <v>1.9218075887507704</v>
      </c>
      <c r="AW185" s="37">
        <f>+AW124</f>
        <v>1.888041149806055</v>
      </c>
      <c r="AX185" s="37">
        <f>+AX124</f>
        <v>1.8235142151580177</v>
      </c>
      <c r="AY185" s="37"/>
      <c r="AZ185" s="37"/>
      <c r="BA185" s="37"/>
    </row>
    <row r="186" spans="2:53" ht="12.75">
      <c r="C186" s="49"/>
      <c r="D186" s="49"/>
      <c r="E186" s="49"/>
      <c r="F186" s="49"/>
      <c r="G186" s="49"/>
      <c r="H186" s="49"/>
      <c r="I186" s="49"/>
      <c r="J186" s="49"/>
      <c r="K186" s="49"/>
      <c r="L186" s="49"/>
      <c r="M186" s="49"/>
      <c r="N186" s="49"/>
      <c r="O186" s="49"/>
      <c r="P186" s="49"/>
      <c r="Q186" s="49"/>
      <c r="R186" s="49"/>
      <c r="S186" s="49"/>
      <c r="T186" s="49"/>
      <c r="U186" s="49"/>
      <c r="V186" s="49"/>
      <c r="W186" s="49"/>
      <c r="X186" s="49"/>
      <c r="Y186" s="49"/>
      <c r="Z186" s="49"/>
      <c r="AA186" s="49"/>
      <c r="AB186" s="49"/>
      <c r="AC186" s="49"/>
      <c r="AD186" s="49"/>
      <c r="AE186" s="49"/>
      <c r="AF186" s="49"/>
      <c r="AG186" s="49"/>
      <c r="AH186" s="49"/>
      <c r="AI186" s="49"/>
      <c r="AJ186" s="49"/>
      <c r="AK186" s="49"/>
      <c r="AL186" s="49"/>
      <c r="AM186" s="49"/>
      <c r="AN186" s="49"/>
      <c r="AO186" s="49"/>
      <c r="AP186" s="49"/>
      <c r="AQ186" s="49"/>
      <c r="AR186" s="49"/>
      <c r="AS186" s="49"/>
      <c r="AT186" s="49"/>
      <c r="AU186" s="49"/>
      <c r="AV186" s="49"/>
      <c r="AW186" s="49"/>
      <c r="AX186" s="49"/>
      <c r="AY186" s="49"/>
      <c r="AZ186" s="49"/>
      <c r="BA186" s="49"/>
    </row>
    <row r="187" spans="2:53" s="5" customFormat="1" ht="12.75">
      <c r="B187" s="5" t="s">
        <v>290</v>
      </c>
      <c r="C187" s="36"/>
      <c r="D187" s="36">
        <f>+D128</f>
        <v>2.7907638278920741</v>
      </c>
      <c r="E187" s="36">
        <f>+E128</f>
        <v>3.5164982419360995</v>
      </c>
      <c r="F187" s="36">
        <f>+F128</f>
        <v>3.6621135301592429</v>
      </c>
      <c r="G187" s="36">
        <f>+G128</f>
        <v>3.1849680568680361</v>
      </c>
      <c r="H187" s="36">
        <f>+H128</f>
        <v>4.9370246129344917</v>
      </c>
      <c r="I187" s="36">
        <f>+I128</f>
        <v>6.5908940578161763</v>
      </c>
      <c r="J187" s="36">
        <f>+J128</f>
        <v>5.9744149083632845</v>
      </c>
      <c r="K187" s="36">
        <f>+K128</f>
        <v>4.6560351810390603</v>
      </c>
      <c r="L187" s="36">
        <f>+L128</f>
        <v>6.2000263618179146</v>
      </c>
      <c r="M187" s="36">
        <f>+M128</f>
        <v>4.1418067419073124</v>
      </c>
      <c r="N187" s="36">
        <f>+N128</f>
        <v>4.3724786466004462</v>
      </c>
      <c r="O187" s="36">
        <f>+O128</f>
        <v>5.8773432600593205</v>
      </c>
      <c r="P187" s="36">
        <f>+P128</f>
        <v>6.7397077522088384</v>
      </c>
      <c r="Q187" s="36"/>
      <c r="R187" s="36"/>
      <c r="S187" s="36"/>
      <c r="T187" s="36"/>
      <c r="U187" s="36">
        <f>+U128</f>
        <v>4.9370246129344917</v>
      </c>
      <c r="V187" s="36">
        <f>+V128</f>
        <v>5.0141105439550557</v>
      </c>
      <c r="W187" s="36">
        <f>+W128</f>
        <v>4.8564017088670175</v>
      </c>
      <c r="X187" s="36">
        <f>+X128</f>
        <v>5.9367621727326414</v>
      </c>
      <c r="Y187" s="36">
        <f>+Y128</f>
        <v>6.5908940578161763</v>
      </c>
      <c r="Z187" s="36">
        <f>+Z128</f>
        <v>6.6319107471836078</v>
      </c>
      <c r="AA187" s="36">
        <f>+AA128</f>
        <v>6.5404678319194991</v>
      </c>
      <c r="AB187" s="36">
        <f>+AB128</f>
        <v>5.746091218497976</v>
      </c>
      <c r="AC187" s="36">
        <f>+AC128</f>
        <v>5.9744149083632845</v>
      </c>
      <c r="AD187" s="36">
        <f>+AD128</f>
        <v>5.9953140532302598</v>
      </c>
      <c r="AE187" s="36">
        <f>+AE128</f>
        <v>6.3264791323796938</v>
      </c>
      <c r="AF187" s="36">
        <f>+AF128</f>
        <v>5.8487595291870891</v>
      </c>
      <c r="AG187" s="36">
        <f>+AG128</f>
        <v>4.6560351810390603</v>
      </c>
      <c r="AH187" s="36">
        <f>+AH128</f>
        <v>4.5075281488479035</v>
      </c>
      <c r="AI187" s="36">
        <f>+AI128</f>
        <v>4.139984298163049</v>
      </c>
      <c r="AJ187" s="36">
        <f>+AJ128</f>
        <v>3.1601313685652532</v>
      </c>
      <c r="AK187" s="36">
        <f>+AK128</f>
        <v>6.2000263618179146</v>
      </c>
      <c r="AL187" s="36">
        <f>+AL128</f>
        <v>6.1280411295822965</v>
      </c>
      <c r="AM187" s="36">
        <f>+AM128</f>
        <v>5.6220815317356303</v>
      </c>
      <c r="AN187" s="36">
        <f>+AN128</f>
        <v>8.1650025786428806</v>
      </c>
      <c r="AO187" s="36">
        <f>+AO128</f>
        <v>4.1418067419073132</v>
      </c>
      <c r="AP187" s="36">
        <f>+AP128</f>
        <v>4.6498574915032247</v>
      </c>
      <c r="AQ187" s="36">
        <f>+AQ128</f>
        <v>4.647285037377066</v>
      </c>
      <c r="AR187" s="36">
        <f>+AR128</f>
        <v>4.4680238693980376</v>
      </c>
      <c r="AS187" s="36">
        <f>+AS128</f>
        <v>4.372478646600447</v>
      </c>
      <c r="AT187" s="36">
        <f>+AT128</f>
        <v>4.387569514133161</v>
      </c>
      <c r="AU187" s="36">
        <f>+AU128</f>
        <v>5.68126461156207</v>
      </c>
      <c r="AV187" s="36">
        <f>+AV128</f>
        <v>5.0893596554734044</v>
      </c>
      <c r="AW187" s="36">
        <f>+AW128</f>
        <v>5.8773432600593205</v>
      </c>
      <c r="AX187" s="36">
        <f>+AX128</f>
        <v>6.7397077522088384</v>
      </c>
      <c r="AY187" s="36"/>
      <c r="AZ187" s="36"/>
      <c r="BA187" s="36"/>
    </row>
    <row r="188" spans="2:53" ht="12.75">
      <c r="B188" s="1" t="s">
        <v>291</v>
      </c>
      <c r="C188" s="37"/>
      <c r="D188" s="37">
        <f>+D129</f>
        <v>4.6672228545272354</v>
      </c>
      <c r="E188" s="37">
        <f>+E129</f>
        <v>5.4556421639218726</v>
      </c>
      <c r="F188" s="37">
        <f>+F129</f>
        <v>6.2285548768543464</v>
      </c>
      <c r="G188" s="37">
        <f>+G129</f>
        <v>6.3628841780740579</v>
      </c>
      <c r="H188" s="37">
        <f>+H129</f>
        <v>7.8582907610625616</v>
      </c>
      <c r="I188" s="37">
        <f>+I129</f>
        <v>9.6528705785875886</v>
      </c>
      <c r="J188" s="37">
        <f>+J129</f>
        <v>7.9128646715983511</v>
      </c>
      <c r="K188" s="37">
        <f>+K129</f>
        <v>7.1573563385676966</v>
      </c>
      <c r="L188" s="37">
        <f>+L129</f>
        <v>10.363344650739601</v>
      </c>
      <c r="M188" s="37">
        <f>+M129</f>
        <v>7.0154841531401146</v>
      </c>
      <c r="N188" s="37">
        <f>+N129</f>
        <v>8.7821196001197439</v>
      </c>
      <c r="O188" s="37">
        <f>+O129</f>
        <v>10.720238930189199</v>
      </c>
      <c r="P188" s="37">
        <f>+P129</f>
        <v>11.618866838970948</v>
      </c>
      <c r="Q188" s="37"/>
      <c r="R188" s="37"/>
      <c r="S188" s="37"/>
      <c r="T188" s="37"/>
      <c r="U188" s="37">
        <f>+U129</f>
        <v>7.8582907610625616</v>
      </c>
      <c r="V188" s="37">
        <f>+V129</f>
        <v>7.9990777159020121</v>
      </c>
      <c r="W188" s="37">
        <f>+W129</f>
        <v>7.7776678569950874</v>
      </c>
      <c r="X188" s="37">
        <f>+X129</f>
        <v>9.119788756948175</v>
      </c>
      <c r="Y188" s="37">
        <f>+Y129</f>
        <v>9.6528705785875886</v>
      </c>
      <c r="Z188" s="37">
        <f>+Z129</f>
        <v>9.6621137614234591</v>
      </c>
      <c r="AA188" s="37">
        <f>+AA129</f>
        <v>9.5254040981484973</v>
      </c>
      <c r="AB188" s="37">
        <f>+AB129</f>
        <v>7.940745356023065</v>
      </c>
      <c r="AC188" s="37">
        <f>+AC129</f>
        <v>7.9128646715983511</v>
      </c>
      <c r="AD188" s="37">
        <f>+AD129</f>
        <v>7.476002698069462</v>
      </c>
      <c r="AE188" s="37">
        <f>+AE129</f>
        <v>7.5075118066990107</v>
      </c>
      <c r="AF188" s="37">
        <f>+AF129</f>
        <v>7.3628135101613248</v>
      </c>
      <c r="AG188" s="37">
        <f>+AG129</f>
        <v>7.1573563385676966</v>
      </c>
      <c r="AH188" s="37">
        <f>+AH129</f>
        <v>7.3552928893463072</v>
      </c>
      <c r="AI188" s="37">
        <f>+AI129</f>
        <v>7.1432868220347112</v>
      </c>
      <c r="AJ188" s="37">
        <f>+AJ129</f>
        <v>5.9789710826417313</v>
      </c>
      <c r="AK188" s="37">
        <f>+AK129</f>
        <v>10.363344650739601</v>
      </c>
      <c r="AL188" s="37">
        <f>+AL129</f>
        <v>10.726623729930434</v>
      </c>
      <c r="AM188" s="37">
        <f>+AM129</f>
        <v>10.996554484782754</v>
      </c>
      <c r="AN188" s="37">
        <f>+AN129</f>
        <v>13.95761294942368</v>
      </c>
      <c r="AO188" s="37">
        <f>+AO129</f>
        <v>7.0154841531401164</v>
      </c>
      <c r="AP188" s="37">
        <f>+AP129</f>
        <v>7.8264706872511294</v>
      </c>
      <c r="AQ188" s="37">
        <f>+AQ129</f>
        <v>8.1697179318544215</v>
      </c>
      <c r="AR188" s="37">
        <f>+AR129</f>
        <v>8.7190937971762672</v>
      </c>
      <c r="AS188" s="37">
        <f>+AS129</f>
        <v>8.7821196001197457</v>
      </c>
      <c r="AT188" s="37">
        <f>+AT129</f>
        <v>8.6887501405518179</v>
      </c>
      <c r="AU188" s="37">
        <f>+AU129</f>
        <v>9.8796779849451006</v>
      </c>
      <c r="AV188" s="37">
        <f>+AV129</f>
        <v>9.0952170411982571</v>
      </c>
      <c r="AW188" s="37">
        <f>+AW129</f>
        <v>10.720238930189199</v>
      </c>
      <c r="AX188" s="37">
        <f>+AX129</f>
        <v>11.618866838970948</v>
      </c>
      <c r="AY188" s="37"/>
      <c r="AZ188" s="37"/>
      <c r="BA188" s="37"/>
    </row>
    <row r="189" spans="2:53" ht="12.75">
      <c r="C189" s="37"/>
      <c r="D189" s="37"/>
      <c r="E189" s="37"/>
      <c r="F189" s="37"/>
      <c r="G189" s="37"/>
      <c r="H189" s="37"/>
      <c r="I189" s="37"/>
      <c r="J189" s="37"/>
      <c r="K189" s="37"/>
      <c r="L189" s="37"/>
      <c r="M189" s="37"/>
      <c r="N189" s="37"/>
      <c r="O189" s="37"/>
      <c r="P189" s="37"/>
      <c r="Q189" s="37"/>
      <c r="R189" s="37"/>
      <c r="S189" s="37"/>
      <c r="T189" s="37"/>
      <c r="U189" s="37"/>
      <c r="V189" s="37"/>
      <c r="W189" s="37"/>
      <c r="X189" s="37"/>
      <c r="Y189" s="37"/>
      <c r="Z189" s="37"/>
      <c r="AA189" s="37"/>
      <c r="AB189" s="37"/>
      <c r="AC189" s="37"/>
      <c r="AD189" s="37"/>
      <c r="AE189" s="37"/>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row>
    <row r="190" spans="2:53" s="5" customFormat="1" ht="12.75" customHeight="1">
      <c r="B190" s="5" t="s">
        <v>292</v>
      </c>
      <c r="C190" s="58"/>
      <c r="D190" s="58">
        <f>+D131</f>
        <v>0.77267855751590309</v>
      </c>
      <c r="E190" s="58">
        <f>+E131</f>
        <v>0.80090946339194913</v>
      </c>
      <c r="F190" s="58">
        <f>+F131</f>
        <v>0.74858027001674243</v>
      </c>
      <c r="G190" s="58">
        <f>+G131</f>
        <v>0.72944864263993225</v>
      </c>
      <c r="H190" s="58">
        <f>+H131</f>
        <v>0.72103280480251009</v>
      </c>
      <c r="I190" s="58">
        <f>+I131</f>
        <v>0.63454728331853183</v>
      </c>
      <c r="J190" s="58">
        <f>+J131</f>
        <v>0.78641604000687904</v>
      </c>
      <c r="K190" s="58">
        <f>+K131</f>
        <v>0.69940889750749835</v>
      </c>
      <c r="L190" s="58">
        <f>+L131</f>
        <v>0.96162533594024113</v>
      </c>
      <c r="M190" s="58">
        <f>+M131</f>
        <v>0.78947920449910614</v>
      </c>
      <c r="N190" s="58">
        <f>+N131</f>
        <v>0.85931745540813997</v>
      </c>
      <c r="O190" s="58">
        <f>+O131</f>
        <v>0.72196122844276689</v>
      </c>
      <c r="P190" s="58">
        <f>+P131</f>
        <v>0.5937520059003768</v>
      </c>
      <c r="Q190" s="265"/>
      <c r="R190" s="58">
        <f>+R131</f>
        <v>0.71672395060851413</v>
      </c>
      <c r="S190" s="58">
        <f>+S131</f>
        <v>0.80500585239253919</v>
      </c>
      <c r="T190" s="58">
        <f>+T131</f>
        <v>0.8285085863384879</v>
      </c>
      <c r="U190" s="58">
        <f>+U131</f>
        <v>0.72103280480251031</v>
      </c>
      <c r="V190" s="58">
        <f>+V131</f>
        <v>0.72868931216176225</v>
      </c>
      <c r="W190" s="58">
        <f>+W131</f>
        <v>0.7436660720043069</v>
      </c>
      <c r="X190" s="58">
        <f>+X131</f>
        <v>0.76567733964193363</v>
      </c>
      <c r="Y190" s="58">
        <f>+Y131</f>
        <v>0.63454728331853183</v>
      </c>
      <c r="Z190" s="58">
        <f>+Z131</f>
        <v>0.66002639317082412</v>
      </c>
      <c r="AA190" s="58">
        <f>+AA131</f>
        <v>0.79469263673904356</v>
      </c>
      <c r="AB190" s="58">
        <f>+AB131</f>
        <v>0.85512989923918215</v>
      </c>
      <c r="AC190" s="58">
        <f>+AC131</f>
        <v>0.78641604000687904</v>
      </c>
      <c r="AD190" s="58">
        <f>+AD131</f>
        <v>0.8494175428661368</v>
      </c>
      <c r="AE190" s="58">
        <f>+AE131</f>
        <v>0.80015835015656533</v>
      </c>
      <c r="AF190" s="58">
        <f>+AF131</f>
        <v>0.70585490160050257</v>
      </c>
      <c r="AG190" s="58">
        <f>+AG131</f>
        <v>0.93000137139080541</v>
      </c>
      <c r="AH190" s="58">
        <f>+AH131</f>
        <v>0.72607593419106908</v>
      </c>
      <c r="AI190" s="58">
        <f>+AI131</f>
        <v>0.85152852796994982</v>
      </c>
      <c r="AJ190" s="58">
        <f>+AJ131</f>
        <v>0.95027023706899627</v>
      </c>
      <c r="AK190" s="58">
        <f>+AK131</f>
        <v>0.96162533594024113</v>
      </c>
      <c r="AL190" s="58">
        <f>+AL131</f>
        <v>0.88866462223254694</v>
      </c>
      <c r="AM190" s="58">
        <f>+AM131</f>
        <v>1.0125441628379095</v>
      </c>
      <c r="AN190" s="58">
        <f>+AN131</f>
        <v>0.83513438652163141</v>
      </c>
      <c r="AO190" s="58">
        <f>+AO131</f>
        <v>0.78947920449910614</v>
      </c>
      <c r="AP190" s="58">
        <f>+AP131</f>
        <v>0.66779122538314239</v>
      </c>
      <c r="AQ190" s="58">
        <f>+AQ131</f>
        <v>0.81017245653566861</v>
      </c>
      <c r="AR190" s="58">
        <f>+AR131</f>
        <v>0.85834892526521567</v>
      </c>
      <c r="AS190" s="58">
        <f>+AS131</f>
        <v>0.85931745540813997</v>
      </c>
      <c r="AT190" s="58">
        <f>+AT131</f>
        <v>0.82656907335192464</v>
      </c>
      <c r="AU190" s="58">
        <f>+AU131</f>
        <v>0.82076194529774549</v>
      </c>
      <c r="AV190" s="58">
        <f>+AV131</f>
        <v>0.77160400779752492</v>
      </c>
      <c r="AW190" s="58">
        <f>+AW131</f>
        <v>0.72196122844276689</v>
      </c>
      <c r="AX190" s="58">
        <f>+AX131</f>
        <v>0.5937520059003768</v>
      </c>
      <c r="AY190" s="58"/>
      <c r="AZ190" s="58"/>
      <c r="BA190" s="58"/>
    </row>
    <row r="191" spans="2:53" s="5" customFormat="1" ht="13.5" customHeight="1">
      <c r="C191" s="28"/>
      <c r="D191" s="28"/>
      <c r="E191" s="28"/>
      <c r="F191" s="28"/>
      <c r="G191" s="28"/>
      <c r="H191" s="28"/>
      <c r="I191" s="28"/>
      <c r="J191" s="28"/>
      <c r="K191" s="28"/>
      <c r="L191" s="28"/>
      <c r="M191" s="28"/>
      <c r="N191" s="28"/>
      <c r="O191" s="28"/>
      <c r="P191" s="28"/>
      <c r="Q191" s="28"/>
      <c r="R191" s="28"/>
      <c r="S191" s="28"/>
      <c r="T191" s="28"/>
      <c r="U191" s="28"/>
      <c r="V191" s="28"/>
      <c r="W191" s="28"/>
      <c r="X191" s="28"/>
      <c r="Y191" s="28"/>
      <c r="Z191" s="28"/>
      <c r="AA191" s="28"/>
      <c r="AB191" s="28"/>
      <c r="AC191" s="28"/>
      <c r="AD191" s="28"/>
      <c r="AE191" s="28"/>
      <c r="AF191" s="28"/>
      <c r="AG191" s="28"/>
      <c r="AH191" s="28"/>
      <c r="AI191" s="28"/>
      <c r="AJ191" s="28"/>
      <c r="AK191" s="28"/>
      <c r="AL191" s="28"/>
      <c r="AM191" s="28"/>
      <c r="AN191" s="28"/>
      <c r="AO191" s="28"/>
      <c r="AP191" s="28"/>
      <c r="AQ191" s="28"/>
      <c r="AR191" s="28"/>
      <c r="AS191" s="28"/>
      <c r="AT191" s="28"/>
      <c r="AU191" s="28"/>
      <c r="AV191" s="28"/>
      <c r="AW191" s="28"/>
      <c r="AX191" s="28"/>
      <c r="AY191" s="28"/>
      <c r="AZ191" s="28"/>
      <c r="BA191" s="28"/>
    </row>
    <row r="192" spans="2:53" s="5" customFormat="1" ht="13.5" customHeight="1">
      <c r="B192" s="307" t="s">
        <v>301</v>
      </c>
      <c r="C192" s="245"/>
      <c r="D192" s="277">
        <f>1/570.33</f>
        <v>1.7533708554696402E-3</v>
      </c>
      <c r="E192" s="277">
        <f>1/654.66</f>
        <v>1.5275104634466746E-3</v>
      </c>
      <c r="F192" s="277">
        <f>1/676.69</f>
        <v>1.4777815543306387E-3</v>
      </c>
      <c r="G192" s="277">
        <f>1/649.12</f>
        <v>1.5405472023662804E-3</v>
      </c>
      <c r="H192" s="277">
        <f>1/641.22</f>
        <v>1.5595271513677053E-3</v>
      </c>
      <c r="I192" s="277">
        <f>AVERAGE(V192:Y192)</f>
        <v>1.4241073151643358E-3</v>
      </c>
      <c r="J192" s="277">
        <f>AVERAGE(Z192:AC192)</f>
        <v>1.2637354631938474E-3</v>
      </c>
      <c r="K192" s="277">
        <f>AVERAGE(AD192:AG192)</f>
        <v>1.2938859344024764E-3</v>
      </c>
      <c r="L192" s="277">
        <f>AVERAGE(AH192:AK192)</f>
        <v>1.143480833341615E-3</v>
      </c>
      <c r="M192" s="277">
        <f>AVERAGE(AL192:AO192)</f>
        <v>1.1783242552494363E-3</v>
      </c>
      <c r="N192" s="277">
        <f>AVERAGE(AP192:AS192)</f>
        <v>1.0594999999999999E-3</v>
      </c>
      <c r="O192" s="277">
        <f>AVERAGE(AT192:AW192)</f>
        <v>1.0514215840891493E-3</v>
      </c>
      <c r="P192" s="277">
        <f>AVERAGE(AU192:AX192)</f>
        <v>1.0741572141014439E-3</v>
      </c>
      <c r="Q192" s="322"/>
      <c r="R192" s="278">
        <f>1/601.98</f>
        <v>1.66118475696867E-3</v>
      </c>
      <c r="S192" s="278">
        <f>1/622.88</f>
        <v>1.6054456717184691E-3</v>
      </c>
      <c r="T192" s="278">
        <f>1/663.2</f>
        <v>1.5078407720144752E-3</v>
      </c>
      <c r="U192" s="278">
        <f>1/641.22</f>
        <v>1.5595271513677053E-3</v>
      </c>
      <c r="V192" s="278">
        <f>1/666.3</f>
        <v>1.5008254539996999E-3</v>
      </c>
      <c r="W192" s="278">
        <f>1/684.59</f>
        <v>1.4607283191399232E-3</v>
      </c>
      <c r="X192" s="278">
        <f>1/707.89</f>
        <v>1.4126488578733985E-3</v>
      </c>
      <c r="Y192" s="278">
        <f>1/756.3</f>
        <v>1.3222266296443212E-3</v>
      </c>
      <c r="Z192" s="278">
        <f>1/804.4</f>
        <v>1.2431626056688214E-3</v>
      </c>
      <c r="AA192" s="278">
        <f>1/822.4</f>
        <v>1.2159533073929961E-3</v>
      </c>
      <c r="AB192" s="278">
        <f>1/780.5</f>
        <v>1.2812299807815502E-3</v>
      </c>
      <c r="AC192" s="278">
        <f>1/760.69</f>
        <v>1.3145959589320221E-3</v>
      </c>
      <c r="AD192" s="278">
        <f>1/778.57</f>
        <v>1.2844060264330759E-3</v>
      </c>
      <c r="AE192" s="278">
        <f t="shared" ref="AE192:AH192" si="1070">AVERAGE(AD193:AE193)</f>
        <v>1.3825166065865599E-3</v>
      </c>
      <c r="AF192" s="278">
        <f t="shared" si="1070"/>
        <v>1.304454100247294E-3</v>
      </c>
      <c r="AG192" s="278">
        <f t="shared" si="1070"/>
        <v>1.2041670043429753E-3</v>
      </c>
      <c r="AH192" s="278">
        <f t="shared" si="1070"/>
        <v>1.2204373619290677E-3</v>
      </c>
      <c r="AI192" s="278">
        <f>AVERAGE(AH193:AI193)</f>
        <v>1.1792522724137638E-3</v>
      </c>
      <c r="AJ192" s="278">
        <f>AVERAGE(AI193:AJ193)</f>
        <v>1.0650723886727268E-3</v>
      </c>
      <c r="AK192" s="278">
        <f>AVERAGE(AJ193:AK193)</f>
        <v>1.1091613103509008E-3</v>
      </c>
      <c r="AL192" s="279">
        <f t="shared" ref="AL192" si="1071">AVERAGE(AK193:AL193)</f>
        <v>1.2191358866034485E-3</v>
      </c>
      <c r="AM192" s="279">
        <f t="shared" ref="AM192:AO192" si="1072">AVERAGE(AL193:AM193)</f>
        <v>1.2324886335360963E-3</v>
      </c>
      <c r="AN192" s="279">
        <f t="shared" si="1072"/>
        <v>1.1484897013412866E-3</v>
      </c>
      <c r="AO192" s="279">
        <f t="shared" si="1072"/>
        <v>1.1131827995169135E-3</v>
      </c>
      <c r="AP192" s="309">
        <v>1.057E-3</v>
      </c>
      <c r="AQ192" s="309">
        <v>1.07E-3</v>
      </c>
      <c r="AR192" s="309">
        <v>1.0740000000000001E-3</v>
      </c>
      <c r="AS192" s="309">
        <v>1.0369999999999999E-3</v>
      </c>
      <c r="AT192" s="309">
        <v>1.0369999999999999E-3</v>
      </c>
      <c r="AU192" s="309">
        <v>1.0560000000000001E-3</v>
      </c>
      <c r="AV192" s="309">
        <f>1/959.82</f>
        <v>1.0418620157946281E-3</v>
      </c>
      <c r="AW192" s="309">
        <f>1/933.86</f>
        <v>1.0708243205619686E-3</v>
      </c>
      <c r="AX192" s="309">
        <f>1/886.57</f>
        <v>1.1279425200491783E-3</v>
      </c>
      <c r="AY192" s="270"/>
      <c r="AZ192" s="270"/>
      <c r="BA192" s="270"/>
    </row>
    <row r="193" spans="2:53" s="5" customFormat="1" ht="13.5" customHeight="1">
      <c r="B193" s="307" t="s">
        <v>302</v>
      </c>
      <c r="C193" s="245"/>
      <c r="D193" s="277">
        <f>1/606.75</f>
        <v>1.6481252575195715E-3</v>
      </c>
      <c r="E193" s="277">
        <f>1/710.16</f>
        <v>1.4081333783936016E-3</v>
      </c>
      <c r="F193" s="277">
        <f>1/669.47</f>
        <v>1.4937189119751445E-3</v>
      </c>
      <c r="G193" s="277">
        <f>1/614.75</f>
        <v>1.6266775111834079E-3</v>
      </c>
      <c r="H193" s="277">
        <f>1/695.69</f>
        <v>1.4374218401874397E-3</v>
      </c>
      <c r="I193" s="277">
        <f>1/748.7</f>
        <v>1.3356484573260317E-3</v>
      </c>
      <c r="J193" s="277">
        <f>1/711.78</f>
        <v>1.4049284891399028E-3</v>
      </c>
      <c r="K193" s="277">
        <f>AG193</f>
        <v>1.1737158081913627E-3</v>
      </c>
      <c r="L193" s="277">
        <f>AK193</f>
        <v>1.1795234725171032E-3</v>
      </c>
      <c r="M193" s="277">
        <f>AO193</f>
        <v>1.1356151627336527E-3</v>
      </c>
      <c r="N193" s="277">
        <f>AS193</f>
        <v>1.005E-3</v>
      </c>
      <c r="O193" s="277">
        <f>AW193</f>
        <v>1.1103092211180814E-3</v>
      </c>
      <c r="P193" s="277">
        <f>AX193</f>
        <v>1.0795988210780874E-3</v>
      </c>
      <c r="Q193" s="322"/>
      <c r="R193" s="278">
        <f>1/603.9</f>
        <v>1.6559032952475575E-3</v>
      </c>
      <c r="S193" s="278">
        <f>1/654.35</f>
        <v>1.5282341254680217E-3</v>
      </c>
      <c r="T193" s="278">
        <f>1/656.85</f>
        <v>1.5224175991474462E-3</v>
      </c>
      <c r="U193" s="278">
        <f>H193</f>
        <v>1.4374218401874397E-3</v>
      </c>
      <c r="V193" s="278">
        <f>1/679.7</f>
        <v>1.4712373105781962E-3</v>
      </c>
      <c r="W193" s="278">
        <f>1/678.72</f>
        <v>1.4733616218764733E-3</v>
      </c>
      <c r="X193" s="278">
        <f>1/728.41</f>
        <v>1.3728532008072376E-3</v>
      </c>
      <c r="Y193" s="278">
        <f>1/748.7</f>
        <v>1.3356484573260317E-3</v>
      </c>
      <c r="Z193" s="278">
        <f>1/852</f>
        <v>1.1737089201877935E-3</v>
      </c>
      <c r="AA193" s="278">
        <f>1/821.2</f>
        <v>1.2177301509985387E-3</v>
      </c>
      <c r="AB193" s="278">
        <f>1/788.2</f>
        <v>1.2687135244861709E-3</v>
      </c>
      <c r="AC193" s="278">
        <f>1/711.78</f>
        <v>1.4049284891399028E-3</v>
      </c>
      <c r="AD193" s="278">
        <f>1/719.04</f>
        <v>1.3907432131731198E-3</v>
      </c>
      <c r="AE193" s="278">
        <v>1.37429E-3</v>
      </c>
      <c r="AF193" s="278">
        <f>1/809.967</f>
        <v>1.234618200494588E-3</v>
      </c>
      <c r="AG193" s="278">
        <f>1/851.995</f>
        <v>1.1737158081913627E-3</v>
      </c>
      <c r="AH193" s="278">
        <f>1/789.167</f>
        <v>1.2671589156667727E-3</v>
      </c>
      <c r="AI193" s="278">
        <f>1/916.3</f>
        <v>1.0913456291607553E-3</v>
      </c>
      <c r="AJ193" s="278">
        <f>1/962.65</f>
        <v>1.0387991481846984E-3</v>
      </c>
      <c r="AK193" s="278">
        <f>1/847.8</f>
        <v>1.1795234725171032E-3</v>
      </c>
      <c r="AL193" s="279">
        <f>1/794.44</f>
        <v>1.2587483006897939E-3</v>
      </c>
      <c r="AM193" s="279">
        <f>1/829.03</f>
        <v>1.2062289663823987E-3</v>
      </c>
      <c r="AN193" s="279">
        <f>1/916.8</f>
        <v>1.0907504363001745E-3</v>
      </c>
      <c r="AO193" s="279">
        <f>1/880.58</f>
        <v>1.1356151627336527E-3</v>
      </c>
      <c r="AP193" s="309">
        <v>1.0200000000000001E-3</v>
      </c>
      <c r="AQ193" s="309">
        <v>1.062E-3</v>
      </c>
      <c r="AR193" s="309">
        <v>1.111E-3</v>
      </c>
      <c r="AS193" s="309">
        <v>1.005E-3</v>
      </c>
      <c r="AT193" s="309">
        <v>1.0510000000000001E-3</v>
      </c>
      <c r="AU193" s="309">
        <v>1.0740000000000001E-3</v>
      </c>
      <c r="AV193" s="309">
        <f>1/961.93</f>
        <v>1.0395766843741229E-3</v>
      </c>
      <c r="AW193" s="309">
        <f>1/900.65</f>
        <v>1.1103092211180814E-3</v>
      </c>
      <c r="AX193" s="309">
        <f>1/926.27</f>
        <v>1.0795988210780874E-3</v>
      </c>
      <c r="AY193" s="19"/>
      <c r="AZ193" s="19"/>
      <c r="BA193" s="19"/>
    </row>
    <row r="194" spans="2:53" s="5" customFormat="1" ht="13.5" customHeight="1">
      <c r="B194" s="289" t="s">
        <v>303</v>
      </c>
      <c r="C194" s="308"/>
      <c r="D194" s="310">
        <f>1/D193</f>
        <v>606.75</v>
      </c>
      <c r="E194" s="310">
        <f t="shared" ref="E194:AX194" si="1073">1/E193</f>
        <v>710.16</v>
      </c>
      <c r="F194" s="310">
        <f t="shared" si="1073"/>
        <v>669.47</v>
      </c>
      <c r="G194" s="310">
        <f t="shared" si="1073"/>
        <v>614.75</v>
      </c>
      <c r="H194" s="310">
        <f t="shared" si="1073"/>
        <v>695.69</v>
      </c>
      <c r="I194" s="310">
        <f t="shared" si="1073"/>
        <v>748.7</v>
      </c>
      <c r="J194" s="310">
        <f t="shared" si="1073"/>
        <v>711.78</v>
      </c>
      <c r="K194" s="310">
        <f t="shared" si="1073"/>
        <v>851.995</v>
      </c>
      <c r="L194" s="310">
        <f t="shared" si="1073"/>
        <v>847.8</v>
      </c>
      <c r="M194" s="310">
        <f t="shared" si="1073"/>
        <v>880.58</v>
      </c>
      <c r="N194" s="310">
        <f t="shared" si="1073"/>
        <v>995.02487562189049</v>
      </c>
      <c r="O194" s="310">
        <f t="shared" si="1073"/>
        <v>900.65</v>
      </c>
      <c r="P194" s="310">
        <f t="shared" si="1073"/>
        <v>926.27</v>
      </c>
      <c r="Q194" s="322"/>
      <c r="R194" s="310">
        <f t="shared" si="1073"/>
        <v>603.9</v>
      </c>
      <c r="S194" s="310">
        <f t="shared" si="1073"/>
        <v>654.35</v>
      </c>
      <c r="T194" s="310">
        <f t="shared" si="1073"/>
        <v>656.85</v>
      </c>
      <c r="U194" s="310">
        <f t="shared" si="1073"/>
        <v>695.69</v>
      </c>
      <c r="V194" s="310">
        <f t="shared" si="1073"/>
        <v>679.7</v>
      </c>
      <c r="W194" s="310">
        <f t="shared" si="1073"/>
        <v>678.72</v>
      </c>
      <c r="X194" s="310">
        <f t="shared" si="1073"/>
        <v>728.41</v>
      </c>
      <c r="Y194" s="310">
        <f t="shared" si="1073"/>
        <v>748.7</v>
      </c>
      <c r="Z194" s="310">
        <f t="shared" si="1073"/>
        <v>852</v>
      </c>
      <c r="AA194" s="310">
        <f t="shared" si="1073"/>
        <v>821.19999999999993</v>
      </c>
      <c r="AB194" s="310">
        <f t="shared" si="1073"/>
        <v>788.2</v>
      </c>
      <c r="AC194" s="310">
        <f t="shared" si="1073"/>
        <v>711.78</v>
      </c>
      <c r="AD194" s="310">
        <f t="shared" si="1073"/>
        <v>719.04</v>
      </c>
      <c r="AE194" s="310">
        <f t="shared" si="1073"/>
        <v>727.64845847674076</v>
      </c>
      <c r="AF194" s="310">
        <f t="shared" si="1073"/>
        <v>809.96699999999998</v>
      </c>
      <c r="AG194" s="310">
        <f t="shared" si="1073"/>
        <v>851.995</v>
      </c>
      <c r="AH194" s="310">
        <f t="shared" si="1073"/>
        <v>789.16700000000003</v>
      </c>
      <c r="AI194" s="310">
        <f t="shared" si="1073"/>
        <v>916.3</v>
      </c>
      <c r="AJ194" s="310">
        <f t="shared" si="1073"/>
        <v>962.65000000000009</v>
      </c>
      <c r="AK194" s="310">
        <f t="shared" si="1073"/>
        <v>847.8</v>
      </c>
      <c r="AL194" s="310">
        <f t="shared" si="1073"/>
        <v>794.44000000000017</v>
      </c>
      <c r="AM194" s="310">
        <f t="shared" si="1073"/>
        <v>829.03</v>
      </c>
      <c r="AN194" s="310">
        <f t="shared" si="1073"/>
        <v>916.8</v>
      </c>
      <c r="AO194" s="310">
        <f t="shared" si="1073"/>
        <v>880.58</v>
      </c>
      <c r="AP194" s="310">
        <f t="shared" si="1073"/>
        <v>980.39215686274508</v>
      </c>
      <c r="AQ194" s="310">
        <f t="shared" si="1073"/>
        <v>941.61958568738225</v>
      </c>
      <c r="AR194" s="310">
        <f t="shared" si="1073"/>
        <v>900.09000900090007</v>
      </c>
      <c r="AS194" s="310">
        <f t="shared" si="1073"/>
        <v>995.02487562189049</v>
      </c>
      <c r="AT194" s="310">
        <f t="shared" si="1073"/>
        <v>951.4747859181731</v>
      </c>
      <c r="AU194" s="310">
        <f t="shared" si="1073"/>
        <v>931.09869646182483</v>
      </c>
      <c r="AV194" s="310">
        <f t="shared" si="1073"/>
        <v>961.93</v>
      </c>
      <c r="AW194" s="310">
        <f t="shared" si="1073"/>
        <v>900.65</v>
      </c>
      <c r="AX194" s="310">
        <f t="shared" si="1073"/>
        <v>926.27</v>
      </c>
      <c r="AY194" s="28"/>
      <c r="AZ194" s="28"/>
      <c r="BA194" s="28"/>
    </row>
    <row r="195" spans="2:53" s="5" customFormat="1" ht="13.5" customHeight="1">
      <c r="B195" s="1"/>
      <c r="C195" s="28"/>
      <c r="D195" s="28"/>
      <c r="E195" s="28"/>
      <c r="F195" s="28"/>
      <c r="G195" s="28"/>
      <c r="H195" s="28"/>
      <c r="I195" s="28"/>
      <c r="J195" s="28"/>
      <c r="K195" s="28"/>
      <c r="L195" s="28"/>
      <c r="M195" s="28"/>
      <c r="N195" s="28"/>
      <c r="O195" s="28"/>
      <c r="P195" s="28"/>
      <c r="Q195" s="322"/>
      <c r="R195" s="28"/>
      <c r="S195" s="28"/>
      <c r="T195" s="28"/>
      <c r="U195" s="28"/>
      <c r="V195" s="28"/>
      <c r="W195" s="28"/>
      <c r="X195" s="28"/>
      <c r="Y195" s="28"/>
      <c r="Z195" s="28"/>
      <c r="AA195" s="28"/>
      <c r="AB195" s="28"/>
      <c r="AC195" s="28"/>
      <c r="AD195" s="28"/>
      <c r="AE195" s="28"/>
      <c r="AF195" s="28"/>
      <c r="AG195" s="28"/>
      <c r="AH195" s="28"/>
      <c r="AI195" s="28"/>
      <c r="AJ195" s="28"/>
      <c r="AK195" s="28"/>
      <c r="AL195" s="28"/>
      <c r="AM195" s="28"/>
      <c r="AN195" s="28"/>
      <c r="AO195" s="28"/>
      <c r="AP195" s="28"/>
      <c r="AQ195" s="28"/>
      <c r="AR195" s="28"/>
      <c r="AS195" s="28"/>
      <c r="AT195" s="28"/>
      <c r="AU195" s="28"/>
      <c r="AV195" s="28"/>
      <c r="AW195" s="28"/>
      <c r="AX195" s="28"/>
      <c r="AY195" s="28"/>
      <c r="AZ195" s="28"/>
      <c r="BA195" s="28"/>
    </row>
    <row r="196" spans="2:53" ht="13.5" customHeight="1">
      <c r="B196" s="15" t="s">
        <v>304</v>
      </c>
      <c r="C196" s="60"/>
      <c r="D196" s="60">
        <f>D3</f>
        <v>42004</v>
      </c>
      <c r="E196" s="60">
        <f>E3</f>
        <v>42369</v>
      </c>
      <c r="F196" s="60">
        <f>F3</f>
        <v>42735</v>
      </c>
      <c r="G196" s="60">
        <f>G3</f>
        <v>43100</v>
      </c>
      <c r="H196" s="60">
        <f>H3</f>
        <v>43465</v>
      </c>
      <c r="I196" s="60">
        <f>I3</f>
        <v>43830</v>
      </c>
      <c r="J196" s="60">
        <f>J3</f>
        <v>44196</v>
      </c>
      <c r="K196" s="60">
        <f>K3</f>
        <v>44561</v>
      </c>
      <c r="L196" s="60">
        <f>L3</f>
        <v>44926</v>
      </c>
      <c r="M196" s="60">
        <f>M3</f>
        <v>45291</v>
      </c>
      <c r="N196" s="60">
        <f>N3</f>
        <v>45657</v>
      </c>
      <c r="O196" s="60">
        <f>O3</f>
        <v>46022</v>
      </c>
      <c r="P196" s="84">
        <f>P3</f>
        <v>46111</v>
      </c>
      <c r="Q196" s="268"/>
      <c r="R196" s="60">
        <f>R3</f>
        <v>43189</v>
      </c>
      <c r="S196" s="60">
        <f>S3</f>
        <v>43281</v>
      </c>
      <c r="T196" s="60">
        <f>T3</f>
        <v>43373</v>
      </c>
      <c r="U196" s="60">
        <f>U3</f>
        <v>43464</v>
      </c>
      <c r="V196" s="60">
        <f>V3</f>
        <v>43554</v>
      </c>
      <c r="W196" s="60">
        <f>W3</f>
        <v>43646</v>
      </c>
      <c r="X196" s="60">
        <f>X3</f>
        <v>43738</v>
      </c>
      <c r="Y196" s="60">
        <f>Y3</f>
        <v>43829</v>
      </c>
      <c r="Z196" s="60">
        <f>Z3</f>
        <v>43920</v>
      </c>
      <c r="AA196" s="60">
        <f>AA3</f>
        <v>44012</v>
      </c>
      <c r="AB196" s="60">
        <f>AB3</f>
        <v>44104</v>
      </c>
      <c r="AC196" s="60">
        <f>AC3</f>
        <v>44195</v>
      </c>
      <c r="AD196" s="60">
        <f>AD3</f>
        <v>44285</v>
      </c>
      <c r="AE196" s="60">
        <f>AE3</f>
        <v>44377</v>
      </c>
      <c r="AF196" s="60">
        <f>AF3</f>
        <v>44469</v>
      </c>
      <c r="AG196" s="60">
        <f>AG3</f>
        <v>44560</v>
      </c>
      <c r="AH196" s="60">
        <f>AH3</f>
        <v>44650</v>
      </c>
      <c r="AI196" s="60">
        <f>AI3</f>
        <v>44742</v>
      </c>
      <c r="AJ196" s="60">
        <f>AJ3</f>
        <v>44834</v>
      </c>
      <c r="AK196" s="60">
        <f>AK3</f>
        <v>44925</v>
      </c>
      <c r="AL196" s="60">
        <f>AL3</f>
        <v>45015</v>
      </c>
      <c r="AM196" s="60">
        <f>AM3</f>
        <v>45107</v>
      </c>
      <c r="AN196" s="60">
        <f>AN3</f>
        <v>45199</v>
      </c>
      <c r="AO196" s="60">
        <f>AO3</f>
        <v>45290</v>
      </c>
      <c r="AP196" s="60">
        <f>AP3</f>
        <v>45381</v>
      </c>
      <c r="AQ196" s="60">
        <f>AQ3</f>
        <v>45473</v>
      </c>
      <c r="AR196" s="60">
        <f>AR3</f>
        <v>45565</v>
      </c>
      <c r="AS196" s="60">
        <f>AS3</f>
        <v>45656</v>
      </c>
      <c r="AT196" s="60">
        <f>AT3</f>
        <v>45746</v>
      </c>
      <c r="AU196" s="60">
        <f>AU3</f>
        <v>45838</v>
      </c>
      <c r="AV196" s="60">
        <f>AV3</f>
        <v>45930</v>
      </c>
      <c r="AW196" s="60">
        <f>AW3</f>
        <v>46021</v>
      </c>
      <c r="AX196" s="60">
        <f>AX3</f>
        <v>46111</v>
      </c>
      <c r="AY196" s="268"/>
      <c r="AZ196" s="268"/>
      <c r="BA196" s="268"/>
    </row>
    <row r="197" spans="2:53" ht="13.5" customHeight="1">
      <c r="B197" s="1" t="s">
        <v>305</v>
      </c>
      <c r="C197" s="20"/>
      <c r="D197" s="20">
        <f>D134*D$192</f>
        <v>3151.1578857854224</v>
      </c>
      <c r="E197" s="20">
        <f>E134*E$192</f>
        <v>2867.739370054685</v>
      </c>
      <c r="F197" s="20">
        <f>F134*F$192</f>
        <v>2626.6965966690805</v>
      </c>
      <c r="G197" s="20">
        <f>G134*G$192</f>
        <v>2848.2847840152817</v>
      </c>
      <c r="H197" s="20">
        <f>H134*H$192</f>
        <v>2608.9576104924986</v>
      </c>
      <c r="I197" s="20">
        <f>I134*I$192</f>
        <v>2533.5226801325739</v>
      </c>
      <c r="J197" s="20">
        <f>J134*J$192</f>
        <v>2146.1782256736151</v>
      </c>
      <c r="K197" s="20">
        <f>K134*K$192</f>
        <v>2868.1991224142294</v>
      </c>
      <c r="L197" s="20">
        <f>L134*L$192</f>
        <v>3038.0895212019327</v>
      </c>
      <c r="M197" s="20">
        <f>M134*M$192</f>
        <v>3085.3678892154298</v>
      </c>
      <c r="N197" s="20">
        <f>N134*N$192</f>
        <v>3416.0748687974997</v>
      </c>
      <c r="O197" s="20">
        <f>O134*O$192</f>
        <v>3516.8326089765974</v>
      </c>
      <c r="P197" s="20">
        <f>P134*P$192</f>
        <v>3631.6395277380625</v>
      </c>
      <c r="Q197" s="20"/>
      <c r="R197" s="20"/>
      <c r="S197" s="20"/>
      <c r="T197" s="20"/>
      <c r="U197" s="20">
        <f>U134*AVERAGE(R$192:U$192)</f>
        <v>2649.0614785041826</v>
      </c>
      <c r="V197" s="20">
        <f>V134*AVERAGE(S$192:V$192)</f>
        <v>2531.7277801355608</v>
      </c>
      <c r="W197" s="20">
        <f>W134*AVERAGE(T$192:W$192)</f>
        <v>2496.847848353083</v>
      </c>
      <c r="X197" s="20">
        <f>X134*AVERAGE(U$192:X$192)</f>
        <v>2548.3754684273867</v>
      </c>
      <c r="Y197" s="20">
        <f>Y134*AVERAGE(V$192:Y$192)</f>
        <v>2533.5226801325739</v>
      </c>
      <c r="Z197" s="20">
        <f>Z134*AVERAGE(W$192:Z$192)</f>
        <v>2496.9062782168803</v>
      </c>
      <c r="AA197" s="20">
        <f>AA134*AVERAGE(X$192:AA$192)</f>
        <v>2296.9934994197542</v>
      </c>
      <c r="AB197" s="20">
        <f>AB134*AVERAGE(Y$192:AB$192)</f>
        <v>2223.2591700007747</v>
      </c>
      <c r="AC197" s="20">
        <f>AC134*AVERAGE(Z$192:AC$192)</f>
        <v>2146.1782256736151</v>
      </c>
      <c r="AD197" s="20">
        <f>AD134*AVERAGE(AA$192:AD$192)</f>
        <v>2169.2853729355957</v>
      </c>
      <c r="AE197" s="20">
        <f>AE134*AVERAGE(AB$192:AE$192)</f>
        <v>2410.3041490104692</v>
      </c>
      <c r="AF197" s="20">
        <f>AF134*AVERAGE(AC$192:AF$192)</f>
        <v>2611.1939386673562</v>
      </c>
      <c r="AG197" s="20">
        <f>AG134*AVERAGE(AD$192:AG$192)</f>
        <v>2868.1991224142289</v>
      </c>
      <c r="AH197" s="20">
        <f>AH134*AVERAGE(AE$192:AH$192)</f>
        <v>2979.9882423946547</v>
      </c>
      <c r="AI197" s="20">
        <f>AI134*AVERAGE(AF$192:AI$192)</f>
        <v>3045.6883000557991</v>
      </c>
      <c r="AJ197" s="20">
        <f>AJ134*AVERAGE(AG$192:AJ$192)</f>
        <v>3031.9345541046378</v>
      </c>
      <c r="AK197" s="20">
        <f>AK134*AVERAGE(AH$192:AK$192)</f>
        <v>3038.0895212019327</v>
      </c>
      <c r="AL197" s="20">
        <f>AL134*AVERAGE(AI$192:AL$192)</f>
        <v>3125.9658778835255</v>
      </c>
      <c r="AM197" s="20">
        <f>AM134*AVERAGE(AJ$192:AM$192)</f>
        <v>3188.625147035686</v>
      </c>
      <c r="AN197" s="20">
        <f>AN134*AVERAGE(AK$192:AN$192)</f>
        <v>3265.9444800428964</v>
      </c>
      <c r="AO197" s="20">
        <f>AO134*AVERAGE(AL$192:AO$192)</f>
        <v>3085.3678892154303</v>
      </c>
      <c r="AP197" s="20">
        <f>AP134*AVERAGE(AM$192:AP$192)</f>
        <v>3096.1761713753576</v>
      </c>
      <c r="AQ197" s="20">
        <f>AQ134*AVERAGE(AN$192:AQ$192)</f>
        <v>3049.0120991424787</v>
      </c>
      <c r="AR197" s="20">
        <f>AR134*AVERAGE(AO$192:AR$192)</f>
        <v>3058.1693084935837</v>
      </c>
      <c r="AS197" s="20">
        <f>AS134*AVERAGE(AP$192:AS$192)</f>
        <v>3416.0748687974997</v>
      </c>
      <c r="AT197" s="20">
        <f>AT134*AVERAGE(AQ$192:AT$192)</f>
        <v>3488.0483494439995</v>
      </c>
      <c r="AU197" s="20">
        <f>AU134*AVERAGE(AR$192:AU$192)</f>
        <v>3545.7962553829989</v>
      </c>
      <c r="AV197" s="20">
        <f>AV134*AVERAGE(AS$192:AV$192)</f>
        <v>3595.4059893136296</v>
      </c>
      <c r="AW197" s="20">
        <f>AW134*AVERAGE(AT$192:AW$192)</f>
        <v>3516.8326089765974</v>
      </c>
      <c r="AX197" s="20">
        <f>AX134*AVERAGE(AU$192:AX$192)</f>
        <v>3631.6395277380625</v>
      </c>
      <c r="AY197" s="20"/>
      <c r="AZ197" s="20"/>
      <c r="BA197" s="20"/>
    </row>
    <row r="198" spans="2:53" ht="13.5" customHeight="1">
      <c r="B198" s="1" t="s">
        <v>24</v>
      </c>
      <c r="C198" s="20"/>
      <c r="D198" s="20">
        <f>D135*D$192</f>
        <v>508.02167166377353</v>
      </c>
      <c r="E198" s="20">
        <f>E135*E$192</f>
        <v>483.04157883481503</v>
      </c>
      <c r="F198" s="20">
        <f>F135*F$192</f>
        <v>459.59449674149164</v>
      </c>
      <c r="G198" s="20">
        <f>G135*G$192</f>
        <v>520.53703475474481</v>
      </c>
      <c r="H198" s="20">
        <f>H135*H$192</f>
        <v>506.79018121705496</v>
      </c>
      <c r="I198" s="20">
        <f>I135*I$192</f>
        <v>496.82689493406667</v>
      </c>
      <c r="J198" s="20">
        <f>J135*J$192</f>
        <v>442.97971938426571</v>
      </c>
      <c r="K198" s="20">
        <f>K135*K$192</f>
        <v>513.94831366181086</v>
      </c>
      <c r="L198" s="20">
        <f>L135*L$192</f>
        <v>531.1582818955136</v>
      </c>
      <c r="M198" s="20">
        <f>M135*M$192</f>
        <v>553.93965898680199</v>
      </c>
      <c r="N198" s="20">
        <f>N135*N$192</f>
        <v>612.59442399999989</v>
      </c>
      <c r="O198" s="20">
        <f>O135*O$192</f>
        <v>646.21211695386387</v>
      </c>
      <c r="P198" s="20">
        <f>P135*P$192</f>
        <v>683.7805544094125</v>
      </c>
      <c r="Q198" s="20"/>
      <c r="R198" s="20"/>
      <c r="S198" s="20"/>
      <c r="T198" s="20"/>
      <c r="U198" s="20">
        <f>U135*AVERAGE(R$192:U$192)</f>
        <v>514.58036012046352</v>
      </c>
      <c r="V198" s="20">
        <f>V135*AVERAGE(S$192:V$192)</f>
        <v>490.4693844850641</v>
      </c>
      <c r="W198" s="20">
        <f>W135*AVERAGE(T$192:W$192)</f>
        <v>484.77052131307693</v>
      </c>
      <c r="X198" s="20">
        <f>X135*AVERAGE(U$192:X$192)</f>
        <v>488.31332557613069</v>
      </c>
      <c r="Y198" s="20">
        <f>Y135*AVERAGE(V$192:Y$192)</f>
        <v>496.82689493406667</v>
      </c>
      <c r="Z198" s="20">
        <f>Z135*AVERAGE(W$192:Z$192)</f>
        <v>488.30196633989152</v>
      </c>
      <c r="AA198" s="20">
        <f>AA135*AVERAGE(X$192:AA$192)</f>
        <v>440.87897505969261</v>
      </c>
      <c r="AB198" s="20">
        <f>AB135*AVERAGE(Y$192:AB$192)</f>
        <v>443.387695465837</v>
      </c>
      <c r="AC198" s="20">
        <f>AC135*AVERAGE(Z$192:AC$192)</f>
        <v>442.97971938426571</v>
      </c>
      <c r="AD198" s="20">
        <f>AD135*AVERAGE(AA$192:AD$192)</f>
        <v>444.00259386450466</v>
      </c>
      <c r="AE198" s="20">
        <f>AE135*AVERAGE(AB$192:AE$192)</f>
        <v>493.31426296229267</v>
      </c>
      <c r="AF198" s="20">
        <f>AF135*AVERAGE(AC$192:AF$192)</f>
        <v>505.28745114047086</v>
      </c>
      <c r="AG198" s="20">
        <f>AG135*AVERAGE(AD$192:AG$192)</f>
        <v>513.94831366181086</v>
      </c>
      <c r="AH198" s="20">
        <f>AH135*AVERAGE(AE$192:AH$192)</f>
        <v>532.45360695891713</v>
      </c>
      <c r="AI198" s="20">
        <f>AI135*AVERAGE(AF$192:AI$192)</f>
        <v>541.46888870919815</v>
      </c>
      <c r="AJ198" s="20">
        <f>AJ135*AVERAGE(AG$192:AJ$192)</f>
        <v>532.10033276419949</v>
      </c>
      <c r="AK198" s="20">
        <f>AK135*AVERAGE(AH$192:AK$192)</f>
        <v>531.1582818955136</v>
      </c>
      <c r="AL198" s="20">
        <f>AL135*AVERAGE(AI$192:AL$192)</f>
        <v>537.93466693456958</v>
      </c>
      <c r="AM198" s="20">
        <f>AM135*AVERAGE(AJ$192:AM$192)</f>
        <v>551.01025824017597</v>
      </c>
      <c r="AN198" s="20">
        <f>AN135*AVERAGE(AK$192:AN$192)</f>
        <v>574.16782334863728</v>
      </c>
      <c r="AO198" s="20">
        <f>AO135*AVERAGE(AL$192:AO$192)</f>
        <v>553.93965898680199</v>
      </c>
      <c r="AP198" s="20">
        <f>AP135*AVERAGE(AM$192:AP$192)</f>
        <v>572.40294924362149</v>
      </c>
      <c r="AQ198" s="20">
        <f>AQ135*AVERAGE(AN$192:AQ$192)</f>
        <v>562.37766027747239</v>
      </c>
      <c r="AR198" s="20">
        <f>AR135*AVERAGE(AO$192:AR$192)</f>
        <v>557.26946348779893</v>
      </c>
      <c r="AS198" s="20">
        <f>AS135*AVERAGE(AP$192:AS$192)</f>
        <v>612.59442399999989</v>
      </c>
      <c r="AT198" s="20">
        <f>AT135*AVERAGE(AQ$192:AT$192)</f>
        <v>621.97468049999998</v>
      </c>
      <c r="AU198" s="20">
        <f>AU135*AVERAGE(AR$192:AU$192)</f>
        <v>630.48754299999996</v>
      </c>
      <c r="AV198" s="20">
        <f>AV135*AVERAGE(AS$192:AV$192)</f>
        <v>644.95839502130605</v>
      </c>
      <c r="AW198" s="20">
        <f>AW135*AVERAGE(AT$192:AW$192)</f>
        <v>646.21211695386387</v>
      </c>
      <c r="AX198" s="20">
        <f>AX135*AVERAGE(AU$192:AX$192)</f>
        <v>683.7805544094125</v>
      </c>
      <c r="AY198" s="20"/>
      <c r="AZ198" s="20"/>
      <c r="BA198" s="20"/>
    </row>
    <row r="199" spans="2:53" ht="13.5" customHeight="1">
      <c r="B199" s="1" t="s">
        <v>294</v>
      </c>
      <c r="C199" s="94"/>
      <c r="D199" s="94">
        <f t="shared" ref="D199:H199" si="1074">D198/D197</f>
        <v>0.16121746039936991</v>
      </c>
      <c r="E199" s="94">
        <f t="shared" si="1074"/>
        <v>0.16843984633987288</v>
      </c>
      <c r="F199" s="94">
        <f t="shared" si="1074"/>
        <v>0.17497053040853838</v>
      </c>
      <c r="G199" s="94">
        <f t="shared" si="1074"/>
        <v>0.18275456080656857</v>
      </c>
      <c r="H199" s="94">
        <f t="shared" si="1074"/>
        <v>0.19425006338887471</v>
      </c>
      <c r="I199" s="94">
        <f t="shared" ref="I199:J199" si="1075">I198/I197</f>
        <v>0.1961012225507564</v>
      </c>
      <c r="J199" s="94">
        <f t="shared" si="1075"/>
        <v>0.20640397618666029</v>
      </c>
      <c r="K199" s="94">
        <f t="shared" ref="K199:L199" si="1076">K198/K197</f>
        <v>0.17918850530475328</v>
      </c>
      <c r="L199" s="94">
        <f t="shared" si="1076"/>
        <v>0.17483299230938268</v>
      </c>
      <c r="M199" s="94">
        <f t="shared" ref="M199:N199" si="1077">M198/M197</f>
        <v>0.17953763663744549</v>
      </c>
      <c r="N199" s="94">
        <f t="shared" si="1077"/>
        <v>0.17932699004797886</v>
      </c>
      <c r="O199" s="94">
        <f t="shared" ref="O199" si="1078">O198/O197</f>
        <v>0.18374832947818701</v>
      </c>
      <c r="P199" s="94">
        <f t="shared" ref="P199" si="1079">P198/P197</f>
        <v>0.18828425816680647</v>
      </c>
      <c r="Q199" s="323"/>
      <c r="R199" s="94"/>
      <c r="S199" s="94"/>
      <c r="T199" s="94"/>
      <c r="U199" s="94">
        <f t="shared" ref="U199:AA199" si="1080">U198/U197</f>
        <v>0.19425006338887468</v>
      </c>
      <c r="V199" s="94">
        <f t="shared" si="1080"/>
        <v>0.19372911587627403</v>
      </c>
      <c r="W199" s="94">
        <f t="shared" si="1080"/>
        <v>0.19415300841532288</v>
      </c>
      <c r="X199" s="94">
        <f t="shared" si="1080"/>
        <v>0.19161749578348866</v>
      </c>
      <c r="Y199" s="94">
        <f t="shared" si="1080"/>
        <v>0.1961012225507564</v>
      </c>
      <c r="Z199" s="94">
        <f t="shared" si="1080"/>
        <v>0.19556279328537848</v>
      </c>
      <c r="AA199" s="94">
        <f t="shared" si="1080"/>
        <v>0.19193740651467384</v>
      </c>
      <c r="AB199" s="94">
        <f t="shared" ref="AB199:AE199" si="1081">AB198/AB197</f>
        <v>0.19943140298199355</v>
      </c>
      <c r="AC199" s="94">
        <f t="shared" si="1081"/>
        <v>0.20640397618666029</v>
      </c>
      <c r="AD199" s="94">
        <f t="shared" si="1081"/>
        <v>0.20467689470641479</v>
      </c>
      <c r="AE199" s="94">
        <f t="shared" si="1081"/>
        <v>0.20466888511344877</v>
      </c>
      <c r="AF199" s="94">
        <f t="shared" ref="AF199:AI199" si="1082">AF198/AF197</f>
        <v>0.19350820467910107</v>
      </c>
      <c r="AG199" s="94">
        <f t="shared" si="1082"/>
        <v>0.1791885053047533</v>
      </c>
      <c r="AH199" s="94">
        <f t="shared" si="1082"/>
        <v>0.17867641200189729</v>
      </c>
      <c r="AI199" s="94">
        <f t="shared" si="1082"/>
        <v>0.17778210879270806</v>
      </c>
      <c r="AJ199" s="94">
        <f t="shared" ref="AJ199:AM199" si="1083">AJ198/AJ197</f>
        <v>0.17549862085375201</v>
      </c>
      <c r="AK199" s="94">
        <f t="shared" si="1083"/>
        <v>0.17483299230938268</v>
      </c>
      <c r="AL199" s="94">
        <f t="shared" si="1083"/>
        <v>0.17208590494877218</v>
      </c>
      <c r="AM199" s="94">
        <f t="shared" si="1083"/>
        <v>0.17280496541038201</v>
      </c>
      <c r="AN199" s="94">
        <f t="shared" ref="AN199:AQ199" si="1084">AN198/AN197</f>
        <v>0.17580452664066595</v>
      </c>
      <c r="AO199" s="94">
        <f t="shared" si="1084"/>
        <v>0.17953763663744546</v>
      </c>
      <c r="AP199" s="94">
        <f t="shared" si="1084"/>
        <v>0.18487415365300527</v>
      </c>
      <c r="AQ199" s="94">
        <f t="shared" si="1084"/>
        <v>0.18444586049220291</v>
      </c>
      <c r="AR199" s="94">
        <f t="shared" ref="AR199:AU199" si="1085">AR198/AR197</f>
        <v>0.18222322156594495</v>
      </c>
      <c r="AS199" s="94">
        <f t="shared" si="1085"/>
        <v>0.17932699004797886</v>
      </c>
      <c r="AT199" s="94">
        <f t="shared" si="1085"/>
        <v>0.17831595728859198</v>
      </c>
      <c r="AU199" s="94">
        <f t="shared" si="1085"/>
        <v>0.17781268228337554</v>
      </c>
      <c r="AV199" s="94">
        <f t="shared" ref="AV199:AX199" si="1086">AV198/AV197</f>
        <v>0.17938402420707708</v>
      </c>
      <c r="AW199" s="94">
        <f t="shared" si="1086"/>
        <v>0.18374832947818701</v>
      </c>
      <c r="AX199" s="94">
        <f t="shared" si="1086"/>
        <v>0.18828425816680647</v>
      </c>
      <c r="AY199" s="89"/>
      <c r="AZ199" s="89"/>
      <c r="BA199" s="89"/>
    </row>
    <row r="200" spans="2:53" ht="13.5" customHeight="1">
      <c r="B200" s="1" t="s">
        <v>249</v>
      </c>
      <c r="C200" s="20"/>
      <c r="D200" s="20">
        <f>D137*D$192</f>
        <v>108.84881384461626</v>
      </c>
      <c r="E200" s="20">
        <f>E137*E$192</f>
        <v>88.539820670271595</v>
      </c>
      <c r="F200" s="20">
        <f>F137*F$192</f>
        <v>73.788303358997467</v>
      </c>
      <c r="G200" s="20">
        <f>G137*G$192</f>
        <v>81.808346684742418</v>
      </c>
      <c r="H200" s="20">
        <f>H137*H$192</f>
        <v>64.491146564361685</v>
      </c>
      <c r="I200" s="20">
        <f>I137*I$192</f>
        <v>51.469341776543594</v>
      </c>
      <c r="J200" s="20">
        <f>J137*J$192</f>
        <v>55.982218547759707</v>
      </c>
      <c r="K200" s="20">
        <f>K137*K$192</f>
        <v>71.807003780485289</v>
      </c>
      <c r="L200" s="20">
        <f>L137*L$192</f>
        <v>51.253557591332871</v>
      </c>
      <c r="M200" s="20">
        <f>M137*M$192</f>
        <v>78.959576687071532</v>
      </c>
      <c r="N200" s="20">
        <f>N137*N$192</f>
        <v>69.754734835499988</v>
      </c>
      <c r="O200" s="20">
        <f>O137*O$192</f>
        <v>60.279637530658938</v>
      </c>
      <c r="P200" s="20">
        <f>P137*P$192</f>
        <v>58.850881405744133</v>
      </c>
      <c r="Q200" s="20"/>
      <c r="R200" s="20"/>
      <c r="S200" s="20"/>
      <c r="T200" s="20"/>
      <c r="U200" s="20">
        <f>U137*AVERAGE(R$192:U$192)</f>
        <v>65.482479048775289</v>
      </c>
      <c r="V200" s="20">
        <f>V137*AVERAGE(S$192:V$192)</f>
        <v>61.315741877344237</v>
      </c>
      <c r="W200" s="20">
        <f>W137*AVERAGE(T$192:W$192)</f>
        <v>62.328519323062046</v>
      </c>
      <c r="X200" s="20">
        <f>X137*AVERAGE(U$192:X$192)</f>
        <v>53.544368032000193</v>
      </c>
      <c r="Y200" s="20">
        <f>Y137*AVERAGE(V$192:Y$192)</f>
        <v>51.469341776543594</v>
      </c>
      <c r="Z200" s="20">
        <f>Z137*AVERAGE(W$192:Z$192)</f>
        <v>50.537799326009285</v>
      </c>
      <c r="AA200" s="20">
        <f>AA137*AVERAGE(X$192:AA$192)</f>
        <v>46.284542946098057</v>
      </c>
      <c r="AB200" s="20">
        <f>AB137*AVERAGE(Y$192:AB$192)</f>
        <v>55.837037404747761</v>
      </c>
      <c r="AC200" s="20">
        <f>AC137*AVERAGE(Z$192:AC$192)</f>
        <v>55.982218547759707</v>
      </c>
      <c r="AD200" s="20">
        <f>AD137*AVERAGE(AA$192:AD$192)</f>
        <v>59.390373679126689</v>
      </c>
      <c r="AE200" s="20">
        <f>AE137*AVERAGE(AB$192:AE$192)</f>
        <v>65.709422197925079</v>
      </c>
      <c r="AF200" s="20">
        <f>AF137*AVERAGE(AC$192:AF$192)</f>
        <v>68.626952243613147</v>
      </c>
      <c r="AG200" s="20">
        <f>AG137*AVERAGE(AD$192:AG$192)</f>
        <v>71.807003780485289</v>
      </c>
      <c r="AH200" s="20">
        <f>AH137*AVERAGE(AE$192:AH$192)</f>
        <v>72.390537667119105</v>
      </c>
      <c r="AI200" s="20">
        <f>AI137*AVERAGE(AF$192:AI$192)</f>
        <v>75.801084598611268</v>
      </c>
      <c r="AJ200" s="20">
        <f>AJ137*AVERAGE(AG$192:AJ$192)</f>
        <v>88.995301266634954</v>
      </c>
      <c r="AK200" s="20">
        <f>AK137*AVERAGE(AH$192:AK$192)</f>
        <v>51.253557591332871</v>
      </c>
      <c r="AL200" s="20">
        <f>AL137*AVERAGE(AI$192:AL$192)</f>
        <v>50.149486033855524</v>
      </c>
      <c r="AM200" s="20">
        <f>AM137*AVERAGE(AJ$192:AM$192)</f>
        <v>50.107536774602877</v>
      </c>
      <c r="AN200" s="20">
        <f>AN137*AVERAGE(AK$192:AN$192)</f>
        <v>41.136534264789532</v>
      </c>
      <c r="AO200" s="20">
        <f>AO137*AVERAGE(AL$192:AO$192)</f>
        <v>78.959576687071518</v>
      </c>
      <c r="AP200" s="20">
        <f>AP137*AVERAGE(AM$192:AP$192)</f>
        <v>73.136790785664473</v>
      </c>
      <c r="AQ200" s="20">
        <f>AQ137*AVERAGE(AN$192:AQ$192)</f>
        <v>68.836851525156604</v>
      </c>
      <c r="AR200" s="20">
        <f>AR137*AVERAGE(AO$192:AR$192)</f>
        <v>63.913690625541172</v>
      </c>
      <c r="AS200" s="20">
        <f>AS137*AVERAGE(AP$192:AS$192)</f>
        <v>69.754734835499974</v>
      </c>
      <c r="AT200" s="20">
        <f>AT137*AVERAGE(AQ$192:AT$192)</f>
        <v>71.583906826499984</v>
      </c>
      <c r="AU200" s="20">
        <f>AU137*AVERAGE(AR$192:AU$192)</f>
        <v>63.81660859399998</v>
      </c>
      <c r="AV200" s="20">
        <f>AV137*AVERAGE(AS$192:AV$192)</f>
        <v>70.911820146771944</v>
      </c>
      <c r="AW200" s="20">
        <f>AW137*AVERAGE(AT$192:AW$192)</f>
        <v>60.279637530658938</v>
      </c>
      <c r="AX200" s="20">
        <f>AX137*AVERAGE(AU$192:AX$192)</f>
        <v>58.850881405744133</v>
      </c>
      <c r="AY200" s="20"/>
      <c r="AZ200" s="20"/>
      <c r="BA200" s="20"/>
    </row>
    <row r="201" spans="2:53" ht="13.5" customHeight="1">
      <c r="B201" s="1" t="s">
        <v>265</v>
      </c>
      <c r="C201" s="20"/>
      <c r="D201" s="20">
        <f>D138*D$192</f>
        <v>204.25033927726051</v>
      </c>
      <c r="E201" s="20">
        <f>E138*E$192</f>
        <v>171.69145510646749</v>
      </c>
      <c r="F201" s="20">
        <f>F138*F$192</f>
        <v>189.37335264301231</v>
      </c>
      <c r="G201" s="20">
        <f>G138*G$192</f>
        <v>259.98006377865414</v>
      </c>
      <c r="H201" s="20">
        <f>H138*H$192</f>
        <v>188.39580331243567</v>
      </c>
      <c r="I201" s="20">
        <f>I138*I$192</f>
        <v>157.59791605933563</v>
      </c>
      <c r="J201" s="20">
        <f>J138*J$192</f>
        <v>108.51871828927858</v>
      </c>
      <c r="K201" s="20">
        <f>K138*K$192</f>
        <v>179.61237781486656</v>
      </c>
      <c r="L201" s="20">
        <f>L138*L$192</f>
        <v>213.38487369229711</v>
      </c>
      <c r="M201" s="20">
        <f>M138*M$192</f>
        <v>226.90435192614169</v>
      </c>
      <c r="N201" s="20">
        <f>N138*N$192</f>
        <v>307.59333543249994</v>
      </c>
      <c r="O201" s="20">
        <f>O138*O$192</f>
        <v>291.92799559422673</v>
      </c>
      <c r="P201" s="20">
        <f>P138*P$192</f>
        <v>287.14281277479586</v>
      </c>
      <c r="Q201" s="20"/>
      <c r="R201" s="20"/>
      <c r="S201" s="20"/>
      <c r="T201" s="20"/>
      <c r="U201" s="20">
        <f>U138*AVERAGE(R$192:U$192)</f>
        <v>191.29174934069283</v>
      </c>
      <c r="V201" s="20">
        <f>V138*AVERAGE(S$192:V$192)</f>
        <v>183.02547662744581</v>
      </c>
      <c r="W201" s="20">
        <f>W138*AVERAGE(T$192:W$192)</f>
        <v>182.07819356140746</v>
      </c>
      <c r="X201" s="20">
        <f>X138*AVERAGE(U$192:X$192)</f>
        <v>170.43314688087699</v>
      </c>
      <c r="Y201" s="20">
        <f>Y138*AVERAGE(V$192:Y$192)</f>
        <v>157.59791605933563</v>
      </c>
      <c r="Z201" s="20">
        <f>Z138*AVERAGE(W$192:Z$192)</f>
        <v>153.13979185072208</v>
      </c>
      <c r="AA201" s="20">
        <f>AA138*AVERAGE(X$192:AA$192)</f>
        <v>138.15641080564168</v>
      </c>
      <c r="AB201" s="20">
        <f>AB138*AVERAGE(Y$192:AB$192)</f>
        <v>122.54298516747286</v>
      </c>
      <c r="AC201" s="20">
        <f>AC138*AVERAGE(Z$192:AC$192)</f>
        <v>108.51871828927858</v>
      </c>
      <c r="AD201" s="20">
        <f>AD138*AVERAGE(AA$192:AD$192)</f>
        <v>87.938651919439906</v>
      </c>
      <c r="AE201" s="20">
        <f>AE138*AVERAGE(AB$192:AE$192)</f>
        <v>77.604974626392547</v>
      </c>
      <c r="AF201" s="20">
        <f>AF138*AVERAGE(AC$192:AF$192)</f>
        <v>103.90491024657125</v>
      </c>
      <c r="AG201" s="20">
        <f>AG138*AVERAGE(AD$192:AG$192)</f>
        <v>179.61237781486656</v>
      </c>
      <c r="AH201" s="20">
        <f>AH138*AVERAGE(AE$192:AH$192)</f>
        <v>206.15122071414336</v>
      </c>
      <c r="AI201" s="20">
        <f>AI138*AVERAGE(AF$192:AI$192)</f>
        <v>227.65358868721859</v>
      </c>
      <c r="AJ201" s="20">
        <f>AJ138*AVERAGE(AG$192:AJ$192)</f>
        <v>250.86348957659132</v>
      </c>
      <c r="AK201" s="20">
        <f>AK138*AVERAGE(AH$192:AK$192)</f>
        <v>213.38487369229711</v>
      </c>
      <c r="AL201" s="20">
        <f>AL138*AVERAGE(AI$192:AL$192)</f>
        <v>230.61655389168999</v>
      </c>
      <c r="AM201" s="20">
        <f>AM138*AVERAGE(AJ$192:AM$192)</f>
        <v>269.30160113891725</v>
      </c>
      <c r="AN201" s="20">
        <f>AN138*AVERAGE(AK$192:AN$192)</f>
        <v>238.28791500019952</v>
      </c>
      <c r="AO201" s="20">
        <f>AO138*AVERAGE(AL$192:AO$192)</f>
        <v>226.90435192614169</v>
      </c>
      <c r="AP201" s="20">
        <f>AP138*AVERAGE(AM$192:AP$192)</f>
        <v>232.32729470439557</v>
      </c>
      <c r="AQ201" s="20">
        <f>AQ138*AVERAGE(AN$192:AQ$192)</f>
        <v>242.47319016446534</v>
      </c>
      <c r="AR201" s="20">
        <f>AR138*AVERAGE(AO$192:AR$192)</f>
        <v>271.70156819155937</v>
      </c>
      <c r="AS201" s="20">
        <f>AS138*AVERAGE(AP$192:AS$192)</f>
        <v>307.59333543249994</v>
      </c>
      <c r="AT201" s="20">
        <f>AT138*AVERAGE(AQ$192:AT$192)</f>
        <v>307.89531320549992</v>
      </c>
      <c r="AU201" s="20">
        <f>AU138*AVERAGE(AR$192:AU$192)</f>
        <v>267.92850296499995</v>
      </c>
      <c r="AV201" s="20">
        <f>AV138*AVERAGE(AS$192:AV$192)</f>
        <v>284.06263847013878</v>
      </c>
      <c r="AW201" s="20">
        <f>AW138*AVERAGE(AT$192:AW$192)</f>
        <v>291.92799559422673</v>
      </c>
      <c r="AX201" s="20">
        <f>AX138*AVERAGE(AU$192:AX$192)</f>
        <v>287.14281277479586</v>
      </c>
      <c r="AY201" s="20"/>
      <c r="AZ201" s="20"/>
      <c r="BA201" s="20"/>
    </row>
    <row r="202" spans="2:53" ht="13.5" customHeight="1">
      <c r="B202" s="1" t="s">
        <v>253</v>
      </c>
      <c r="C202" s="20"/>
      <c r="D202" s="20">
        <f>D139*D$192</f>
        <v>680.51955183840948</v>
      </c>
      <c r="E202" s="20">
        <f>E139*E$192</f>
        <v>714.30325665230782</v>
      </c>
      <c r="F202" s="20">
        <f>F139*F$192</f>
        <v>600.76059643263511</v>
      </c>
      <c r="G202" s="20">
        <f>G139*G$192</f>
        <v>620.16502033522295</v>
      </c>
      <c r="H202" s="20">
        <f>H139*H$192</f>
        <v>679.95605564392861</v>
      </c>
      <c r="I202" s="20">
        <f>I139*I$192</f>
        <v>704.07732934922967</v>
      </c>
      <c r="J202" s="20">
        <f>J139*J$192</f>
        <v>681.70299552213055</v>
      </c>
      <c r="K202" s="20">
        <f>K139*K$192</f>
        <v>728.06534417080411</v>
      </c>
      <c r="L202" s="20">
        <f>L139*L$192</f>
        <v>748.05969419022006</v>
      </c>
      <c r="M202" s="20">
        <f>M139*M$192</f>
        <v>735.40265007374808</v>
      </c>
      <c r="N202" s="20">
        <f>N139*N$192</f>
        <v>687.52455146049977</v>
      </c>
      <c r="O202" s="20">
        <f>O139*O$192</f>
        <v>833.29843570800597</v>
      </c>
      <c r="P202" s="20">
        <f>P139*P$192</f>
        <v>872.01240474816234</v>
      </c>
      <c r="Q202" s="20"/>
      <c r="R202" s="20"/>
      <c r="S202" s="20"/>
      <c r="T202" s="20"/>
      <c r="U202" s="20">
        <f>U139*AVERAGE(R$192:U$192)</f>
        <v>690.40807211197</v>
      </c>
      <c r="V202" s="20">
        <f>V139*AVERAGE(S$192:V$192)</f>
        <v>675.20860774978883</v>
      </c>
      <c r="W202" s="20">
        <f>W139*AVERAGE(T$192:W$192)</f>
        <v>336.57532286971025</v>
      </c>
      <c r="X202" s="20">
        <f>X139*AVERAGE(U$192:X$192)</f>
        <v>709.89160953969213</v>
      </c>
      <c r="Y202" s="20">
        <f>Y139*AVERAGE(V$192:Y$192)</f>
        <v>704.07732934922956</v>
      </c>
      <c r="Z202" s="20">
        <f>Z139*AVERAGE(W$192:Z$192)</f>
        <v>693.87342028227408</v>
      </c>
      <c r="AA202" s="20">
        <f>AA139*AVERAGE(X$192:AA$192)</f>
        <v>644.1933937961212</v>
      </c>
      <c r="AB202" s="20">
        <f>AB139*AVERAGE(Y$192:AB$192)</f>
        <v>663.23629373352787</v>
      </c>
      <c r="AC202" s="20">
        <f>AC139*AVERAGE(Z$192:AC$192)</f>
        <v>681.70299552213055</v>
      </c>
      <c r="AD202" s="20">
        <f>AD139*AVERAGE(AA$192:AD$192)</f>
        <v>673.6926405678563</v>
      </c>
      <c r="AE202" s="20">
        <f>AE139*AVERAGE(AB$192:AE$192)</f>
        <v>786.84994835939176</v>
      </c>
      <c r="AF202" s="20">
        <f>AF139*AVERAGE(AC$192:AF$192)</f>
        <v>792.42536028431266</v>
      </c>
      <c r="AG202" s="20">
        <f>AG139*AVERAGE(AD$192:AG$192)</f>
        <v>728.06534417080411</v>
      </c>
      <c r="AH202" s="20">
        <f>AH139*AVERAGE(AE$192:AH$192)</f>
        <v>794.03654065077785</v>
      </c>
      <c r="AI202" s="20">
        <f>AI139*AVERAGE(AF$192:AI$192)</f>
        <v>731.43782100957503</v>
      </c>
      <c r="AJ202" s="20">
        <f>AJ139*AVERAGE(AG$192:AJ$192)</f>
        <v>669.52719773462752</v>
      </c>
      <c r="AK202" s="20">
        <f>AK139*AVERAGE(AH$192:AK$192)</f>
        <v>748.05969419022006</v>
      </c>
      <c r="AL202" s="20">
        <f>AL139*AVERAGE(AI$192:AL$192)</f>
        <v>716.85400860691504</v>
      </c>
      <c r="AM202" s="20">
        <f>AM139*AVERAGE(AJ$192:AM$192)</f>
        <v>691.23404993452527</v>
      </c>
      <c r="AN202" s="20">
        <f>AN139*AVERAGE(AK$192:AN$192)</f>
        <v>761.17183965248307</v>
      </c>
      <c r="AO202" s="20">
        <f>AO139*AVERAGE(AL$192:AO$192)</f>
        <v>735.40265007374796</v>
      </c>
      <c r="AP202" s="20">
        <f>AP139*AVERAGE(AM$192:AP$192)</f>
        <v>736.36573928720338</v>
      </c>
      <c r="AQ202" s="20">
        <f>AQ139*AVERAGE(AN$192:AQ$192)</f>
        <v>725.64452911086732</v>
      </c>
      <c r="AR202" s="20">
        <f>AR139*AVERAGE(AO$192:AR$192)</f>
        <v>694.37299890635654</v>
      </c>
      <c r="AS202" s="20">
        <f>AS139*AVERAGE(AP$192:AS$192)</f>
        <v>687.52455146049988</v>
      </c>
      <c r="AT202" s="20">
        <f>AT139*AVERAGE(AQ$192:AT$192)</f>
        <v>731.66788515899975</v>
      </c>
      <c r="AU202" s="20">
        <f>AU139*AVERAGE(AR$192:AU$192)</f>
        <v>757.42356462399948</v>
      </c>
      <c r="AV202" s="20">
        <f>AV139*AVERAGE(AS$192:AV$192)</f>
        <v>766.48025704752945</v>
      </c>
      <c r="AW202" s="20">
        <f>AW139*AVERAGE(AT$192:AW$192)</f>
        <v>833.29843570800597</v>
      </c>
      <c r="AX202" s="20">
        <f>AX139*AVERAGE(AU$192:AX$192)</f>
        <v>872.01240474816257</v>
      </c>
      <c r="AY202" s="20"/>
      <c r="AZ202" s="20"/>
      <c r="BA202" s="20"/>
    </row>
    <row r="203" spans="2:53" ht="13.5" customHeight="1">
      <c r="B203" s="1" t="s">
        <v>295</v>
      </c>
      <c r="C203" s="20"/>
      <c r="D203" s="20">
        <f>D140*D$193</f>
        <v>131.049747012773</v>
      </c>
      <c r="E203" s="20">
        <f>E140*E$193</f>
        <v>181.87582939055991</v>
      </c>
      <c r="F203" s="20">
        <f>F140*F$193</f>
        <v>211.00852913498738</v>
      </c>
      <c r="G203" s="20">
        <f>G140*G$193</f>
        <v>221.62198617324117</v>
      </c>
      <c r="H203" s="20">
        <f>H140*H$193</f>
        <v>197.70100619528813</v>
      </c>
      <c r="I203" s="20">
        <f>I140*I$193</f>
        <v>210.45543742486976</v>
      </c>
      <c r="J203" s="20">
        <f>J140*J$193</f>
        <v>434.86849728848807</v>
      </c>
      <c r="K203" s="20">
        <f>K140*K$193</f>
        <v>357.17582849664615</v>
      </c>
      <c r="L203" s="20">
        <f>L140*L$193</f>
        <v>344.04575017692855</v>
      </c>
      <c r="M203" s="20">
        <f>M140*M$193</f>
        <v>344.86779508960001</v>
      </c>
      <c r="N203" s="20">
        <f>N140*N$193</f>
        <v>250.14349902000001</v>
      </c>
      <c r="O203" s="20">
        <f>O140*O$193</f>
        <v>329.25077333037245</v>
      </c>
      <c r="P203" s="20">
        <f>P140*P$193</f>
        <v>351.58972006002574</v>
      </c>
      <c r="Q203" s="20"/>
      <c r="R203" s="20"/>
      <c r="S203" s="20"/>
      <c r="T203" s="20"/>
      <c r="U203" s="20">
        <f>U140*U$193</f>
        <v>197.70100619528804</v>
      </c>
      <c r="V203" s="20">
        <f>V140*V$193</f>
        <v>179.18992055318515</v>
      </c>
      <c r="W203" s="20">
        <f>W140*W$193</f>
        <v>173.0468249057048</v>
      </c>
      <c r="X203" s="20">
        <f>X140*X$193</f>
        <v>145.0654356749632</v>
      </c>
      <c r="Y203" s="20">
        <f>Y140*Y$193</f>
        <v>210.45543742486976</v>
      </c>
      <c r="Z203" s="20">
        <f>Z140*Z$193</f>
        <v>448.52680633802817</v>
      </c>
      <c r="AA203" s="20">
        <f>AA140*AA$193</f>
        <v>451.90605090112035</v>
      </c>
      <c r="AB203" s="20">
        <f>AB140*AB$193</f>
        <v>366.14926287744225</v>
      </c>
      <c r="AC203" s="20">
        <f>AC140*AC$193</f>
        <v>434.86849728848807</v>
      </c>
      <c r="AD203" s="20">
        <f>AD140*AD$193</f>
        <v>289.6844904316867</v>
      </c>
      <c r="AE203" s="20">
        <f>AE140*AE$193</f>
        <v>336.81335835309</v>
      </c>
      <c r="AF203" s="20">
        <f>AF140*AF$193</f>
        <v>343.27453464153473</v>
      </c>
      <c r="AG203" s="20">
        <f>AG140*AG$193</f>
        <v>357.17582849664615</v>
      </c>
      <c r="AH203" s="20">
        <f>AH140*AH$193</f>
        <v>493.8597736600745</v>
      </c>
      <c r="AI203" s="20">
        <f>AI140*AI$193</f>
        <v>285.54113499945436</v>
      </c>
      <c r="AJ203" s="20">
        <f>AJ140*AJ$193</f>
        <v>253.09016672726327</v>
      </c>
      <c r="AK203" s="20">
        <f>AK140*AK$193</f>
        <v>344.04575017692855</v>
      </c>
      <c r="AL203" s="20">
        <f>AL140*AL$193</f>
        <v>326.35294798852016</v>
      </c>
      <c r="AM203" s="20">
        <f>AM140*AM$193</f>
        <v>300.33853539678904</v>
      </c>
      <c r="AN203" s="20">
        <f>AN140*AN$193</f>
        <v>245.17447862129146</v>
      </c>
      <c r="AO203" s="20">
        <f>AO140*AO$193</f>
        <v>344.86779508960001</v>
      </c>
      <c r="AP203" s="20">
        <f>AP140*AP$193</f>
        <v>307.55356914000004</v>
      </c>
      <c r="AQ203" s="20">
        <f>AQ140*AQ$193</f>
        <v>246.841869618</v>
      </c>
      <c r="AR203" s="20">
        <f>AR140*AR$193</f>
        <v>234.07133163699999</v>
      </c>
      <c r="AS203" s="20">
        <f>AS140*AS$193</f>
        <v>250.14349902000001</v>
      </c>
      <c r="AT203" s="20">
        <f>AT140*AT$193</f>
        <v>219.11052408900002</v>
      </c>
      <c r="AU203" s="20">
        <f>AU140*AU$193</f>
        <v>222.51871986000003</v>
      </c>
      <c r="AV203" s="20">
        <f>AV140*AV$193</f>
        <v>294.02115746468036</v>
      </c>
      <c r="AW203" s="20">
        <f>AW140*AW$193</f>
        <v>329.25077333037245</v>
      </c>
      <c r="AX203" s="20">
        <f>AX140*AX$193</f>
        <v>351.58972006002574</v>
      </c>
      <c r="AY203" s="20"/>
      <c r="AZ203" s="20"/>
      <c r="BA203" s="20"/>
    </row>
    <row r="204" spans="2:53" ht="13.5" customHeight="1">
      <c r="B204" s="1" t="s">
        <v>279</v>
      </c>
      <c r="C204" s="20"/>
      <c r="D204" s="20">
        <f>D141*D$193</f>
        <v>1301.367091882983</v>
      </c>
      <c r="E204" s="20">
        <f>E141*E$193</f>
        <v>1142.2251013856032</v>
      </c>
      <c r="F204" s="20">
        <f>F141*F$193</f>
        <v>1152.6965002165894</v>
      </c>
      <c r="G204" s="20">
        <f>G141*G$193</f>
        <v>1186.5861309475397</v>
      </c>
      <c r="H204" s="20">
        <f>H141*H$193</f>
        <v>1092.8796762926015</v>
      </c>
      <c r="I204" s="20">
        <f>I141*I$193</f>
        <v>1031.6326352344063</v>
      </c>
      <c r="J204" s="20">
        <f>J141*J$193</f>
        <v>1353.6251173115288</v>
      </c>
      <c r="K204" s="20">
        <f>K141*K$193</f>
        <v>1261.3342367032672</v>
      </c>
      <c r="L204" s="20">
        <f>L141*L$193</f>
        <v>1346.0537379098844</v>
      </c>
      <c r="M204" s="20">
        <f>M141*M$193</f>
        <v>1170.5722535147288</v>
      </c>
      <c r="N204" s="20">
        <f>N141*N$193</f>
        <v>1126.1910103500002</v>
      </c>
      <c r="O204" s="20">
        <f>O141*O$193</f>
        <v>1288.4085882418251</v>
      </c>
      <c r="P204" s="20">
        <f>P141*P$193</f>
        <v>1253.2001878501949</v>
      </c>
      <c r="Q204" s="20"/>
      <c r="R204" s="20">
        <f>R141*R$193</f>
        <v>1173.6665888392117</v>
      </c>
      <c r="S204" s="20">
        <f>S141*S$193</f>
        <v>1109.0969404752807</v>
      </c>
      <c r="T204" s="20">
        <f>T141*T$193</f>
        <v>1099.8270031209561</v>
      </c>
      <c r="U204" s="20">
        <f>U141*U$193</f>
        <v>1092.8796762926015</v>
      </c>
      <c r="V204" s="20">
        <f>V141*V$193</f>
        <v>1119.980531116669</v>
      </c>
      <c r="W204" s="20">
        <f>W141*W$193</f>
        <v>1130.3156397336163</v>
      </c>
      <c r="X204" s="20">
        <f>X141*X$193</f>
        <v>1052.8315756236184</v>
      </c>
      <c r="Y204" s="20">
        <f>Y141*Y$193</f>
        <v>1031.6326352344063</v>
      </c>
      <c r="Z204" s="20">
        <f>Z141*Z$193</f>
        <v>1236.4158720657279</v>
      </c>
      <c r="AA204" s="20">
        <f>AA141*AA$193</f>
        <v>1262.6217717973698</v>
      </c>
      <c r="AB204" s="20">
        <f>AB141*AB$193</f>
        <v>1275.0405138289773</v>
      </c>
      <c r="AC204" s="20">
        <f>AC141*AC$193</f>
        <v>1353.6251173115288</v>
      </c>
      <c r="AD204" s="20">
        <f>AD141*AD$193</f>
        <v>1341.6264463729419</v>
      </c>
      <c r="AE204" s="20">
        <f>AE141*AE$193</f>
        <v>1339.9108740517802</v>
      </c>
      <c r="AF204" s="20">
        <f>AF141*AF$193</f>
        <v>1273.9083012023946</v>
      </c>
      <c r="AG204" s="20">
        <f>AG141*AG$193</f>
        <v>1261.3342367032672</v>
      </c>
      <c r="AH204" s="20">
        <f>AH141*AH$193</f>
        <v>1313.1480257030512</v>
      </c>
      <c r="AI204" s="20">
        <f>AI141*AI$193</f>
        <v>1271.3905489468514</v>
      </c>
      <c r="AJ204" s="20">
        <f>AJ141*AJ$193</f>
        <v>1242.4743312730484</v>
      </c>
      <c r="AK204" s="20">
        <f>AK141*AK$193</f>
        <v>1346.0537379098844</v>
      </c>
      <c r="AL204" s="20">
        <f>AL141*AL$193</f>
        <v>1371.3182405216248</v>
      </c>
      <c r="AM204" s="20">
        <f>AM141*AM$193</f>
        <v>1382.2416619422702</v>
      </c>
      <c r="AN204" s="20">
        <f>AN141*AN$193</f>
        <v>1122.2275119982548</v>
      </c>
      <c r="AO204" s="20">
        <f>AO141*AO$193</f>
        <v>1170.5722535147288</v>
      </c>
      <c r="AP204" s="20">
        <f>AP141*AP$193</f>
        <v>1094.8142653800001</v>
      </c>
      <c r="AQ204" s="20">
        <f>AQ141*AQ$193</f>
        <v>1158.9688506780001</v>
      </c>
      <c r="AR204" s="20">
        <f>AR141*AR$193</f>
        <v>1191.5334302960002</v>
      </c>
      <c r="AS204" s="20">
        <f>AS141*AS$193</f>
        <v>1126.1910103500002</v>
      </c>
      <c r="AT204" s="20">
        <f>AT141*AT$193</f>
        <v>1151.2177718330001</v>
      </c>
      <c r="AU204" s="20">
        <f>AU141*AU$193</f>
        <v>1199.4094688820003</v>
      </c>
      <c r="AV204" s="20">
        <f>AV141*AV$193</f>
        <v>1235.4585811857414</v>
      </c>
      <c r="AW204" s="20">
        <f>AW141*AW$193</f>
        <v>1288.4085882418251</v>
      </c>
      <c r="AX204" s="20">
        <f>AX141*AX$193</f>
        <v>1253.2001878501949</v>
      </c>
      <c r="AY204" s="20"/>
      <c r="AZ204" s="20"/>
      <c r="BA204" s="20"/>
    </row>
    <row r="205" spans="2:53" ht="13.5" customHeight="1">
      <c r="B205" s="1" t="s">
        <v>139</v>
      </c>
      <c r="C205" s="20"/>
      <c r="D205" s="20">
        <f>D142*D$193</f>
        <v>1170.31734487021</v>
      </c>
      <c r="E205" s="20">
        <f>E142*E$193</f>
        <v>960.34927199504341</v>
      </c>
      <c r="F205" s="20">
        <f>F142*F$193</f>
        <v>941.68797108160186</v>
      </c>
      <c r="G205" s="20">
        <f>G142*G$193</f>
        <v>964.96414477429846</v>
      </c>
      <c r="H205" s="20">
        <f>H142*H$193</f>
        <v>895.17867009731344</v>
      </c>
      <c r="I205" s="20">
        <f>I142*I$193</f>
        <v>821.17719780953644</v>
      </c>
      <c r="J205" s="20">
        <f>J142*J$193</f>
        <v>918.7566200230408</v>
      </c>
      <c r="K205" s="20">
        <f>K142*K$193</f>
        <v>904.15840820662095</v>
      </c>
      <c r="L205" s="20">
        <f>L142*L$193</f>
        <v>1002.0079877329559</v>
      </c>
      <c r="M205" s="20">
        <f>M142*M$193</f>
        <v>825.70445842512868</v>
      </c>
      <c r="N205" s="20">
        <f>N142*N$193</f>
        <v>876.04751133000013</v>
      </c>
      <c r="O205" s="20">
        <f>O142*O$193</f>
        <v>959.15781491145265</v>
      </c>
      <c r="P205" s="20">
        <f>P142*P$193</f>
        <v>901.61046779016908</v>
      </c>
      <c r="Q205" s="20"/>
      <c r="R205" s="20">
        <f>R142*R$193</f>
        <v>983.0709670475245</v>
      </c>
      <c r="S205" s="20">
        <f>S142*S$193</f>
        <v>941.51729808206608</v>
      </c>
      <c r="T205" s="20">
        <f>T142*T$193</f>
        <v>987.6109933774834</v>
      </c>
      <c r="U205" s="20">
        <f>U142*U$193</f>
        <v>895.17867009731367</v>
      </c>
      <c r="V205" s="20">
        <f>V142*V$193</f>
        <v>940.79061056348394</v>
      </c>
      <c r="W205" s="20">
        <f>W142*W$193</f>
        <v>957.26881482791134</v>
      </c>
      <c r="X205" s="20">
        <f>X142*X$193</f>
        <v>907.76613994865522</v>
      </c>
      <c r="Y205" s="20">
        <f>Y142*Y$193</f>
        <v>821.17719780953644</v>
      </c>
      <c r="Z205" s="20">
        <f>Z142*Z$193</f>
        <v>787.88906572769974</v>
      </c>
      <c r="AA205" s="20">
        <f>AA142*AA$193</f>
        <v>810.71572089624942</v>
      </c>
      <c r="AB205" s="20">
        <f>AB142*AB$193</f>
        <v>908.89125095153508</v>
      </c>
      <c r="AC205" s="20">
        <f>AC142*AC$193</f>
        <v>918.7566200230408</v>
      </c>
      <c r="AD205" s="20">
        <f>AD142*AD$193</f>
        <v>1051.9419559412552</v>
      </c>
      <c r="AE205" s="20">
        <f>AE142*AE$193</f>
        <v>1003.09751569869</v>
      </c>
      <c r="AF205" s="20">
        <f>AF142*AF$193</f>
        <v>930.63376656085995</v>
      </c>
      <c r="AG205" s="20">
        <f>AG142*AG$193</f>
        <v>904.15840820662095</v>
      </c>
      <c r="AH205" s="20">
        <f>AH142*AH$193</f>
        <v>819.28825204297675</v>
      </c>
      <c r="AI205" s="20">
        <f>AI142*AI$193</f>
        <v>985.84941394739712</v>
      </c>
      <c r="AJ205" s="20">
        <f>AJ142*AJ$193</f>
        <v>989.38416454578498</v>
      </c>
      <c r="AK205" s="20">
        <f>AK142*AK$193</f>
        <v>1002.0079877329559</v>
      </c>
      <c r="AL205" s="20">
        <f>AL142*AL$193</f>
        <v>1044.9652925331047</v>
      </c>
      <c r="AM205" s="20">
        <f>AM142*AM$193</f>
        <v>1081.9031265454812</v>
      </c>
      <c r="AN205" s="20">
        <f>AN142*AN$193</f>
        <v>877.05303337696353</v>
      </c>
      <c r="AO205" s="20">
        <f>AO142*AO$193</f>
        <v>825.70445842512868</v>
      </c>
      <c r="AP205" s="20">
        <f>AP142*AP$193</f>
        <v>787.2606962399999</v>
      </c>
      <c r="AQ205" s="20">
        <f>AQ142*AQ$193</f>
        <v>912.12698106000016</v>
      </c>
      <c r="AR205" s="20">
        <f>AR142*AR$193</f>
        <v>957.46209865900016</v>
      </c>
      <c r="AS205" s="20">
        <f>AS142*AS$193</f>
        <v>876.04751133000013</v>
      </c>
      <c r="AT205" s="20">
        <f>AT142*AT$193</f>
        <v>932.10724774400001</v>
      </c>
      <c r="AU205" s="20">
        <f>AU142*AU$193</f>
        <v>976.89074902200014</v>
      </c>
      <c r="AV205" s="20">
        <f>AV142*AV$193</f>
        <v>941.43742372106101</v>
      </c>
      <c r="AW205" s="20">
        <f>AW142*AW$193</f>
        <v>959.15781491145265</v>
      </c>
      <c r="AX205" s="20">
        <f>AX142*AX$193</f>
        <v>901.61046779016908</v>
      </c>
      <c r="AY205" s="20"/>
      <c r="AZ205" s="20"/>
      <c r="BA205" s="20"/>
    </row>
    <row r="206" spans="2:53" ht="13.5" customHeight="1">
      <c r="B206" s="1" t="s">
        <v>76</v>
      </c>
      <c r="C206" s="37"/>
      <c r="D206" s="37">
        <f t="shared" ref="D206:H206" si="1087">D204/D198</f>
        <v>2.5616369624961064</v>
      </c>
      <c r="E206" s="37">
        <f t="shared" si="1087"/>
        <v>2.3646517224062986</v>
      </c>
      <c r="F206" s="37">
        <f t="shared" si="1087"/>
        <v>2.5080728955397982</v>
      </c>
      <c r="G206" s="37">
        <f t="shared" si="1087"/>
        <v>2.2795421876305291</v>
      </c>
      <c r="H206" s="37">
        <f t="shared" si="1087"/>
        <v>2.1564736587201718</v>
      </c>
      <c r="I206" s="37">
        <f t="shared" ref="I206:J206" si="1088">I204/I198</f>
        <v>2.0764428128861927</v>
      </c>
      <c r="J206" s="37">
        <f t="shared" si="1088"/>
        <v>3.0557270639681762</v>
      </c>
      <c r="K206" s="37">
        <f t="shared" ref="K206:L206" si="1089">K204/K198</f>
        <v>2.4542044465841997</v>
      </c>
      <c r="L206" s="37">
        <f t="shared" si="1089"/>
        <v>2.534185729169657</v>
      </c>
      <c r="M206" s="37">
        <f t="shared" ref="M206:N206" si="1090">M204/M198</f>
        <v>2.113176470620997</v>
      </c>
      <c r="N206" s="37">
        <f t="shared" si="1090"/>
        <v>1.8383957904749071</v>
      </c>
      <c r="O206" s="37">
        <f t="shared" ref="O206" si="1091">O204/O198</f>
        <v>1.9937858706753571</v>
      </c>
      <c r="P206" s="37">
        <f t="shared" ref="P206" si="1092">P204/P198</f>
        <v>1.8327520134476407</v>
      </c>
      <c r="Q206" s="37"/>
      <c r="R206" s="37"/>
      <c r="S206" s="37"/>
      <c r="T206" s="37"/>
      <c r="U206" s="37">
        <f t="shared" ref="U206:AA206" si="1093">U204/U198</f>
        <v>2.123827026816099</v>
      </c>
      <c r="V206" s="37">
        <f t="shared" si="1093"/>
        <v>2.2834871381269157</v>
      </c>
      <c r="W206" s="37">
        <f t="shared" si="1093"/>
        <v>2.331650935935583</v>
      </c>
      <c r="X206" s="37">
        <f t="shared" si="1093"/>
        <v>2.1560574337828022</v>
      </c>
      <c r="Y206" s="37">
        <f t="shared" si="1093"/>
        <v>2.0764428128861927</v>
      </c>
      <c r="Z206" s="37">
        <f t="shared" si="1093"/>
        <v>2.5320722775977886</v>
      </c>
      <c r="AA206" s="37">
        <f t="shared" si="1093"/>
        <v>2.8638738593202766</v>
      </c>
      <c r="AB206" s="37">
        <f t="shared" ref="AB206:AE206" si="1094">AB204/AB198</f>
        <v>2.8756786146024638</v>
      </c>
      <c r="AC206" s="37">
        <f t="shared" si="1094"/>
        <v>3.0557270639681762</v>
      </c>
      <c r="AD206" s="37">
        <f t="shared" si="1094"/>
        <v>3.0216635328539616</v>
      </c>
      <c r="AE206" s="37">
        <f t="shared" si="1094"/>
        <v>2.71614055106734</v>
      </c>
      <c r="AF206" s="37">
        <f t="shared" ref="AF206:AI206" si="1095">AF204/AF198</f>
        <v>2.5211556280036049</v>
      </c>
      <c r="AG206" s="37">
        <f t="shared" si="1095"/>
        <v>2.4542044465841997</v>
      </c>
      <c r="AH206" s="37">
        <f t="shared" si="1095"/>
        <v>2.4662205468060066</v>
      </c>
      <c r="AI206" s="37">
        <f t="shared" si="1095"/>
        <v>2.3480398882707845</v>
      </c>
      <c r="AJ206" s="37">
        <f t="shared" ref="AJ206:AM206" si="1096">AJ204/AJ198</f>
        <v>2.3350376888857376</v>
      </c>
      <c r="AK206" s="37">
        <f t="shared" si="1096"/>
        <v>2.534185729169657</v>
      </c>
      <c r="AL206" s="37">
        <f t="shared" si="1096"/>
        <v>2.5492282331163123</v>
      </c>
      <c r="AM206" s="37">
        <f t="shared" si="1096"/>
        <v>2.5085588539801278</v>
      </c>
      <c r="AN206" s="37">
        <f t="shared" ref="AN206:AQ206" si="1097">AN204/AN198</f>
        <v>1.9545287394428463</v>
      </c>
      <c r="AO206" s="37">
        <f t="shared" si="1097"/>
        <v>2.113176470620997</v>
      </c>
      <c r="AP206" s="37">
        <f t="shared" si="1097"/>
        <v>1.9126635647609742</v>
      </c>
      <c r="AQ206" s="37">
        <f t="shared" si="1097"/>
        <v>2.060837285226043</v>
      </c>
      <c r="AR206" s="37">
        <f t="shared" ref="AR206:AU206" si="1098">AR204/AR198</f>
        <v>2.1381638657150073</v>
      </c>
      <c r="AS206" s="37">
        <f t="shared" si="1098"/>
        <v>1.8383957904749071</v>
      </c>
      <c r="AT206" s="37">
        <f t="shared" si="1098"/>
        <v>1.8509077747466285</v>
      </c>
      <c r="AU206" s="37">
        <f t="shared" si="1098"/>
        <v>1.9023523655597432</v>
      </c>
      <c r="AV206" s="37">
        <f t="shared" ref="AV206:AX206" si="1099">AV204/AV198</f>
        <v>1.9155632219422902</v>
      </c>
      <c r="AW206" s="37">
        <f t="shared" si="1099"/>
        <v>1.9937858706753571</v>
      </c>
      <c r="AX206" s="37">
        <f t="shared" si="1099"/>
        <v>1.8327520134476407</v>
      </c>
      <c r="AY206" s="37"/>
      <c r="AZ206" s="37"/>
      <c r="BA206" s="37"/>
    </row>
    <row r="207" spans="2:53" ht="13.5" customHeight="1">
      <c r="B207" s="5" t="s">
        <v>296</v>
      </c>
      <c r="C207" s="36"/>
      <c r="D207" s="36">
        <f t="shared" ref="D207:H207" si="1100">D205/D198</f>
        <v>2.3036760243660765</v>
      </c>
      <c r="E207" s="36">
        <f t="shared" si="1100"/>
        <v>1.9881296229438099</v>
      </c>
      <c r="F207" s="36">
        <f t="shared" si="1100"/>
        <v>2.0489539752066999</v>
      </c>
      <c r="G207" s="36">
        <f t="shared" si="1100"/>
        <v>1.8537857642135858</v>
      </c>
      <c r="H207" s="36">
        <f t="shared" si="1100"/>
        <v>1.7663694035025399</v>
      </c>
      <c r="I207" s="36">
        <f t="shared" ref="I207:J207" si="1101">I205/I198</f>
        <v>1.6528436889844982</v>
      </c>
      <c r="J207" s="36">
        <f t="shared" si="1101"/>
        <v>2.0740376586542086</v>
      </c>
      <c r="K207" s="36">
        <f t="shared" ref="K207:L207" si="1102">K205/K198</f>
        <v>1.7592399550153535</v>
      </c>
      <c r="L207" s="36">
        <f t="shared" si="1102"/>
        <v>1.8864583719887571</v>
      </c>
      <c r="M207" s="36">
        <f t="shared" ref="M207:N207" si="1103">M205/M198</f>
        <v>1.4906036154468616</v>
      </c>
      <c r="N207" s="36">
        <f t="shared" si="1103"/>
        <v>1.4300611905830869</v>
      </c>
      <c r="O207" s="36">
        <f t="shared" ref="O207" si="1104">O205/O198</f>
        <v>1.4842770504409026</v>
      </c>
      <c r="P207" s="36">
        <f t="shared" ref="P207" si="1105">P205/P198</f>
        <v>1.318566990500188</v>
      </c>
      <c r="Q207" s="36"/>
      <c r="R207" s="36"/>
      <c r="S207" s="36"/>
      <c r="T207" s="36"/>
      <c r="U207" s="36">
        <f t="shared" ref="U207:AA207" si="1106">U205/U198</f>
        <v>1.7396285196111096</v>
      </c>
      <c r="V207" s="36">
        <f t="shared" si="1106"/>
        <v>1.9181433955377354</v>
      </c>
      <c r="W207" s="36">
        <f t="shared" si="1106"/>
        <v>1.9746844594324728</v>
      </c>
      <c r="X207" s="36">
        <f t="shared" si="1106"/>
        <v>1.8589829365758923</v>
      </c>
      <c r="Y207" s="36">
        <f t="shared" si="1106"/>
        <v>1.6528436889844982</v>
      </c>
      <c r="Z207" s="36">
        <f t="shared" si="1106"/>
        <v>1.613528349339628</v>
      </c>
      <c r="AA207" s="36">
        <f t="shared" si="1106"/>
        <v>1.8388622881970793</v>
      </c>
      <c r="AB207" s="36">
        <f>AB205/AB198</f>
        <v>2.0498792822760348</v>
      </c>
      <c r="AC207" s="36">
        <f t="shared" ref="AC207:AE207" si="1107">AC205/AC198</f>
        <v>2.0740376586542086</v>
      </c>
      <c r="AD207" s="36">
        <f t="shared" si="1107"/>
        <v>2.3692247984079886</v>
      </c>
      <c r="AE207" s="36">
        <f t="shared" si="1107"/>
        <v>2.033384377891712</v>
      </c>
      <c r="AF207" s="36">
        <f>AF205/AF198</f>
        <v>1.8417907756473098</v>
      </c>
      <c r="AG207" s="36">
        <f t="shared" ref="AG207:AI207" si="1108">AG205/AG198</f>
        <v>1.7592399550153535</v>
      </c>
      <c r="AH207" s="36">
        <f t="shared" si="1108"/>
        <v>1.5387035439994514</v>
      </c>
      <c r="AI207" s="36">
        <f t="shared" si="1108"/>
        <v>1.8206944747971632</v>
      </c>
      <c r="AJ207" s="36">
        <f>AJ205/AJ198</f>
        <v>1.8593939970043789</v>
      </c>
      <c r="AK207" s="36">
        <f>AK205/AK198</f>
        <v>1.8864583719887571</v>
      </c>
      <c r="AL207" s="36">
        <f t="shared" ref="AL207:AM207" si="1109">AL205/AL198</f>
        <v>1.9425505675026642</v>
      </c>
      <c r="AM207" s="36">
        <f t="shared" si="1109"/>
        <v>1.9634899901879832</v>
      </c>
      <c r="AN207" s="36">
        <f>AN205/AN198</f>
        <v>1.5275203480784625</v>
      </c>
      <c r="AO207" s="36">
        <f>AO205/AO198</f>
        <v>1.4906036154468616</v>
      </c>
      <c r="AP207" s="36">
        <f t="shared" ref="AP207:AQ207" si="1110">AP205/AP198</f>
        <v>1.37536100622873</v>
      </c>
      <c r="AQ207" s="36">
        <f t="shared" si="1110"/>
        <v>1.6219118316505752</v>
      </c>
      <c r="AR207" s="36">
        <f>AR205/AR198</f>
        <v>1.7181312836818721</v>
      </c>
      <c r="AS207" s="36">
        <f>AS205/AS198</f>
        <v>1.4300611905830869</v>
      </c>
      <c r="AT207" s="36">
        <f t="shared" ref="AT207:AU207" si="1111">AT205/AT198</f>
        <v>1.4986257109287586</v>
      </c>
      <c r="AU207" s="36">
        <f t="shared" si="1111"/>
        <v>1.5494211739279362</v>
      </c>
      <c r="AV207" s="36">
        <f>AV205/AV198</f>
        <v>1.4596870604187746</v>
      </c>
      <c r="AW207" s="36">
        <f>AW205/AW198</f>
        <v>1.4842770504409026</v>
      </c>
      <c r="AX207" s="36">
        <f t="shared" ref="AX207" si="1112">AX205/AX198</f>
        <v>1.318566990500188</v>
      </c>
      <c r="AY207" s="36"/>
      <c r="AZ207" s="36"/>
      <c r="BA207" s="36"/>
    </row>
    <row r="208" spans="2:53" ht="13.5" customHeight="1">
      <c r="B208" s="5" t="s">
        <v>306</v>
      </c>
      <c r="C208" s="36"/>
      <c r="D208" s="186">
        <v>2.2000000000000002</v>
      </c>
      <c r="E208" s="186">
        <v>1.9</v>
      </c>
      <c r="F208" s="186">
        <v>1.9</v>
      </c>
      <c r="G208" s="186">
        <v>1.8</v>
      </c>
      <c r="H208" s="186">
        <v>1.7</v>
      </c>
      <c r="I208" s="186">
        <v>1.5</v>
      </c>
      <c r="J208" s="186">
        <v>1.2</v>
      </c>
      <c r="K208" s="36">
        <f>AG208</f>
        <v>0.7</v>
      </c>
      <c r="L208" s="36">
        <f>AK208</f>
        <v>1.3</v>
      </c>
      <c r="M208" s="36">
        <f>AO208</f>
        <v>1.4</v>
      </c>
      <c r="N208" s="36">
        <f>AS208</f>
        <v>1.2</v>
      </c>
      <c r="O208" s="36">
        <f>AT208</f>
        <v>1.4</v>
      </c>
      <c r="P208" s="36">
        <f>AX208</f>
        <v>1.1000000000000001</v>
      </c>
      <c r="Q208" s="324"/>
      <c r="R208" s="186"/>
      <c r="S208" s="186"/>
      <c r="T208" s="186"/>
      <c r="U208" s="187">
        <f>+H208</f>
        <v>1.7</v>
      </c>
      <c r="V208" s="186">
        <v>1.7</v>
      </c>
      <c r="W208" s="186">
        <v>1.7</v>
      </c>
      <c r="X208" s="186">
        <v>2</v>
      </c>
      <c r="Y208" s="186">
        <f>I208</f>
        <v>1.5</v>
      </c>
      <c r="Z208" s="186">
        <v>1.4</v>
      </c>
      <c r="AA208" s="186">
        <v>1.8</v>
      </c>
      <c r="AB208" s="186">
        <v>1.5</v>
      </c>
      <c r="AC208" s="186">
        <v>1.2</v>
      </c>
      <c r="AD208" s="186">
        <v>1.2</v>
      </c>
      <c r="AE208" s="186">
        <v>0.9</v>
      </c>
      <c r="AF208" s="186">
        <v>0.6</v>
      </c>
      <c r="AG208" s="186">
        <v>0.7</v>
      </c>
      <c r="AH208" s="186">
        <v>1.2</v>
      </c>
      <c r="AI208" s="186">
        <v>1.3</v>
      </c>
      <c r="AJ208" s="186">
        <v>1.4</v>
      </c>
      <c r="AK208" s="186">
        <v>1.3</v>
      </c>
      <c r="AL208" s="186">
        <v>1.2</v>
      </c>
      <c r="AM208" s="186">
        <v>1.5</v>
      </c>
      <c r="AN208" s="186">
        <v>1.5</v>
      </c>
      <c r="AO208" s="186">
        <v>1.4</v>
      </c>
      <c r="AP208" s="186">
        <v>1.2</v>
      </c>
      <c r="AQ208" s="186">
        <v>1.4</v>
      </c>
      <c r="AR208" s="186">
        <v>1.3</v>
      </c>
      <c r="AS208" s="186">
        <v>1.2</v>
      </c>
      <c r="AT208" s="186">
        <v>1.4</v>
      </c>
      <c r="AU208" s="186">
        <v>1.4</v>
      </c>
      <c r="AV208" s="186">
        <v>1.3</v>
      </c>
      <c r="AW208" s="186">
        <v>1.2</v>
      </c>
      <c r="AX208" s="186">
        <v>1.1000000000000001</v>
      </c>
      <c r="AY208" s="186"/>
      <c r="AZ208" s="186"/>
      <c r="BA208" s="186"/>
    </row>
    <row r="209" spans="1:53" ht="13.5" customHeight="1">
      <c r="B209" s="5"/>
      <c r="C209" s="36"/>
      <c r="D209" s="186"/>
      <c r="E209" s="186"/>
      <c r="F209" s="186"/>
      <c r="G209" s="186"/>
      <c r="H209" s="186"/>
      <c r="I209" s="186"/>
      <c r="J209" s="186"/>
      <c r="K209" s="36"/>
      <c r="L209" s="36"/>
      <c r="M209" s="36"/>
      <c r="N209" s="36"/>
      <c r="O209" s="36"/>
      <c r="P209" s="36"/>
      <c r="Q209" s="324"/>
      <c r="R209" s="186"/>
      <c r="S209" s="186"/>
      <c r="T209" s="186"/>
      <c r="U209" s="187"/>
      <c r="V209" s="186"/>
      <c r="W209" s="186"/>
      <c r="X209" s="186"/>
      <c r="Y209" s="186"/>
      <c r="Z209" s="186"/>
      <c r="AA209" s="186"/>
      <c r="AB209" s="186"/>
      <c r="AC209" s="186"/>
      <c r="AD209" s="186"/>
      <c r="AE209" s="186"/>
      <c r="AF209" s="186"/>
      <c r="AG209" s="186"/>
      <c r="AH209" s="186"/>
      <c r="AI209" s="186"/>
      <c r="AJ209" s="186"/>
      <c r="AK209" s="186"/>
      <c r="AL209" s="186"/>
      <c r="AM209" s="186"/>
      <c r="AN209" s="186"/>
      <c r="AO209" s="186"/>
      <c r="AP209" s="186"/>
      <c r="AQ209" s="186"/>
      <c r="AR209" s="186"/>
      <c r="AS209" s="186"/>
      <c r="AT209" s="186"/>
      <c r="AU209" s="186"/>
      <c r="AV209" s="186"/>
      <c r="AW209" s="186"/>
      <c r="AX209" s="186"/>
      <c r="AY209" s="186"/>
      <c r="AZ209" s="186"/>
      <c r="BA209" s="186"/>
    </row>
    <row r="210" spans="1:53" ht="13.5" customHeight="1">
      <c r="B210" s="5"/>
      <c r="C210" s="36"/>
      <c r="D210" s="186"/>
      <c r="E210" s="186"/>
      <c r="F210" s="186"/>
      <c r="G210" s="186"/>
      <c r="H210" s="186"/>
      <c r="I210" s="186"/>
      <c r="J210" s="186"/>
      <c r="K210" s="36"/>
      <c r="L210" s="36"/>
      <c r="M210" s="36"/>
      <c r="N210" s="36"/>
      <c r="O210" s="36"/>
      <c r="P210" s="36"/>
      <c r="Q210" s="324"/>
      <c r="R210" s="186"/>
      <c r="S210" s="186"/>
      <c r="T210" s="186"/>
      <c r="U210" s="187"/>
      <c r="V210" s="186"/>
      <c r="W210" s="186"/>
      <c r="X210" s="186"/>
      <c r="Y210" s="186"/>
      <c r="Z210" s="186"/>
      <c r="AA210" s="186"/>
      <c r="AB210" s="186"/>
      <c r="AC210" s="186"/>
      <c r="AD210" s="186"/>
      <c r="AE210" s="186"/>
      <c r="AF210" s="186"/>
      <c r="AG210" s="186"/>
      <c r="AH210" s="186"/>
      <c r="AI210" s="186"/>
      <c r="AJ210" s="186"/>
      <c r="AK210" s="186"/>
      <c r="AL210" s="186"/>
      <c r="AM210" s="186"/>
      <c r="AN210" s="186"/>
      <c r="AO210" s="186"/>
      <c r="AP210" s="186"/>
      <c r="AQ210" s="186"/>
      <c r="AR210" s="186"/>
      <c r="AS210" s="186"/>
      <c r="AT210" s="186"/>
      <c r="AU210" s="186"/>
      <c r="AV210" s="186"/>
      <c r="AW210" s="186"/>
      <c r="AX210" s="186"/>
      <c r="AY210" s="186"/>
      <c r="AZ210" s="186"/>
      <c r="BA210" s="186"/>
    </row>
    <row r="211" spans="1:53" ht="13.5" customHeight="1">
      <c r="B211" s="5"/>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H211" s="36"/>
      <c r="AI211" s="36"/>
      <c r="AJ211" s="36"/>
      <c r="AK211" s="36"/>
      <c r="AL211" s="36"/>
      <c r="AM211" s="36"/>
      <c r="AN211" s="36"/>
      <c r="AO211" s="36"/>
      <c r="AP211" s="36"/>
      <c r="AQ211" s="36"/>
      <c r="AR211" s="36"/>
      <c r="AS211" s="36"/>
      <c r="AT211" s="36"/>
      <c r="AU211" s="36"/>
      <c r="AV211" s="36"/>
      <c r="AW211" s="36"/>
      <c r="AX211" s="36"/>
      <c r="AY211" s="36"/>
      <c r="AZ211" s="36"/>
      <c r="BA211" s="36"/>
    </row>
    <row r="212" spans="1:53" ht="13.5" customHeight="1">
      <c r="A212" s="22"/>
      <c r="B212" s="15" t="s">
        <v>297</v>
      </c>
      <c r="C212" s="33"/>
      <c r="D212" s="33"/>
      <c r="E212" s="33"/>
      <c r="F212" s="33"/>
      <c r="G212" s="33"/>
      <c r="H212" s="33"/>
      <c r="I212" s="33"/>
      <c r="J212" s="33"/>
      <c r="K212" s="33"/>
      <c r="L212" s="33"/>
      <c r="M212" s="33"/>
      <c r="N212" s="33"/>
      <c r="O212" s="33"/>
      <c r="P212" s="33"/>
      <c r="Q212" s="267"/>
      <c r="R212" s="33"/>
      <c r="S212" s="33"/>
      <c r="T212" s="33"/>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3"/>
      <c r="AV212" s="33"/>
      <c r="AW212" s="33"/>
      <c r="AX212" s="33"/>
      <c r="AY212" s="267"/>
      <c r="AZ212" s="267"/>
      <c r="BA212" s="267"/>
    </row>
    <row r="213" spans="1:53" s="5" customFormat="1" ht="13.5" customHeight="1">
      <c r="A213" s="50"/>
      <c r="B213" s="51" t="s">
        <v>65</v>
      </c>
      <c r="C213" s="60"/>
      <c r="D213" s="60">
        <f>+D121</f>
        <v>42004</v>
      </c>
      <c r="E213" s="60">
        <f>+E121</f>
        <v>42369</v>
      </c>
      <c r="F213" s="60">
        <f>+F121</f>
        <v>42735</v>
      </c>
      <c r="G213" s="60">
        <f>+G121</f>
        <v>43100</v>
      </c>
      <c r="H213" s="60">
        <f>+H121</f>
        <v>43465</v>
      </c>
      <c r="I213" s="60">
        <f>+I121</f>
        <v>43830</v>
      </c>
      <c r="J213" s="60">
        <f>+J121</f>
        <v>44196</v>
      </c>
      <c r="K213" s="60">
        <f>+K121</f>
        <v>44561</v>
      </c>
      <c r="L213" s="60">
        <f>+L121</f>
        <v>44926</v>
      </c>
      <c r="M213" s="60">
        <f>+M121</f>
        <v>45291</v>
      </c>
      <c r="N213" s="60">
        <f>+N121</f>
        <v>45657</v>
      </c>
      <c r="O213" s="60">
        <f>+O121</f>
        <v>46022</v>
      </c>
      <c r="P213" s="84">
        <f>+P121</f>
        <v>46111</v>
      </c>
      <c r="Q213" s="268"/>
      <c r="R213" s="60">
        <f>+R121</f>
        <v>43189</v>
      </c>
      <c r="S213" s="60">
        <f>+S121</f>
        <v>43281</v>
      </c>
      <c r="T213" s="60">
        <f>+T121</f>
        <v>43373</v>
      </c>
      <c r="U213" s="60">
        <f>+U121</f>
        <v>43464</v>
      </c>
      <c r="V213" s="60">
        <f>+V121</f>
        <v>43554</v>
      </c>
      <c r="W213" s="60">
        <f>+W121</f>
        <v>43646</v>
      </c>
      <c r="X213" s="60">
        <f>+X121</f>
        <v>43738</v>
      </c>
      <c r="Y213" s="60">
        <f>+Y121</f>
        <v>43829</v>
      </c>
      <c r="Z213" s="60">
        <f>+Z121</f>
        <v>43920</v>
      </c>
      <c r="AA213" s="60">
        <f>+AA121</f>
        <v>44012</v>
      </c>
      <c r="AB213" s="60">
        <f>+AB121</f>
        <v>44104</v>
      </c>
      <c r="AC213" s="60">
        <f>+AC121</f>
        <v>44195</v>
      </c>
      <c r="AD213" s="60">
        <f>+AD121</f>
        <v>44285</v>
      </c>
      <c r="AE213" s="60">
        <f>+AE121</f>
        <v>44377</v>
      </c>
      <c r="AF213" s="60">
        <f>+AF121</f>
        <v>44469</v>
      </c>
      <c r="AG213" s="60">
        <f>+AG121</f>
        <v>44560</v>
      </c>
      <c r="AH213" s="60">
        <f>+AH121</f>
        <v>44650</v>
      </c>
      <c r="AI213" s="60">
        <f>+AI121</f>
        <v>44742</v>
      </c>
      <c r="AJ213" s="60">
        <f>+AJ121</f>
        <v>44834</v>
      </c>
      <c r="AK213" s="60">
        <f>+AK121</f>
        <v>44925</v>
      </c>
      <c r="AL213" s="60">
        <f>+AL121</f>
        <v>45015</v>
      </c>
      <c r="AM213" s="60">
        <f>+AM121</f>
        <v>45107</v>
      </c>
      <c r="AN213" s="60">
        <f>+AN121</f>
        <v>45199</v>
      </c>
      <c r="AO213" s="60">
        <f>+AO121</f>
        <v>45290</v>
      </c>
      <c r="AP213" s="60">
        <f>+AP121</f>
        <v>45381</v>
      </c>
      <c r="AQ213" s="60">
        <f>+AQ121</f>
        <v>45473</v>
      </c>
      <c r="AR213" s="60">
        <f>+AR121</f>
        <v>45565</v>
      </c>
      <c r="AS213" s="60">
        <f>+AS121</f>
        <v>45656</v>
      </c>
      <c r="AT213" s="60">
        <f>+AT121</f>
        <v>45746</v>
      </c>
      <c r="AU213" s="60">
        <f>+AU121</f>
        <v>45838</v>
      </c>
      <c r="AV213" s="60">
        <f>+AV121</f>
        <v>45930</v>
      </c>
      <c r="AW213" s="60">
        <f>+AW121</f>
        <v>46021</v>
      </c>
      <c r="AX213" s="60">
        <f>+AX121</f>
        <v>46111</v>
      </c>
      <c r="AY213" s="268"/>
      <c r="AZ213" s="268"/>
      <c r="BA213" s="268"/>
    </row>
    <row r="214" spans="1:53" s="5" customFormat="1" ht="13.5" customHeight="1">
      <c r="B214" s="10"/>
      <c r="C214" s="13"/>
      <c r="D214" s="13"/>
      <c r="E214" s="13"/>
      <c r="F214" s="13"/>
      <c r="G214" s="13"/>
      <c r="H214" s="13"/>
      <c r="I214" s="13"/>
      <c r="J214" s="13"/>
      <c r="K214" s="13"/>
      <c r="L214" s="13"/>
      <c r="M214" s="13"/>
      <c r="N214" s="13"/>
      <c r="O214" s="13"/>
      <c r="P214" s="13"/>
      <c r="Q214" s="134"/>
      <c r="R214" s="13"/>
      <c r="S214" s="13"/>
      <c r="T214" s="13"/>
      <c r="U214" s="13"/>
      <c r="V214" s="13"/>
      <c r="W214" s="13"/>
      <c r="X214" s="13"/>
      <c r="Y214" s="13"/>
      <c r="Z214" s="13"/>
      <c r="AA214" s="13"/>
      <c r="AB214" s="13"/>
      <c r="AC214" s="13"/>
      <c r="AD214" s="13"/>
      <c r="AE214" s="13"/>
      <c r="AF214" s="13"/>
      <c r="AG214" s="13"/>
      <c r="AH214" s="13"/>
      <c r="AI214" s="13"/>
      <c r="AJ214" s="13"/>
      <c r="AK214" s="13"/>
      <c r="AL214" s="13"/>
      <c r="AM214" s="13"/>
      <c r="AN214" s="13"/>
      <c r="AO214" s="13"/>
      <c r="AP214" s="13"/>
      <c r="AQ214" s="13"/>
      <c r="AR214" s="13"/>
      <c r="AS214" s="13"/>
      <c r="AT214" s="13"/>
      <c r="AU214" s="13"/>
      <c r="AV214" s="13"/>
      <c r="AW214" s="13"/>
      <c r="AX214" s="13"/>
      <c r="AY214" s="134"/>
      <c r="AZ214" s="134"/>
      <c r="BA214" s="134"/>
    </row>
    <row r="215" spans="1:53" s="5" customFormat="1" ht="13.5" customHeight="1">
      <c r="A215" s="3"/>
      <c r="B215" s="3"/>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c r="AA215" s="19"/>
      <c r="AB215" s="19"/>
      <c r="AC215" s="19"/>
      <c r="AD215" s="19"/>
      <c r="AE215" s="19"/>
      <c r="AF215" s="19"/>
      <c r="AG215" s="19"/>
      <c r="AH215" s="19"/>
      <c r="AI215" s="19"/>
      <c r="AJ215" s="19"/>
      <c r="AK215" s="19"/>
      <c r="AL215" s="19"/>
      <c r="AM215" s="19"/>
      <c r="AN215" s="19"/>
      <c r="AO215" s="19"/>
      <c r="AP215" s="19"/>
      <c r="AQ215" s="19"/>
      <c r="AR215" s="19"/>
      <c r="AS215" s="19"/>
      <c r="AT215" s="19"/>
      <c r="AU215" s="19"/>
      <c r="AV215" s="19"/>
      <c r="AW215" s="19"/>
      <c r="AX215" s="19"/>
      <c r="AY215" s="19"/>
      <c r="AZ215" s="19"/>
      <c r="BA215" s="19"/>
    </row>
    <row r="216" spans="1:53" s="5" customFormat="1" ht="13.5" customHeight="1">
      <c r="B216" s="5" t="str">
        <f>+B7</f>
        <v>Net Sales</v>
      </c>
      <c r="C216" s="38"/>
      <c r="D216" s="38">
        <f>D7*D$192</f>
        <v>3151.1578857854224</v>
      </c>
      <c r="E216" s="38">
        <f>E7*E$192</f>
        <v>2867.739370054685</v>
      </c>
      <c r="F216" s="38">
        <f>F7*F$192</f>
        <v>2626.6965966690805</v>
      </c>
      <c r="G216" s="38">
        <f>G7*G$192</f>
        <v>2848.2847840152817</v>
      </c>
      <c r="H216" s="38">
        <f>H7*H$192</f>
        <v>2608.9576104924986</v>
      </c>
      <c r="I216" s="38">
        <f>I7*I$192</f>
        <v>2533.5226801325739</v>
      </c>
      <c r="J216" s="38">
        <f>J7*J$192</f>
        <v>2146.1782256736151</v>
      </c>
      <c r="K216" s="38">
        <f>K7*K$192</f>
        <v>2868.1991224142294</v>
      </c>
      <c r="L216" s="38">
        <f>L7*L$192</f>
        <v>3038.0895212019327</v>
      </c>
      <c r="M216" s="38">
        <f>M7*M$192</f>
        <v>3085.3678892154298</v>
      </c>
      <c r="N216" s="38">
        <f>N7*N$192</f>
        <v>3416.0748687974997</v>
      </c>
      <c r="O216" s="38">
        <f>O7*O$192</f>
        <v>3516.8326089765974</v>
      </c>
      <c r="P216" s="38">
        <f>P7*P$192</f>
        <v>3631.6395277380625</v>
      </c>
      <c r="Q216" s="38"/>
      <c r="R216" s="38">
        <f>R7*R$192</f>
        <v>797.08872720023919</v>
      </c>
      <c r="S216" s="38">
        <f>S7*S$192</f>
        <v>583.55544888260977</v>
      </c>
      <c r="T216" s="38">
        <f>T7*T$192</f>
        <v>520.32818003618809</v>
      </c>
      <c r="U216" s="38">
        <f>U7*U$192</f>
        <v>755.61844608714671</v>
      </c>
      <c r="V216" s="38">
        <f>V7*V$192</f>
        <v>671.26340537295516</v>
      </c>
      <c r="W216" s="38">
        <f>W7*W$192</f>
        <v>554.66473655764764</v>
      </c>
      <c r="X216" s="38">
        <f>X7*X$192</f>
        <v>574.09025413552956</v>
      </c>
      <c r="Y216" s="38">
        <f>Y7*Y$192</f>
        <v>721.4751104059236</v>
      </c>
      <c r="Z216" s="38">
        <f>Z7*Z$192</f>
        <v>627.31801591248131</v>
      </c>
      <c r="AA216" s="38">
        <f>AA7*AA$192</f>
        <v>379.74601653696499</v>
      </c>
      <c r="AB216" s="38">
        <f>AB7*AB$192</f>
        <v>504.87468802049966</v>
      </c>
      <c r="AC216" s="38">
        <f>AC7*AC$192</f>
        <v>640.6141884341846</v>
      </c>
      <c r="AD216" s="38">
        <f>AD7*AD$192</f>
        <v>653.77197040728504</v>
      </c>
      <c r="AE216" s="38">
        <f>AE7*AE$192</f>
        <v>610.5233206465183</v>
      </c>
      <c r="AF216" s="38">
        <f>AF7*AF$192</f>
        <v>701.82646882520419</v>
      </c>
      <c r="AG216" s="38">
        <f>AG7*AG$192</f>
        <v>876.75320472439807</v>
      </c>
      <c r="AH216" s="38">
        <f>AH7*AH$192</f>
        <v>761.83078058142746</v>
      </c>
      <c r="AI216" s="38">
        <f>AI7*AI$192</f>
        <v>697.78274776693036</v>
      </c>
      <c r="AJ216" s="38">
        <f>AJ7*AJ$192</f>
        <v>696.02320412875451</v>
      </c>
      <c r="AK216" s="38">
        <f>AK7*AK$192</f>
        <v>873.393498992697</v>
      </c>
      <c r="AL216" s="38">
        <f>AL7*AL$192</f>
        <v>855.6573906242154</v>
      </c>
      <c r="AM216" s="38">
        <f>AM7*AM$192</f>
        <v>757.27569497725938</v>
      </c>
      <c r="AN216" s="38">
        <f>AN7*AN$192</f>
        <v>769.87037125028428</v>
      </c>
      <c r="AO216" s="38">
        <f>AO7*AO$192</f>
        <v>703.33163951211168</v>
      </c>
      <c r="AP216" s="38">
        <f>AP7*AP$192</f>
        <v>850.50158381999995</v>
      </c>
      <c r="AQ216" s="38">
        <f>AQ7*AQ$192</f>
        <v>719.24644900999999</v>
      </c>
      <c r="AR216" s="38">
        <f>AR7*AR$192</f>
        <v>780.589390536</v>
      </c>
      <c r="AS216" s="38">
        <f>AS7*AS$192</f>
        <v>1058.3591284059996</v>
      </c>
      <c r="AT216" s="38">
        <f>AT7*AT$192</f>
        <v>921.04150581899989</v>
      </c>
      <c r="AU216" s="38">
        <f>AU7*AU$192</f>
        <v>779.490670464</v>
      </c>
      <c r="AV216" s="38">
        <f>AV7*AV$192</f>
        <v>833.86615094496881</v>
      </c>
      <c r="AW216" s="38">
        <f>AW7*AW$192</f>
        <v>983.16825969631418</v>
      </c>
      <c r="AX216" s="38">
        <f>AX7*AX$192</f>
        <v>1042.5154934184554</v>
      </c>
      <c r="AY216" s="38"/>
      <c r="AZ216" s="38"/>
      <c r="BA216" s="38"/>
    </row>
    <row r="217" spans="1:53" s="34" customFormat="1" ht="13.5" customHeight="1">
      <c r="B217" s="23" t="str">
        <f>+B8</f>
        <v xml:space="preserve">% y-o-y growth </v>
      </c>
      <c r="C217" s="47"/>
      <c r="D217" s="47"/>
      <c r="E217" s="47"/>
      <c r="F217" s="47"/>
      <c r="G217" s="47">
        <f t="shared" ref="G217:O217" si="1113">+G216/F216-1</f>
        <v>8.4360023775565729E-2</v>
      </c>
      <c r="H217" s="47">
        <f t="shared" si="1113"/>
        <v>-8.4025015639552336E-2</v>
      </c>
      <c r="I217" s="47">
        <f t="shared" si="1113"/>
        <v>-2.8913819855311718E-2</v>
      </c>
      <c r="J217" s="47">
        <f t="shared" si="1113"/>
        <v>-0.15288769960357718</v>
      </c>
      <c r="K217" s="47">
        <f t="shared" si="1113"/>
        <v>0.33642168581502374</v>
      </c>
      <c r="L217" s="47">
        <f t="shared" si="1113"/>
        <v>5.9232428271821957E-2</v>
      </c>
      <c r="M217" s="47">
        <f t="shared" si="1113"/>
        <v>1.5561874554240518E-2</v>
      </c>
      <c r="N217" s="47">
        <f t="shared" si="1113"/>
        <v>0.10718559065128686</v>
      </c>
      <c r="O217" s="47">
        <f t="shared" si="1113"/>
        <v>2.9495179130709648E-2</v>
      </c>
      <c r="P217" s="47"/>
      <c r="Q217" s="320"/>
      <c r="R217" s="47"/>
      <c r="S217" s="47"/>
      <c r="T217" s="47"/>
      <c r="U217" s="47"/>
      <c r="V217" s="47">
        <f t="shared" ref="V217:AX217" si="1114">+V216/R216-1</f>
        <v>-0.15785610501511338</v>
      </c>
      <c r="W217" s="47">
        <f t="shared" si="1114"/>
        <v>-4.9508084245091011E-2</v>
      </c>
      <c r="X217" s="47">
        <f t="shared" si="1114"/>
        <v>0.10332339504580057</v>
      </c>
      <c r="Y217" s="47">
        <f t="shared" si="1114"/>
        <v>-4.5185947825955086E-2</v>
      </c>
      <c r="Z217" s="47">
        <f t="shared" si="1114"/>
        <v>-6.5466684327976643E-2</v>
      </c>
      <c r="AA217" s="47">
        <f t="shared" si="1114"/>
        <v>-0.31535936664418351</v>
      </c>
      <c r="AB217" s="47">
        <f t="shared" si="1114"/>
        <v>-0.1205656525545018</v>
      </c>
      <c r="AC217" s="47">
        <f t="shared" si="1114"/>
        <v>-0.11207721625524159</v>
      </c>
      <c r="AD217" s="47">
        <f t="shared" si="1114"/>
        <v>4.2169926295396509E-2</v>
      </c>
      <c r="AE217" s="47">
        <f t="shared" si="1114"/>
        <v>0.60771487799685486</v>
      </c>
      <c r="AF217" s="47">
        <f t="shared" si="1114"/>
        <v>0.39010032682943208</v>
      </c>
      <c r="AG217" s="47">
        <f t="shared" si="1114"/>
        <v>0.36861346587935273</v>
      </c>
      <c r="AH217" s="47">
        <f t="shared" si="1114"/>
        <v>0.1652851683237877</v>
      </c>
      <c r="AI217" s="47">
        <f t="shared" si="1114"/>
        <v>0.14292562490161398</v>
      </c>
      <c r="AJ217" s="47">
        <f t="shared" si="1114"/>
        <v>-8.2688028369232169E-3</v>
      </c>
      <c r="AK217" s="47">
        <f t="shared" si="1114"/>
        <v>-3.8319856871891211E-3</v>
      </c>
      <c r="AL217" s="47">
        <f t="shared" si="1114"/>
        <v>0.1231593845173593</v>
      </c>
      <c r="AM217" s="47">
        <f t="shared" si="1114"/>
        <v>8.525998586339445E-2</v>
      </c>
      <c r="AN217" s="47">
        <f t="shared" si="1114"/>
        <v>0.10609871435819129</v>
      </c>
      <c r="AO217" s="47">
        <f t="shared" si="1114"/>
        <v>-0.1947139057901407</v>
      </c>
      <c r="AP217" s="47">
        <f t="shared" si="1114"/>
        <v>-6.0255504840017737E-3</v>
      </c>
      <c r="AQ217" s="47">
        <f t="shared" si="1114"/>
        <v>-5.0218495350496384E-2</v>
      </c>
      <c r="AR217" s="47">
        <f t="shared" si="1114"/>
        <v>1.3923148215598813E-2</v>
      </c>
      <c r="AS217" s="47">
        <f t="shared" si="1114"/>
        <v>0.50477963587727137</v>
      </c>
      <c r="AT217" s="47">
        <f t="shared" si="1114"/>
        <v>8.2939201220733949E-2</v>
      </c>
      <c r="AU217" s="47">
        <f t="shared" si="1114"/>
        <v>8.3760193097821567E-2</v>
      </c>
      <c r="AV217" s="47">
        <f t="shared" si="1114"/>
        <v>6.8251965828520555E-2</v>
      </c>
      <c r="AW217" s="47">
        <f t="shared" si="1114"/>
        <v>-7.1044758524387519E-2</v>
      </c>
      <c r="AX217" s="47">
        <f t="shared" si="1114"/>
        <v>0.13188763680246907</v>
      </c>
      <c r="AY217" s="138"/>
      <c r="AZ217" s="138"/>
      <c r="BA217" s="138"/>
    </row>
    <row r="218" spans="1:53" s="5" customFormat="1" ht="13.5" customHeight="1" thickBot="1">
      <c r="B218" s="21"/>
      <c r="C218" s="43"/>
      <c r="D218" s="43"/>
      <c r="E218" s="43"/>
      <c r="F218" s="43"/>
      <c r="G218" s="43"/>
      <c r="H218" s="43"/>
      <c r="I218" s="43"/>
      <c r="J218" s="43"/>
      <c r="K218" s="43"/>
      <c r="L218" s="43"/>
      <c r="M218" s="43"/>
      <c r="N218" s="43"/>
      <c r="O218" s="43"/>
      <c r="P218" s="43"/>
      <c r="Q218" s="7"/>
      <c r="R218" s="43"/>
      <c r="S218" s="43"/>
      <c r="T218" s="43"/>
      <c r="U218" s="43"/>
      <c r="V218" s="43"/>
      <c r="W218" s="43"/>
      <c r="X218" s="43"/>
      <c r="Y218" s="43"/>
      <c r="Z218" s="43"/>
      <c r="AA218" s="43"/>
      <c r="AB218" s="43"/>
      <c r="AC218" s="43"/>
      <c r="AD218" s="43"/>
      <c r="AE218" s="43"/>
      <c r="AF218" s="43"/>
      <c r="AG218" s="43"/>
      <c r="AH218" s="43"/>
      <c r="AI218" s="43"/>
      <c r="AJ218" s="43"/>
      <c r="AK218" s="43"/>
      <c r="AL218" s="43"/>
      <c r="AM218" s="43"/>
      <c r="AN218" s="43"/>
      <c r="AO218" s="43"/>
      <c r="AP218" s="43"/>
      <c r="AQ218" s="43"/>
      <c r="AR218" s="43"/>
      <c r="AS218" s="43"/>
      <c r="AT218" s="43"/>
      <c r="AU218" s="43"/>
      <c r="AV218" s="43"/>
      <c r="AW218" s="43"/>
      <c r="AX218" s="43"/>
      <c r="AY218" s="7"/>
      <c r="AZ218" s="7"/>
      <c r="BA218" s="7"/>
    </row>
    <row r="219" spans="1:53" s="5" customFormat="1" ht="13.5" customHeight="1" thickTop="1" thickBot="1">
      <c r="B219" s="21" t="str">
        <f>B57</f>
        <v>Adj. EBITDA</v>
      </c>
      <c r="C219" s="43"/>
      <c r="D219" s="43">
        <f>D57*D$192</f>
        <v>508.02167166377353</v>
      </c>
      <c r="E219" s="43">
        <f>E57*E$192</f>
        <v>483.04157883481503</v>
      </c>
      <c r="F219" s="43">
        <f>F57*F$192</f>
        <v>459.59449674149164</v>
      </c>
      <c r="G219" s="43">
        <f>G57*G$192</f>
        <v>520.53703475474481</v>
      </c>
      <c r="H219" s="43">
        <f>H57*H$192</f>
        <v>506.79018121705496</v>
      </c>
      <c r="I219" s="43">
        <f>I57*I$192</f>
        <v>496.82689493406667</v>
      </c>
      <c r="J219" s="43">
        <f>J57*J$192</f>
        <v>442.97971938426571</v>
      </c>
      <c r="K219" s="43">
        <f>K57*K$192</f>
        <v>513.94831366181086</v>
      </c>
      <c r="L219" s="43">
        <f>L57*L$192</f>
        <v>531.1582818955136</v>
      </c>
      <c r="M219" s="43">
        <f>M57*M$192</f>
        <v>553.93965898680199</v>
      </c>
      <c r="N219" s="43">
        <f>N57*N$192</f>
        <v>612.59442399999989</v>
      </c>
      <c r="O219" s="43">
        <f>O57*O$192</f>
        <v>646.21211695386387</v>
      </c>
      <c r="P219" s="43">
        <f>P57*P$192</f>
        <v>683.7805544094125</v>
      </c>
      <c r="Q219" s="7"/>
      <c r="R219" s="43">
        <f>R57*R$192</f>
        <v>167.58364065251337</v>
      </c>
      <c r="S219" s="43">
        <f>S57*S$192</f>
        <v>94.042191112252766</v>
      </c>
      <c r="T219" s="43">
        <f>T57*T$192</f>
        <v>88.864595898673102</v>
      </c>
      <c r="U219" s="43">
        <f>U57*U$192</f>
        <v>166.19880852125635</v>
      </c>
      <c r="V219" s="43">
        <f>V57*V$192</f>
        <v>140.62884586522588</v>
      </c>
      <c r="W219" s="43">
        <f>W57*W$192</f>
        <v>91.184504593990567</v>
      </c>
      <c r="X219" s="43">
        <f>X57*X$192</f>
        <v>93.917134017997157</v>
      </c>
      <c r="Y219" s="43">
        <f>Y57*Y$192</f>
        <v>166.94565648552162</v>
      </c>
      <c r="Z219" s="43">
        <f>Z57*Z$192</f>
        <v>129.23794132272502</v>
      </c>
      <c r="AA219" s="43">
        <f>AA57*AA$192</f>
        <v>52.075632295719842</v>
      </c>
      <c r="AB219" s="43">
        <f>AB57*AB$192</f>
        <v>99.012171684817417</v>
      </c>
      <c r="AC219" s="43">
        <f>AC57*AC$192</f>
        <v>166.25300713825604</v>
      </c>
      <c r="AD219" s="43">
        <f>AD57*AD$192</f>
        <v>130.91308424419125</v>
      </c>
      <c r="AE219" s="43">
        <f>AE57*AE$192</f>
        <v>95.776602954497108</v>
      </c>
      <c r="AF219" s="43">
        <f>AF57*AF$192</f>
        <v>110.47682665814382</v>
      </c>
      <c r="AG219" s="43">
        <f>AG57*AG$192</f>
        <v>170.17167688674493</v>
      </c>
      <c r="AH219" s="43">
        <f>AH57*AH$192</f>
        <v>148.13302567886444</v>
      </c>
      <c r="AI219" s="43">
        <f>AI57*AI$192</f>
        <v>110.70702408193173</v>
      </c>
      <c r="AJ219" s="43">
        <f>AJ57*AJ$192</f>
        <v>105.75103747131504</v>
      </c>
      <c r="AK219" s="43">
        <f>AK57*AK$192</f>
        <v>166.33426674546249</v>
      </c>
      <c r="AL219" s="43">
        <f>AL57*AL$192</f>
        <v>155.36301998108368</v>
      </c>
      <c r="AM219" s="43">
        <f>AM57*AM$192</f>
        <v>122.96539096789633</v>
      </c>
      <c r="AN219" s="43">
        <f>AN57*AN$192</f>
        <v>126.931081792239</v>
      </c>
      <c r="AO219" s="43">
        <f>AO57*AO$192</f>
        <v>147.36425218284853</v>
      </c>
      <c r="AP219" s="43">
        <f>AP57*AP$192</f>
        <v>169.55548400000001</v>
      </c>
      <c r="AQ219" s="43">
        <f>AQ57*AQ$192</f>
        <v>116.90713</v>
      </c>
      <c r="AR219" s="43">
        <f>AR57*AR$192</f>
        <v>123.116916</v>
      </c>
      <c r="AS219" s="43">
        <f>AS57*AS$192</f>
        <v>201.06081899999998</v>
      </c>
      <c r="AT219" s="43">
        <f>AT57*AT$192</f>
        <v>178.41481299999998</v>
      </c>
      <c r="AU219" s="43">
        <f>AU57*AU$192</f>
        <v>126.00508800000001</v>
      </c>
      <c r="AV219" s="43">
        <f>AV57*AV$192</f>
        <v>138.70309016273885</v>
      </c>
      <c r="AW219" s="43">
        <f>AW57*AW$192</f>
        <v>203.57012828475362</v>
      </c>
      <c r="AX219" s="43">
        <f>AX57*AX$192</f>
        <v>218.83776802734133</v>
      </c>
      <c r="AY219" s="7"/>
      <c r="AZ219" s="7"/>
      <c r="BA219" s="7"/>
    </row>
    <row r="220" spans="1:53" s="34" customFormat="1" ht="13.5" customHeight="1" thickTop="1">
      <c r="B220" s="23" t="s">
        <v>241</v>
      </c>
      <c r="C220" s="47"/>
      <c r="D220" s="47"/>
      <c r="E220" s="47">
        <f t="shared" ref="E220:O220" si="1115">+E219/D219-1</f>
        <v>-4.9171313395250604E-2</v>
      </c>
      <c r="F220" s="47">
        <f t="shared" si="1115"/>
        <v>-4.8540504835799081E-2</v>
      </c>
      <c r="G220" s="47">
        <f t="shared" si="1115"/>
        <v>0.13260066960186334</v>
      </c>
      <c r="H220" s="47">
        <f t="shared" si="1115"/>
        <v>-2.6408982684904991E-2</v>
      </c>
      <c r="I220" s="47">
        <f t="shared" si="1115"/>
        <v>-1.9659588232474268E-2</v>
      </c>
      <c r="J220" s="47">
        <f t="shared" si="1115"/>
        <v>-0.10838216710660753</v>
      </c>
      <c r="K220" s="47">
        <f t="shared" si="1115"/>
        <v>0.16020732140105709</v>
      </c>
      <c r="L220" s="47">
        <f t="shared" si="1115"/>
        <v>3.3485795704015553E-2</v>
      </c>
      <c r="M220" s="47">
        <f t="shared" si="1115"/>
        <v>4.2889996951548603E-2</v>
      </c>
      <c r="N220" s="47">
        <f t="shared" si="1115"/>
        <v>0.10588656013631881</v>
      </c>
      <c r="O220" s="47">
        <f t="shared" si="1115"/>
        <v>5.4877569296752249E-2</v>
      </c>
      <c r="P220" s="47"/>
      <c r="Q220" s="320"/>
      <c r="R220" s="47"/>
      <c r="S220" s="47"/>
      <c r="T220" s="47"/>
      <c r="U220" s="47"/>
      <c r="V220" s="47">
        <f t="shared" ref="V220:AX220" si="1116">+V219/R219-1</f>
        <v>-0.16084383107047162</v>
      </c>
      <c r="W220" s="47">
        <f t="shared" si="1116"/>
        <v>-3.0387281330473748E-2</v>
      </c>
      <c r="X220" s="47">
        <f t="shared" si="1116"/>
        <v>5.6856592529663352E-2</v>
      </c>
      <c r="Y220" s="47">
        <f t="shared" si="1116"/>
        <v>4.493702276871403E-3</v>
      </c>
      <c r="Z220" s="47">
        <f t="shared" si="1116"/>
        <v>-8.0999772645631629E-2</v>
      </c>
      <c r="AA220" s="47">
        <f t="shared" si="1116"/>
        <v>-0.42889822643010944</v>
      </c>
      <c r="AB220" s="47">
        <f t="shared" si="1116"/>
        <v>5.4250352931808132E-2</v>
      </c>
      <c r="AC220" s="47">
        <f t="shared" si="1116"/>
        <v>-4.1489509930775492E-3</v>
      </c>
      <c r="AD220" s="47">
        <f t="shared" si="1116"/>
        <v>1.2961696111230658E-2</v>
      </c>
      <c r="AE220" s="47">
        <f t="shared" si="1116"/>
        <v>0.83918271813992162</v>
      </c>
      <c r="AF220" s="47">
        <f t="shared" si="1116"/>
        <v>0.11579035969255891</v>
      </c>
      <c r="AG220" s="47">
        <f t="shared" si="1116"/>
        <v>2.3570519510844878E-2</v>
      </c>
      <c r="AH220" s="47">
        <f t="shared" si="1116"/>
        <v>0.13153720679709102</v>
      </c>
      <c r="AI220" s="47">
        <f t="shared" si="1116"/>
        <v>0.15588797959902578</v>
      </c>
      <c r="AJ220" s="47">
        <f t="shared" si="1116"/>
        <v>-4.2776293724041459E-2</v>
      </c>
      <c r="AK220" s="47">
        <f t="shared" si="1116"/>
        <v>-2.255022816656127E-2</v>
      </c>
      <c r="AL220" s="47">
        <f t="shared" si="1116"/>
        <v>4.8807443641184056E-2</v>
      </c>
      <c r="AM220" s="47">
        <f t="shared" si="1116"/>
        <v>0.11072799569512815</v>
      </c>
      <c r="AN220" s="47">
        <f t="shared" si="1116"/>
        <v>0.20028214216497919</v>
      </c>
      <c r="AO220" s="47">
        <f t="shared" si="1116"/>
        <v>-0.11404754374300596</v>
      </c>
      <c r="AP220" s="47">
        <f t="shared" si="1116"/>
        <v>9.1350335624554191E-2</v>
      </c>
      <c r="AQ220" s="47">
        <f t="shared" si="1116"/>
        <v>-4.926801696160199E-2</v>
      </c>
      <c r="AR220" s="47">
        <f t="shared" si="1116"/>
        <v>-3.004910805441674E-2</v>
      </c>
      <c r="AS220" s="47">
        <f t="shared" si="1116"/>
        <v>0.36437986839932601</v>
      </c>
      <c r="AT220" s="47">
        <f t="shared" si="1116"/>
        <v>5.2250324147580907E-2</v>
      </c>
      <c r="AU220" s="47">
        <f t="shared" si="1116"/>
        <v>7.7822096907177674E-2</v>
      </c>
      <c r="AV220" s="47">
        <f t="shared" si="1116"/>
        <v>0.12659652847979763</v>
      </c>
      <c r="AW220" s="47">
        <f t="shared" si="1116"/>
        <v>1.248034946457488E-2</v>
      </c>
      <c r="AX220" s="47">
        <f t="shared" si="1116"/>
        <v>0.22656725833264391</v>
      </c>
      <c r="AY220" s="138"/>
      <c r="AZ220" s="138"/>
      <c r="BA220" s="138"/>
    </row>
    <row r="221" spans="1:53" s="34" customFormat="1" ht="13.5" customHeight="1">
      <c r="B221" s="23" t="s">
        <v>242</v>
      </c>
      <c r="C221" s="47"/>
      <c r="D221" s="47">
        <f>D219/D216</f>
        <v>0.16121746039936991</v>
      </c>
      <c r="E221" s="47">
        <f>E219/E216</f>
        <v>0.16843984633987288</v>
      </c>
      <c r="F221" s="47">
        <f>F219/F216</f>
        <v>0.17497053040853838</v>
      </c>
      <c r="G221" s="47">
        <f>G219/G216</f>
        <v>0.18275456080656857</v>
      </c>
      <c r="H221" s="47">
        <f>H219/H216</f>
        <v>0.19425006338887471</v>
      </c>
      <c r="I221" s="47">
        <f>I219/I216</f>
        <v>0.1961012225507564</v>
      </c>
      <c r="J221" s="47">
        <f>J219/J216</f>
        <v>0.20640397618666029</v>
      </c>
      <c r="K221" s="47">
        <f>K219/K216</f>
        <v>0.17918850530475328</v>
      </c>
      <c r="L221" s="47">
        <f>L219/L216</f>
        <v>0.17483299230938268</v>
      </c>
      <c r="M221" s="47">
        <f>M219/M216</f>
        <v>0.17953763663744549</v>
      </c>
      <c r="N221" s="47">
        <f>N219/N216</f>
        <v>0.17932699004797886</v>
      </c>
      <c r="O221" s="47">
        <f>O219/O216</f>
        <v>0.18374832947818701</v>
      </c>
      <c r="P221" s="47">
        <f>P219/P216</f>
        <v>0.18828425816680647</v>
      </c>
      <c r="Q221" s="320"/>
      <c r="R221" s="47">
        <f>R219/R216</f>
        <v>0.21024465023002908</v>
      </c>
      <c r="S221" s="47">
        <f>S219/S216</f>
        <v>0.16115382230141878</v>
      </c>
      <c r="T221" s="47">
        <f>T219/T216</f>
        <v>0.17078566817675087</v>
      </c>
      <c r="U221" s="47">
        <f>U219/U216</f>
        <v>0.21995070313845722</v>
      </c>
      <c r="V221" s="47">
        <f>V219/V216</f>
        <v>0.20949875226267137</v>
      </c>
      <c r="W221" s="47">
        <f>W219/W216</f>
        <v>0.16439571255223207</v>
      </c>
      <c r="X221" s="47">
        <f>X219/X216</f>
        <v>0.16359297748298907</v>
      </c>
      <c r="Y221" s="47">
        <f>Y219/Y216</f>
        <v>0.23139489370824307</v>
      </c>
      <c r="Z221" s="47">
        <f>Z219/Z216</f>
        <v>0.20601662640716401</v>
      </c>
      <c r="AA221" s="47">
        <f>AA219/AA216</f>
        <v>0.13713279409910736</v>
      </c>
      <c r="AB221" s="47">
        <f>AB219/AB216</f>
        <v>0.1961123701269753</v>
      </c>
      <c r="AC221" s="47">
        <f>AC219/AC216</f>
        <v>0.25952126902561812</v>
      </c>
      <c r="AD221" s="47">
        <f>AD219/AD216</f>
        <v>0.20024273014126834</v>
      </c>
      <c r="AE221" s="47">
        <f>AE219/AE216</f>
        <v>0.15687623996586034</v>
      </c>
      <c r="AF221" s="47">
        <f>AF219/AF216</f>
        <v>0.15741330879565188</v>
      </c>
      <c r="AG221" s="47">
        <f>AG219/AG216</f>
        <v>0.1940930195290673</v>
      </c>
      <c r="AH221" s="47">
        <f>AH219/AH216</f>
        <v>0.19444347675977292</v>
      </c>
      <c r="AI221" s="47">
        <f>AI219/AI216</f>
        <v>0.15865543313620231</v>
      </c>
      <c r="AJ221" s="47">
        <f>AJ219/AJ216</f>
        <v>0.15193608035480466</v>
      </c>
      <c r="AK221" s="47">
        <f>AK219/AK216</f>
        <v>0.19044596386084769</v>
      </c>
      <c r="AL221" s="47">
        <f>AL219/AL216</f>
        <v>0.18157152814135566</v>
      </c>
      <c r="AM221" s="47">
        <f>AM219/AM216</f>
        <v>0.16237863143301981</v>
      </c>
      <c r="AN221" s="47">
        <f>AN219/AN216</f>
        <v>0.16487331703141203</v>
      </c>
      <c r="AO221" s="47">
        <f>AO219/AO216</f>
        <v>0.209523138025004</v>
      </c>
      <c r="AP221" s="47">
        <f>AP219/AP216</f>
        <v>0.19935939829582341</v>
      </c>
      <c r="AQ221" s="47">
        <f>AQ219/AQ216</f>
        <v>0.16254112920670755</v>
      </c>
      <c r="AR221" s="47">
        <f>AR219/AR216</f>
        <v>0.15772301992915952</v>
      </c>
      <c r="AS221" s="47">
        <f>AS219/AS216</f>
        <v>0.18997409631909989</v>
      </c>
      <c r="AT221" s="47">
        <f>AT219/AT216</f>
        <v>0.1937098511552437</v>
      </c>
      <c r="AU221" s="47">
        <f>AU219/AU216</f>
        <v>0.16165054024956343</v>
      </c>
      <c r="AV221" s="47">
        <f>AV219/AV216</f>
        <v>0.16633735522848028</v>
      </c>
      <c r="AW221" s="47">
        <f>AW219/AW216</f>
        <v>0.20705522811286989</v>
      </c>
      <c r="AX221" s="47">
        <f>AX219/AX216</f>
        <v>0.20991320456040646</v>
      </c>
      <c r="AY221" s="138"/>
      <c r="AZ221" s="138"/>
      <c r="BA221" s="138"/>
    </row>
    <row r="223" spans="1:53" s="5" customFormat="1" ht="13.5" customHeight="1">
      <c r="B223" s="5" t="str">
        <f>B62</f>
        <v xml:space="preserve">Adjusted EBITDA </v>
      </c>
      <c r="C223" s="59"/>
      <c r="D223" s="59">
        <f>D62*D$192</f>
        <v>508.02167166377353</v>
      </c>
      <c r="E223" s="59">
        <f>E62*E$192</f>
        <v>483.04157883481503</v>
      </c>
      <c r="F223" s="59">
        <f>F62*F$192</f>
        <v>459.59449674149164</v>
      </c>
      <c r="G223" s="59">
        <f>G62*G$192</f>
        <v>520.53703475474481</v>
      </c>
      <c r="H223" s="59">
        <f>H62*H$192</f>
        <v>506.79018121705496</v>
      </c>
      <c r="I223" s="59">
        <f>I62*I$192</f>
        <v>496.82689493406667</v>
      </c>
      <c r="J223" s="59">
        <f>J62*J$192</f>
        <v>442.97971938426571</v>
      </c>
      <c r="K223" s="59">
        <f>K62*K$192</f>
        <v>513.94831366181086</v>
      </c>
      <c r="L223" s="59">
        <f>L62*L$192</f>
        <v>531.1582818955136</v>
      </c>
      <c r="M223" s="59">
        <f>M62*M$192</f>
        <v>553.93965898680199</v>
      </c>
      <c r="N223" s="59">
        <f>N62*N$192</f>
        <v>612.59442399999989</v>
      </c>
      <c r="O223" s="59">
        <f>O62*O$192</f>
        <v>646.21211695386387</v>
      </c>
      <c r="P223" s="59">
        <f>P62*P$192</f>
        <v>683.7805544094125</v>
      </c>
      <c r="Q223" s="57"/>
      <c r="R223" s="59">
        <f>R62*R$192</f>
        <v>167.58364065251337</v>
      </c>
      <c r="S223" s="59">
        <f>S62*S$192</f>
        <v>94.042191112252766</v>
      </c>
      <c r="T223" s="59">
        <f>T62*T$192</f>
        <v>88.864595898673102</v>
      </c>
      <c r="U223" s="59">
        <f>U62*U$192</f>
        <v>166.19880852125635</v>
      </c>
      <c r="V223" s="59">
        <f>V62*V$192</f>
        <v>140.62884586522588</v>
      </c>
      <c r="W223" s="59">
        <f>W62*W$192</f>
        <v>91.184504593990567</v>
      </c>
      <c r="X223" s="59">
        <f>X62*X$192</f>
        <v>93.917134017997157</v>
      </c>
      <c r="Y223" s="59">
        <f>Y62*Y$192</f>
        <v>166.94565648552162</v>
      </c>
      <c r="Z223" s="59">
        <f>Z62*Z$192</f>
        <v>129.23794132272502</v>
      </c>
      <c r="AA223" s="59">
        <f>AA62*AA$192</f>
        <v>52.075632295719842</v>
      </c>
      <c r="AB223" s="59">
        <f>AB62*AB$192</f>
        <v>99.012171684817417</v>
      </c>
      <c r="AC223" s="59">
        <f>AC62*AC$192</f>
        <v>166.25300713825604</v>
      </c>
      <c r="AD223" s="59">
        <f>AD62*AD$192</f>
        <v>130.91308424419125</v>
      </c>
      <c r="AE223" s="59">
        <f>AE62*AE$192</f>
        <v>95.776602954497108</v>
      </c>
      <c r="AF223" s="59">
        <f>AF62*AF$192</f>
        <v>110.47682665814382</v>
      </c>
      <c r="AG223" s="59">
        <f>AG62*AG$192</f>
        <v>170.17167688674493</v>
      </c>
      <c r="AH223" s="59">
        <f>AH62*AH$192</f>
        <v>148.13302567886444</v>
      </c>
      <c r="AI223" s="59">
        <f>AI62*AI$192</f>
        <v>110.70702408193173</v>
      </c>
      <c r="AJ223" s="59">
        <f>AJ62*AJ$192</f>
        <v>105.75103747131504</v>
      </c>
      <c r="AK223" s="59">
        <f>AK62*AK$192</f>
        <v>166.33426674546249</v>
      </c>
      <c r="AL223" s="59">
        <f>AL62*AL$192</f>
        <v>155.36301998108368</v>
      </c>
      <c r="AM223" s="59">
        <f>AM62*AM$192</f>
        <v>122.96539096789633</v>
      </c>
      <c r="AN223" s="59">
        <f>AN62*AN$192</f>
        <v>126.931081792239</v>
      </c>
      <c r="AO223" s="59">
        <f>AO62*AO$192</f>
        <v>147.36425218284853</v>
      </c>
      <c r="AP223" s="59">
        <f>AP62*AP$192</f>
        <v>169.55548400000001</v>
      </c>
      <c r="AQ223" s="59">
        <f>AQ62*AQ$192</f>
        <v>116.90713</v>
      </c>
      <c r="AR223" s="59">
        <f>AR62*AR$192</f>
        <v>123.116916</v>
      </c>
      <c r="AS223" s="59">
        <f>AS62*AS$192</f>
        <v>201.06081899999998</v>
      </c>
      <c r="AT223" s="59">
        <f>AT62*AT$192</f>
        <v>178.41481299999998</v>
      </c>
      <c r="AU223" s="59">
        <f>AU62*AU$192</f>
        <v>126.00508800000001</v>
      </c>
      <c r="AV223" s="59">
        <f>AV62*AV$192</f>
        <v>138.70309016273885</v>
      </c>
      <c r="AW223" s="59">
        <f>AW62*AW$192</f>
        <v>203.57012828475362</v>
      </c>
      <c r="AX223" s="59">
        <f>AX62*AX$192</f>
        <v>218.83776802734133</v>
      </c>
      <c r="AY223" s="59"/>
      <c r="AZ223" s="59"/>
      <c r="BA223" s="59"/>
    </row>
    <row r="224" spans="1:53" ht="13.5" customHeight="1">
      <c r="B224" s="1" t="str">
        <f>B63</f>
        <v>Working Capital</v>
      </c>
      <c r="C224" s="66"/>
      <c r="D224" s="66">
        <f>D63*D$192</f>
        <v>527.2893272316029</v>
      </c>
      <c r="E224" s="66">
        <f>E63*E$192</f>
        <v>531.70024592918458</v>
      </c>
      <c r="F224" s="66">
        <f>F63*F$192</f>
        <v>442.33884939928151</v>
      </c>
      <c r="G224" s="61">
        <f>G63*G$192</f>
        <v>522.41455663051499</v>
      </c>
      <c r="H224" s="61">
        <f>H63*H$192</f>
        <v>472.68919871494961</v>
      </c>
      <c r="I224" s="61">
        <f>I63*I$192</f>
        <v>465.65884378348227</v>
      </c>
      <c r="J224" s="61">
        <f>J63*J$192</f>
        <v>440.73540608070334</v>
      </c>
      <c r="K224" s="61">
        <f>K63*K$192</f>
        <v>531.87548239153602</v>
      </c>
      <c r="L224" s="61">
        <f>L63*L$192</f>
        <v>581.88909836736491</v>
      </c>
      <c r="M224" s="61">
        <f>M63*M$192</f>
        <v>571.30607523189553</v>
      </c>
      <c r="N224" s="61">
        <f>N63*N$192</f>
        <v>542.73902924799984</v>
      </c>
      <c r="O224" s="61">
        <f>O63*O$192</f>
        <v>647.67193381248785</v>
      </c>
      <c r="P224" s="61">
        <f>P63*P$192</f>
        <v>655.9849029081729</v>
      </c>
      <c r="Q224" s="321"/>
      <c r="R224" s="61">
        <f>R63*R$192</f>
        <v>104.40577095584574</v>
      </c>
      <c r="S224" s="61">
        <f>S63*S$192</f>
        <v>433.48210730798866</v>
      </c>
      <c r="T224" s="61">
        <f>T63*T$192</f>
        <v>-251.36384499396874</v>
      </c>
      <c r="U224" s="61">
        <f>U63*U$192</f>
        <v>213.56905430273557</v>
      </c>
      <c r="V224" s="61">
        <f>V63*V$192</f>
        <v>100.77552303767079</v>
      </c>
      <c r="W224" s="61">
        <f>W63*W$192</f>
        <v>91.66764486773107</v>
      </c>
      <c r="X224" s="61">
        <f>X63*X$192</f>
        <v>97.536135557784192</v>
      </c>
      <c r="Y224" s="61">
        <f>Y63*Y$192</f>
        <v>169.29344704482338</v>
      </c>
      <c r="Z224" s="61">
        <f>Z63*Z$192</f>
        <v>100.61283814022877</v>
      </c>
      <c r="AA224" s="61">
        <f>AA63*AA$192</f>
        <v>63.463708657587517</v>
      </c>
      <c r="AB224" s="61">
        <f>AB63*AB$192</f>
        <v>111.23627418321574</v>
      </c>
      <c r="AC224" s="61">
        <f>AC63*AC$192</f>
        <v>169.33393498008422</v>
      </c>
      <c r="AD224" s="61">
        <f>AD63*AD$192</f>
        <v>69.715940763194112</v>
      </c>
      <c r="AE224" s="61">
        <f>AE63*AE$192</f>
        <v>132.63948657104444</v>
      </c>
      <c r="AF224" s="61">
        <f>AF63*AF$192</f>
        <v>144.36813561657095</v>
      </c>
      <c r="AG224" s="61">
        <f>AG63*AG$192</f>
        <v>180.83665048995042</v>
      </c>
      <c r="AH224" s="61">
        <f>AH63*AH$192</f>
        <v>145.96525310523464</v>
      </c>
      <c r="AI224" s="61">
        <f>AI63*AI$192</f>
        <v>119.10232619914095</v>
      </c>
      <c r="AJ224" s="61">
        <f>AJ63*AJ$192</f>
        <v>160.28788487577859</v>
      </c>
      <c r="AK224" s="61">
        <f>AK63*AK$192</f>
        <v>152.8218846805635</v>
      </c>
      <c r="AL224" s="61">
        <f>AL63*AL$192</f>
        <v>121.49390478878919</v>
      </c>
      <c r="AM224" s="61">
        <f>AM63*AM$192</f>
        <v>115.3854367405247</v>
      </c>
      <c r="AN224" s="61">
        <f>AN63*AN$192</f>
        <v>137.34423807709277</v>
      </c>
      <c r="AO224" s="61">
        <f>AO63*AO$192</f>
        <v>191.44937901280394</v>
      </c>
      <c r="AP224" s="61">
        <f>AP63*AP$192</f>
        <v>113.32056305500002</v>
      </c>
      <c r="AQ224" s="61">
        <f>AQ63*AQ$192</f>
        <v>114.42817325999999</v>
      </c>
      <c r="AR224" s="61">
        <f>AR63*AR$192</f>
        <v>133.30565757599996</v>
      </c>
      <c r="AS224" s="61">
        <f>AS63*AS$192</f>
        <v>180.42454699899986</v>
      </c>
      <c r="AT224" s="61">
        <f>AT63*AT$192</f>
        <v>146.250245183</v>
      </c>
      <c r="AU224" s="61">
        <f>AU63*AU$192</f>
        <v>93.81047491199979</v>
      </c>
      <c r="AV224" s="61">
        <f>AV63*AV$192</f>
        <v>155.89386447458915</v>
      </c>
      <c r="AW224" s="61">
        <f>AW63*AW$192</f>
        <v>253.24849227935647</v>
      </c>
      <c r="AX224" s="61">
        <f>AX63*AX$192</f>
        <v>153.0989431178586</v>
      </c>
      <c r="AY224" s="139"/>
      <c r="AZ224" s="139"/>
      <c r="BA224" s="139"/>
    </row>
    <row r="225" spans="2:53" ht="13.5" customHeight="1">
      <c r="B225" s="1" t="str">
        <f>B64</f>
        <v>Taxes, net</v>
      </c>
      <c r="C225" s="66"/>
      <c r="D225" s="66">
        <f>D64*D$192</f>
        <v>-41.692293935090213</v>
      </c>
      <c r="E225" s="66">
        <f>E64*E$192</f>
        <v>-40.207292334952491</v>
      </c>
      <c r="F225" s="66">
        <f>F64*F$192</f>
        <v>-38.011093706128356</v>
      </c>
      <c r="G225" s="61">
        <f>G64*G$192</f>
        <v>-62.629524587133339</v>
      </c>
      <c r="H225" s="61">
        <f>H64*H$192</f>
        <v>-46.636374411278496</v>
      </c>
      <c r="I225" s="61">
        <f>I64*I$192</f>
        <v>-48.702714254300687</v>
      </c>
      <c r="J225" s="61">
        <f>J64*J$192</f>
        <v>-37.248476404092337</v>
      </c>
      <c r="K225" s="61">
        <f>K64*K$192</f>
        <v>-59.648206270250888</v>
      </c>
      <c r="L225" s="61">
        <f>L64*L$192</f>
        <v>-100.34925478902845</v>
      </c>
      <c r="M225" s="61">
        <f>M64*M$192</f>
        <v>-83.979155531736254</v>
      </c>
      <c r="N225" s="61">
        <f>N64*N$192</f>
        <v>-90.46083151949999</v>
      </c>
      <c r="O225" s="61">
        <f>O64*O$192</f>
        <v>-108.37798193346018</v>
      </c>
      <c r="P225" s="61">
        <f>P64*P$192</f>
        <v>-121.75935838888283</v>
      </c>
      <c r="Q225" s="321"/>
      <c r="R225" s="61">
        <f>R64*R$192</f>
        <v>-16.54866274627064</v>
      </c>
      <c r="S225" s="61">
        <f>S64*S$192</f>
        <v>-6.2603695735936311</v>
      </c>
      <c r="T225" s="61">
        <f>T64*T$192</f>
        <v>-9.7099502412545267</v>
      </c>
      <c r="U225" s="61">
        <f>U64*U$192</f>
        <v>-14.976317020679321</v>
      </c>
      <c r="V225" s="61">
        <f>V64*V$192</f>
        <v>-14.173771574365903</v>
      </c>
      <c r="W225" s="61">
        <f>W64*W$192</f>
        <v>-15.183876480813332</v>
      </c>
      <c r="X225" s="61">
        <f>X64*X$192</f>
        <v>-8.0401164022658893</v>
      </c>
      <c r="Y225" s="61">
        <f>Y64*Y$192</f>
        <v>-11.461767817003835</v>
      </c>
      <c r="Z225" s="61">
        <f>Z64*Z$192</f>
        <v>-18.124628294380905</v>
      </c>
      <c r="AA225" s="61">
        <f>AA64*AA$192</f>
        <v>-3.0527930447470819</v>
      </c>
      <c r="AB225" s="61">
        <f>AB64*AB$192</f>
        <v>-9.4948468930172929</v>
      </c>
      <c r="AC225" s="61">
        <f>AC64*AC$192</f>
        <v>-6.5389370177076183</v>
      </c>
      <c r="AD225" s="61">
        <f>AD64*AD$192</f>
        <v>-14.225978396290634</v>
      </c>
      <c r="AE225" s="61">
        <f>AE64*AE$192</f>
        <v>-14.193580473705394</v>
      </c>
      <c r="AF225" s="61">
        <f>AF64*AF$192</f>
        <v>-13.4211950798672</v>
      </c>
      <c r="AG225" s="61">
        <f>AG64*AG$192</f>
        <v>-17.422977267472902</v>
      </c>
      <c r="AH225" s="61">
        <f>AH64*AH$192</f>
        <v>-16.509033158231979</v>
      </c>
      <c r="AI225" s="61">
        <f>AI64*AI$192</f>
        <v>-42.310615160612919</v>
      </c>
      <c r="AJ225" s="61">
        <f>AJ64*AJ$192</f>
        <v>-51.645894793079634</v>
      </c>
      <c r="AK225" s="61">
        <f>AK64*AK$192</f>
        <v>11.245930716618117</v>
      </c>
      <c r="AL225" s="61">
        <f>AL64*AL$192</f>
        <v>-15.336641675687547</v>
      </c>
      <c r="AM225" s="61">
        <f>AM64*AM$192</f>
        <v>-40.886597648744598</v>
      </c>
      <c r="AN225" s="61">
        <f>AN64*AN$192</f>
        <v>-21.649709627696748</v>
      </c>
      <c r="AO225" s="61">
        <f>AO64*AO$192</f>
        <v>-7.4198676305884028</v>
      </c>
      <c r="AP225" s="61">
        <f>AP64*AP$192</f>
        <v>-22.336898177999998</v>
      </c>
      <c r="AQ225" s="61">
        <f>AQ64*AQ$192</f>
        <v>-28.38380119</v>
      </c>
      <c r="AR225" s="61">
        <f>AR64*AR$192</f>
        <v>-18.944099124000001</v>
      </c>
      <c r="AS225" s="61">
        <f>AS64*AS$192</f>
        <v>-20.825639607999992</v>
      </c>
      <c r="AT225" s="61">
        <f>AT64*AT$192</f>
        <v>-18.607205211</v>
      </c>
      <c r="AU225" s="61">
        <f>AU64*AU$192</f>
        <v>-37.896926496000006</v>
      </c>
      <c r="AV225" s="61">
        <f>AV64*AV$192</f>
        <v>-23.65534787772707</v>
      </c>
      <c r="AW225" s="61">
        <f>AW64*AW$192</f>
        <v>-28.421979740003867</v>
      </c>
      <c r="AX225" s="61">
        <f>AX64*AX$192</f>
        <v>-31.829545326370166</v>
      </c>
      <c r="AY225" s="139"/>
      <c r="AZ225" s="139"/>
      <c r="BA225" s="139"/>
    </row>
    <row r="226" spans="2:53" ht="13.5" customHeight="1">
      <c r="B226" s="1" t="str">
        <f>B65</f>
        <v>Cash interest paid</v>
      </c>
      <c r="C226" s="66"/>
      <c r="D226" s="66">
        <f>D65*D$192</f>
        <v>-108.84881384461626</v>
      </c>
      <c r="E226" s="66">
        <f>E65*E$192</f>
        <v>-88.539820670271595</v>
      </c>
      <c r="F226" s="66">
        <f>F65*F$192</f>
        <v>-73.788303358997467</v>
      </c>
      <c r="G226" s="61">
        <f>G65*G$192</f>
        <v>-81.808346684742418</v>
      </c>
      <c r="H226" s="61">
        <f>H65*H$192</f>
        <v>-64.491146564361685</v>
      </c>
      <c r="I226" s="61">
        <f>I65*I$192</f>
        <v>-51.469341776543594</v>
      </c>
      <c r="J226" s="61">
        <f>J65*J$192</f>
        <v>-55.982218547759707</v>
      </c>
      <c r="K226" s="61">
        <f>K65*K$192</f>
        <v>-71.807003780485289</v>
      </c>
      <c r="L226" s="61">
        <f>L65*L$192</f>
        <v>-51.253557591332871</v>
      </c>
      <c r="M226" s="61">
        <f>M65*M$192</f>
        <v>-78.959576687071532</v>
      </c>
      <c r="N226" s="61">
        <f>N65*N$192</f>
        <v>-69.754734835499988</v>
      </c>
      <c r="O226" s="61">
        <f>O65*O$192</f>
        <v>-60.279637530658938</v>
      </c>
      <c r="P226" s="61">
        <f>P65*P$192</f>
        <v>-58.850881405744133</v>
      </c>
      <c r="Q226" s="321"/>
      <c r="R226" s="61">
        <f>R65*R$192</f>
        <v>-31.233710422273163</v>
      </c>
      <c r="S226" s="61">
        <f>S65*S$192</f>
        <v>-3.2031274081685086</v>
      </c>
      <c r="T226" s="61">
        <f>T65*T$192</f>
        <v>-28.150633293124251</v>
      </c>
      <c r="U226" s="61">
        <f>U65*U$192</f>
        <v>-2.9417048750818675</v>
      </c>
      <c r="V226" s="61">
        <f>V65*V$192</f>
        <v>-25.778944919705836</v>
      </c>
      <c r="W226" s="61">
        <f>W65*W$192</f>
        <v>-5.288891161132943</v>
      </c>
      <c r="X226" s="61">
        <f>X65*X$192</f>
        <v>-18.945601717781013</v>
      </c>
      <c r="Y226" s="61">
        <f>Y65*Y$192</f>
        <v>-2.5556551632949849</v>
      </c>
      <c r="Z226" s="61">
        <f>Z65*Z$192</f>
        <v>-22.63004599701641</v>
      </c>
      <c r="AA226" s="61">
        <f>AA65*AA$192</f>
        <v>-2.5496461575875462</v>
      </c>
      <c r="AB226" s="61">
        <f>AB65*AB$192</f>
        <v>-28.038745675848812</v>
      </c>
      <c r="AC226" s="61">
        <f>AC65*AC$192</f>
        <v>-2.7794791570810711</v>
      </c>
      <c r="AD226" s="61">
        <f>AD65*AD$192</f>
        <v>-26.356218451776972</v>
      </c>
      <c r="AE226" s="61">
        <f>AE65*AE$192</f>
        <v>-7.499213861956215</v>
      </c>
      <c r="AF226" s="61">
        <f>AF65*AF$192</f>
        <v>-31.140667906578248</v>
      </c>
      <c r="AG226" s="61">
        <f>AG65*AG$192</f>
        <v>-6.8398106763746105</v>
      </c>
      <c r="AH226" s="61">
        <f>AH65*AH$192</f>
        <v>-26.448483728571194</v>
      </c>
      <c r="AI226" s="61">
        <f>AI65*AI$192</f>
        <v>-12.440714065949406</v>
      </c>
      <c r="AJ226" s="61">
        <f>AJ65*AJ$192</f>
        <v>-40.838738399266063</v>
      </c>
      <c r="AK226" s="61">
        <f>AK65*AK$192</f>
        <v>28.552256719960198</v>
      </c>
      <c r="AL226" s="61">
        <f>AL65*AL$192</f>
        <v>-25.258377931388424</v>
      </c>
      <c r="AM226" s="61">
        <f>AM65*AM$192</f>
        <v>-12.335389603495958</v>
      </c>
      <c r="AN226" s="61">
        <f>AN65*AN$192</f>
        <v>-34.404477922006258</v>
      </c>
      <c r="AO226" s="61">
        <f>AO65*AO$192</f>
        <v>-7.043100893446713</v>
      </c>
      <c r="AP226" s="61">
        <f>AP65*AP$192</f>
        <v>-19.013190217000002</v>
      </c>
      <c r="AQ226" s="61">
        <f>AQ65*AQ$192</f>
        <v>-9.0621756100000006</v>
      </c>
      <c r="AR226" s="61">
        <f>AR65*AR$192</f>
        <v>-28.434087708000007</v>
      </c>
      <c r="AS226" s="61">
        <f>AS65*AS$192</f>
        <v>-13.382757730999991</v>
      </c>
      <c r="AT226" s="61">
        <f>AT65*AT$192</f>
        <v>-20.775972492999998</v>
      </c>
      <c r="AU226" s="61">
        <f>AU65*AU$192</f>
        <v>-1.3780800000000002</v>
      </c>
      <c r="AV226" s="61">
        <f>AV65*AV$192</f>
        <v>-35.158278635577503</v>
      </c>
      <c r="AW226" s="61">
        <f>AW65*AW$192</f>
        <v>-2.4053391300623219</v>
      </c>
      <c r="AX226" s="61">
        <f>AX65*AX$192</f>
        <v>-19.72894413300698</v>
      </c>
      <c r="AY226" s="139"/>
      <c r="AZ226" s="139"/>
      <c r="BA226" s="139"/>
    </row>
    <row r="227" spans="2:53" s="5" customFormat="1" ht="13.5" customHeight="1" thickBot="1">
      <c r="B227" s="21" t="str">
        <f>B66</f>
        <v xml:space="preserve">Net cash from operations </v>
      </c>
      <c r="C227" s="62"/>
      <c r="D227" s="62">
        <f>D66*D$192</f>
        <v>884.76989111566991</v>
      </c>
      <c r="E227" s="62">
        <f>E66*E$192</f>
        <v>885.99471175877534</v>
      </c>
      <c r="F227" s="62">
        <f>F66*F$192</f>
        <v>790.13394907564737</v>
      </c>
      <c r="G227" s="62">
        <f>G66*G$192</f>
        <v>898.51372011338401</v>
      </c>
      <c r="H227" s="62">
        <f>H66*H$192</f>
        <v>868.35185895636425</v>
      </c>
      <c r="I227" s="62">
        <f>I66*I$192</f>
        <v>862.31368268670462</v>
      </c>
      <c r="J227" s="62">
        <f>J66*J$192</f>
        <v>790.48443051311699</v>
      </c>
      <c r="K227" s="62">
        <f>K66*K$192</f>
        <v>914.36858600261064</v>
      </c>
      <c r="L227" s="62">
        <f>L66*L$192</f>
        <v>961.44456788251716</v>
      </c>
      <c r="M227" s="62">
        <f>M66*M$192</f>
        <v>962.30700199988974</v>
      </c>
      <c r="N227" s="62">
        <f>N66*N$192</f>
        <v>995.11788689299976</v>
      </c>
      <c r="O227" s="62">
        <f>O66*O$192</f>
        <v>1125.2264313022326</v>
      </c>
      <c r="P227" s="62">
        <f>P66*P$192</f>
        <v>1159.1552175229583</v>
      </c>
      <c r="Q227" s="264"/>
      <c r="R227" s="62">
        <f>R66*R$192</f>
        <v>224.20703843981531</v>
      </c>
      <c r="S227" s="62">
        <f>S66*S$192</f>
        <v>518.0608014384793</v>
      </c>
      <c r="T227" s="62">
        <f>T66*T$192</f>
        <v>-200.3598326296744</v>
      </c>
      <c r="U227" s="62">
        <f>U66*U$192</f>
        <v>361.84984092823072</v>
      </c>
      <c r="V227" s="62">
        <f>V66*V$192</f>
        <v>201.45165240882491</v>
      </c>
      <c r="W227" s="62">
        <f>W66*W$192</f>
        <v>162.37938181977535</v>
      </c>
      <c r="X227" s="62">
        <f>X66*X$192</f>
        <v>164.46755145573448</v>
      </c>
      <c r="Y227" s="62">
        <f>Y66*Y$192</f>
        <v>322.22168055004619</v>
      </c>
      <c r="Z227" s="62">
        <f>Z66*Z$192</f>
        <v>189.09610517155647</v>
      </c>
      <c r="AA227" s="62">
        <f>AA66*AA$192</f>
        <v>109.93690175097274</v>
      </c>
      <c r="AB227" s="62">
        <f>AB66*AB$192</f>
        <v>172.71485329916703</v>
      </c>
      <c r="AC227" s="62">
        <f>AC66*AC$192</f>
        <v>326.26852594355154</v>
      </c>
      <c r="AD227" s="62">
        <f>AD66*AD$192</f>
        <v>160.04682815931776</v>
      </c>
      <c r="AE227" s="62">
        <f>AE66*AE$192</f>
        <v>206.72329518987993</v>
      </c>
      <c r="AF227" s="62">
        <f>AF66*AF$192</f>
        <v>210.28309928826928</v>
      </c>
      <c r="AG227" s="62">
        <f>AG66*AG$192</f>
        <v>326.74553943284786</v>
      </c>
      <c r="AH227" s="62">
        <f>AH66*AH$192</f>
        <v>251.14076189729596</v>
      </c>
      <c r="AI227" s="62">
        <f>AI66*AI$192</f>
        <v>175.05802105451033</v>
      </c>
      <c r="AJ227" s="62">
        <f>AJ66*AJ$192</f>
        <v>173.55428915474795</v>
      </c>
      <c r="AK227" s="62">
        <f>AK66*AK$192</f>
        <v>358.95433886260429</v>
      </c>
      <c r="AL227" s="62">
        <f>AL66*AL$192</f>
        <v>236.26190516279692</v>
      </c>
      <c r="AM227" s="62">
        <f>AM66*AM$192</f>
        <v>185.12884045618048</v>
      </c>
      <c r="AN227" s="62">
        <f>AN66*AN$192</f>
        <v>208.22113231962879</v>
      </c>
      <c r="AO227" s="62">
        <f>AO66*AO$192</f>
        <v>324.35066267161733</v>
      </c>
      <c r="AP227" s="62">
        <f>AP66*AP$192</f>
        <v>241.52595866000001</v>
      </c>
      <c r="AQ227" s="62">
        <f>AQ66*AQ$192</f>
        <v>193.88932645999998</v>
      </c>
      <c r="AR227" s="62">
        <f>AR66*AR$192</f>
        <v>209.04438674399995</v>
      </c>
      <c r="AS227" s="62">
        <f>AS66*AS$192</f>
        <v>347.27696865999991</v>
      </c>
      <c r="AT227" s="62">
        <f>AT66*AT$192</f>
        <v>285.28188047899994</v>
      </c>
      <c r="AU227" s="62">
        <f>AU66*AU$192</f>
        <v>180.54055641599979</v>
      </c>
      <c r="AV227" s="62">
        <f>AV66*AV$192</f>
        <v>235.78332812402343</v>
      </c>
      <c r="AW227" s="62">
        <f>AW66*AW$192</f>
        <v>425.99130169404384</v>
      </c>
      <c r="AX227" s="62">
        <f>AX66*AX$192</f>
        <v>320.37822168582278</v>
      </c>
      <c r="AY227" s="264"/>
      <c r="AZ227" s="264"/>
      <c r="BA227" s="264"/>
    </row>
    <row r="228" spans="2:53" s="5" customFormat="1" ht="13.5" customHeight="1" thickTop="1">
      <c r="B228" s="1" t="str">
        <f>B67</f>
        <v>Net Capex</v>
      </c>
      <c r="C228" s="63"/>
      <c r="D228" s="63">
        <f>D67*D$192</f>
        <v>-204.25033927726051</v>
      </c>
      <c r="E228" s="63">
        <f>E67*E$192</f>
        <v>-171.69145510646749</v>
      </c>
      <c r="F228" s="63">
        <f>F67*F$192</f>
        <v>-189.37335264301231</v>
      </c>
      <c r="G228" s="63">
        <f>G67*G$192</f>
        <v>-259.98006377865414</v>
      </c>
      <c r="H228" s="63">
        <f>H67*H$192</f>
        <v>-188.39580331243567</v>
      </c>
      <c r="I228" s="63">
        <f>I67*I$192</f>
        <v>-157.59791605933563</v>
      </c>
      <c r="J228" s="63">
        <f>J67*J$192</f>
        <v>-108.51871828927858</v>
      </c>
      <c r="K228" s="63">
        <f>K67*K$192</f>
        <v>-179.61237781486656</v>
      </c>
      <c r="L228" s="63">
        <f>L67*L$192</f>
        <v>-213.38487369229711</v>
      </c>
      <c r="M228" s="63">
        <f>M67*M$192</f>
        <v>-226.90435192614169</v>
      </c>
      <c r="N228" s="63">
        <f>N67*N$192</f>
        <v>-307.59333543249994</v>
      </c>
      <c r="O228" s="63">
        <f>O67*O$192</f>
        <v>-291.92799559422673</v>
      </c>
      <c r="P228" s="63">
        <f>P67*P$192</f>
        <v>-287.14281277479586</v>
      </c>
      <c r="Q228" s="56"/>
      <c r="R228" s="63">
        <f>R67*R$192</f>
        <v>-50.610580085717132</v>
      </c>
      <c r="S228" s="63">
        <f>S67*S$192</f>
        <v>-42.996249678910871</v>
      </c>
      <c r="T228" s="63">
        <f>T67*T$192</f>
        <v>-43.636933051869711</v>
      </c>
      <c r="U228" s="63">
        <f>U67*U$192</f>
        <v>-53.983160225819546</v>
      </c>
      <c r="V228" s="63">
        <f>V67*V$192</f>
        <v>-42.396141377757765</v>
      </c>
      <c r="W228" s="63">
        <f>W67*W$192</f>
        <v>-42.360408419638034</v>
      </c>
      <c r="X228" s="63">
        <f>X67*X$192</f>
        <v>-32.530380426337423</v>
      </c>
      <c r="Y228" s="63">
        <f>Y67*Y$192</f>
        <v>-40.180301467671576</v>
      </c>
      <c r="Z228" s="63">
        <f>Z67*Z$192</f>
        <v>-37.559078816509199</v>
      </c>
      <c r="AA228" s="63">
        <f>AA67*AA$192</f>
        <v>-27.685175097276264</v>
      </c>
      <c r="AB228" s="63">
        <f>AB67*AB$192</f>
        <v>-17.237062139654068</v>
      </c>
      <c r="AC228" s="63">
        <f>AC67*AC$192</f>
        <v>-25.551867383559646</v>
      </c>
      <c r="AD228" s="63">
        <f>AD67*AD$192</f>
        <v>-17.165129660788367</v>
      </c>
      <c r="AE228" s="63">
        <f>AE67*AE$192</f>
        <v>-17.598794914141454</v>
      </c>
      <c r="AF228" s="63">
        <f>AF67*AF$192</f>
        <v>-43.172288560122261</v>
      </c>
      <c r="AG228" s="63">
        <f>AG67*AG$192</f>
        <v>-95.883470308778442</v>
      </c>
      <c r="AH228" s="63">
        <f>AH67*AH$192</f>
        <v>-43.776003203580899</v>
      </c>
      <c r="AI228" s="63">
        <f>AI67*AI$192</f>
        <v>-43.553846585814227</v>
      </c>
      <c r="AJ228" s="63">
        <f>AJ67*AJ$192</f>
        <v>-66.559263109549164</v>
      </c>
      <c r="AK228" s="63">
        <f>AK67*AK$192</f>
        <v>-56.916234416649651</v>
      </c>
      <c r="AL228" s="63">
        <f>AL67*AL$192</f>
        <v>-62.171065864588329</v>
      </c>
      <c r="AM228" s="63">
        <f>AM67*AM$192</f>
        <v>-83.886750615503956</v>
      </c>
      <c r="AN228" s="63">
        <f>AN67*AN$192</f>
        <v>-36.780634204699318</v>
      </c>
      <c r="AO228" s="63">
        <f>AO67*AO$192</f>
        <v>-46.176114929191762</v>
      </c>
      <c r="AP228" s="63">
        <f>AP67*AP$192</f>
        <v>-66.191863058999999</v>
      </c>
      <c r="AQ228" s="63">
        <f>AQ67*AQ$192</f>
        <v>-90.811277709999985</v>
      </c>
      <c r="AR228" s="63">
        <f>AR67*AR$192</f>
        <v>-67.598469678000015</v>
      </c>
      <c r="AS228" s="63">
        <f>AS67*AS$192</f>
        <v>-82.841520675999959</v>
      </c>
      <c r="AT228" s="63">
        <f>AT67*AT$192</f>
        <v>-66.663888246999988</v>
      </c>
      <c r="AU228" s="63">
        <f>AU67*AU$192</f>
        <v>-50.492945184</v>
      </c>
      <c r="AV228" s="63">
        <f>AV67*AV$192</f>
        <v>-83.738787480986019</v>
      </c>
      <c r="AW228" s="63">
        <f>AW67*AW$192</f>
        <v>-91.208501274280962</v>
      </c>
      <c r="AX228" s="63">
        <f>AX67*AX$192</f>
        <v>-60.856723101390749</v>
      </c>
      <c r="AY228" s="56"/>
      <c r="AZ228" s="56"/>
      <c r="BA228" s="56"/>
    </row>
    <row r="229" spans="2:53" ht="13.5" customHeight="1">
      <c r="B229" s="1" t="str">
        <f>B68</f>
        <v>Purchase and development of intangible assets</v>
      </c>
      <c r="C229" s="63"/>
      <c r="D229" s="63">
        <f>D68*D$192</f>
        <v>0</v>
      </c>
      <c r="E229" s="63">
        <f>E68*E$192</f>
        <v>0</v>
      </c>
      <c r="F229" s="63">
        <f>F68*F$192</f>
        <v>0</v>
      </c>
      <c r="G229" s="63" t="s">
        <v>307</v>
      </c>
      <c r="H229" s="63">
        <f>H68*H$192</f>
        <v>0</v>
      </c>
      <c r="I229" s="63">
        <f>I68*I$192</f>
        <v>-0.6384372781393779</v>
      </c>
      <c r="J229" s="63">
        <f>J68*J$192</f>
        <v>-0.26271670170790573</v>
      </c>
      <c r="K229" s="63">
        <f>K68*K$192</f>
        <v>-6.6908640169400879</v>
      </c>
      <c r="L229" s="63">
        <f>L68*L$192</f>
        <v>0</v>
      </c>
      <c r="M229" s="63">
        <f>M68*M$192</f>
        <v>0</v>
      </c>
      <c r="N229" s="63">
        <f>N68*N$192</f>
        <v>0</v>
      </c>
      <c r="O229" s="63">
        <f>O68*O$192</f>
        <v>0</v>
      </c>
      <c r="P229" s="63">
        <f>P68*P$192</f>
        <v>0</v>
      </c>
      <c r="Q229" s="56"/>
      <c r="R229" s="63">
        <f>R68*R$192</f>
        <v>0</v>
      </c>
      <c r="S229" s="63">
        <f>S68*S$192</f>
        <v>0</v>
      </c>
      <c r="T229" s="63">
        <f>T68*T$192</f>
        <v>0</v>
      </c>
      <c r="U229" s="63">
        <f>U68*U$192</f>
        <v>0</v>
      </c>
      <c r="V229" s="63">
        <f>V68*V$192</f>
        <v>0</v>
      </c>
      <c r="W229" s="63">
        <f>W68*W$192</f>
        <v>-0.6236564951284711</v>
      </c>
      <c r="X229" s="63">
        <f>X68*X$192</f>
        <v>3.3669072878554585E-2</v>
      </c>
      <c r="Y229" s="63">
        <f>Y68*Y$192</f>
        <v>-5.9754065846886174E-2</v>
      </c>
      <c r="Z229" s="63">
        <f>Z68*Z$192</f>
        <v>0</v>
      </c>
      <c r="AA229" s="63">
        <f>AA68*AA$192</f>
        <v>-0.14240515564202336</v>
      </c>
      <c r="AB229" s="63">
        <f>AB68*AB$192</f>
        <v>-6.6149903907751391E-3</v>
      </c>
      <c r="AC229" s="63">
        <f>AC68*AC$192</f>
        <v>-0.11254518923608826</v>
      </c>
      <c r="AD229" s="63">
        <f>AD68*AD$192</f>
        <v>0</v>
      </c>
      <c r="AE229" s="63">
        <f>AE68*AE$192</f>
        <v>0</v>
      </c>
      <c r="AF229" s="63">
        <f>AF68*AF$192</f>
        <v>-6.7455134714986915</v>
      </c>
      <c r="AG229" s="63">
        <f>AG68*AG$192</f>
        <v>0</v>
      </c>
      <c r="AH229" s="63">
        <f>AH68*AH$192</f>
        <v>0</v>
      </c>
      <c r="AI229" s="63">
        <f>AI68*AI$192</f>
        <v>0</v>
      </c>
      <c r="AJ229" s="63">
        <f>AJ68*AJ$192</f>
        <v>0</v>
      </c>
      <c r="AK229" s="63">
        <f>AK68*AK$192</f>
        <v>0</v>
      </c>
      <c r="AL229" s="63">
        <f>AL68*AL$192</f>
        <v>0</v>
      </c>
      <c r="AM229" s="63">
        <f>AM68*AM$192</f>
        <v>0</v>
      </c>
      <c r="AN229" s="63">
        <f>AN68*AN$192</f>
        <v>0</v>
      </c>
      <c r="AO229" s="63">
        <f>AO68*AO$192</f>
        <v>0</v>
      </c>
      <c r="AP229" s="63">
        <f>AP68*AP$192</f>
        <v>0</v>
      </c>
      <c r="AQ229" s="63">
        <f>AQ68*AQ$192</f>
        <v>0</v>
      </c>
      <c r="AR229" s="63">
        <f>AR68*AR$192</f>
        <v>0</v>
      </c>
      <c r="AS229" s="63">
        <f>AS68*AS$192</f>
        <v>0</v>
      </c>
      <c r="AT229" s="63">
        <f>AT68*AT$192</f>
        <v>0</v>
      </c>
      <c r="AU229" s="63">
        <f>AU68*AU$192</f>
        <v>0</v>
      </c>
      <c r="AV229" s="63">
        <f>AV68*AV$192</f>
        <v>0</v>
      </c>
      <c r="AW229" s="63">
        <f>AW68*AW$192</f>
        <v>0</v>
      </c>
      <c r="AX229" s="63">
        <f>AX68*AX$192</f>
        <v>0</v>
      </c>
      <c r="AY229" s="56"/>
      <c r="AZ229" s="56"/>
      <c r="BA229" s="56"/>
    </row>
    <row r="230" spans="2:53" ht="13.5" customHeight="1" thickBot="1">
      <c r="B230" s="46" t="str">
        <f>B69</f>
        <v xml:space="preserve">Free cash flow </v>
      </c>
      <c r="C230" s="65"/>
      <c r="D230" s="65">
        <f>D69*D$192</f>
        <v>680.51955183840948</v>
      </c>
      <c r="E230" s="65">
        <f>E69*E$192</f>
        <v>714.30325665230782</v>
      </c>
      <c r="F230" s="65">
        <f>F69*F$192</f>
        <v>600.76059643263511</v>
      </c>
      <c r="G230" s="65">
        <f>G69*G$192</f>
        <v>620.16502033522295</v>
      </c>
      <c r="H230" s="65">
        <f>H69*H$192</f>
        <v>679.95605564392861</v>
      </c>
      <c r="I230" s="65">
        <f>I69*I$192</f>
        <v>704.07732934922967</v>
      </c>
      <c r="J230" s="65">
        <f>J69*J$192</f>
        <v>681.70299552213055</v>
      </c>
      <c r="K230" s="65">
        <f>K69*K$192</f>
        <v>728.06534417080411</v>
      </c>
      <c r="L230" s="65">
        <f>L69*L$192</f>
        <v>748.05969419022006</v>
      </c>
      <c r="M230" s="65">
        <f>M69*M$192</f>
        <v>735.40265007374808</v>
      </c>
      <c r="N230" s="65">
        <f>N69*N$192</f>
        <v>687.52455146049977</v>
      </c>
      <c r="O230" s="65">
        <f>O69*O$192</f>
        <v>833.29843570800597</v>
      </c>
      <c r="P230" s="65">
        <f>P69*P$192</f>
        <v>872.01240474816234</v>
      </c>
      <c r="Q230" s="57"/>
      <c r="R230" s="65">
        <f>R69*R$192</f>
        <v>173.59645835409816</v>
      </c>
      <c r="S230" s="65">
        <f>S69*S$192</f>
        <v>475.06455175956842</v>
      </c>
      <c r="T230" s="65">
        <f>T69*T$192</f>
        <v>-243.9967656815441</v>
      </c>
      <c r="U230" s="65">
        <f>U69*U$192</f>
        <v>307.8666807024112</v>
      </c>
      <c r="V230" s="65">
        <f>V69*V$192</f>
        <v>159.05551103106714</v>
      </c>
      <c r="W230" s="65">
        <f>W69*W$192</f>
        <v>119.39531690500885</v>
      </c>
      <c r="X230" s="65">
        <f>X69*X$192</f>
        <v>131.97084010227562</v>
      </c>
      <c r="Y230" s="65">
        <f>Y69*Y$192</f>
        <v>281.98162501652774</v>
      </c>
      <c r="Z230" s="65">
        <f>Z69*Z$192</f>
        <v>151.53702635504729</v>
      </c>
      <c r="AA230" s="65">
        <f>AA69*AA$192</f>
        <v>82.109321498054442</v>
      </c>
      <c r="AB230" s="65">
        <f>AB69*AB$192</f>
        <v>155.4711761691222</v>
      </c>
      <c r="AC230" s="65">
        <f>AC69*AC$192</f>
        <v>300.60411337075584</v>
      </c>
      <c r="AD230" s="65">
        <f>AD69*AD$192</f>
        <v>142.88169849852937</v>
      </c>
      <c r="AE230" s="65">
        <f>AE69*AE$192</f>
        <v>189.12450027573851</v>
      </c>
      <c r="AF230" s="65">
        <f>AF69*AF$192</f>
        <v>160.36529725664835</v>
      </c>
      <c r="AG230" s="65">
        <f>AG69*AG$192</f>
        <v>230.86206912406942</v>
      </c>
      <c r="AH230" s="65">
        <f>AH69*AH$192</f>
        <v>207.36475869371506</v>
      </c>
      <c r="AI230" s="65">
        <f>AI69*AI$192</f>
        <v>131.50417446869611</v>
      </c>
      <c r="AJ230" s="65">
        <f>AJ69*AJ$192</f>
        <v>106.9950260451988</v>
      </c>
      <c r="AK230" s="65">
        <f>AK69*AK$192</f>
        <v>302.03810444595467</v>
      </c>
      <c r="AL230" s="65">
        <f>AL69*AL$192</f>
        <v>174.09083929820858</v>
      </c>
      <c r="AM230" s="65">
        <f>AM69*AM$192</f>
        <v>101.24208984067651</v>
      </c>
      <c r="AN230" s="65">
        <f>AN69*AN$192</f>
        <v>171.44049811492948</v>
      </c>
      <c r="AO230" s="65">
        <f>AO69*AO$192</f>
        <v>278.1745477424256</v>
      </c>
      <c r="AP230" s="65">
        <f>AP69*AP$192</f>
        <v>175.33409560100003</v>
      </c>
      <c r="AQ230" s="65">
        <f>AQ69*AQ$192</f>
        <v>103.07804874999998</v>
      </c>
      <c r="AR230" s="65">
        <f>AR69*AR$192</f>
        <v>141.44591706599994</v>
      </c>
      <c r="AS230" s="65">
        <f>AS69*AS$192</f>
        <v>264.43544798399995</v>
      </c>
      <c r="AT230" s="65">
        <f>AT69*AT$192</f>
        <v>218.61799223199995</v>
      </c>
      <c r="AU230" s="65">
        <f>AU69*AU$192</f>
        <v>130.04761123199978</v>
      </c>
      <c r="AV230" s="65">
        <f>AV69*AV$192</f>
        <v>152.04454064303741</v>
      </c>
      <c r="AW230" s="65">
        <f>AW69*AW$192</f>
        <v>334.78280041976291</v>
      </c>
      <c r="AX230" s="65">
        <f>AX69*AX$192</f>
        <v>259.52149858443204</v>
      </c>
      <c r="AY230" s="57"/>
      <c r="AZ230" s="57"/>
      <c r="BA230" s="57"/>
    </row>
    <row r="231" spans="2:53" ht="13.5" customHeight="1" thickTop="1">
      <c r="B231" s="70" t="str">
        <f>B70</f>
        <v>Other investing activities</v>
      </c>
      <c r="C231" s="71"/>
      <c r="D231" s="71">
        <f>D70*D$192</f>
        <v>0</v>
      </c>
      <c r="E231" s="71">
        <f>E70*E$192</f>
        <v>0</v>
      </c>
      <c r="F231" s="71">
        <f>F70*F$192</f>
        <v>0</v>
      </c>
      <c r="G231" s="71">
        <f>G70*G$192</f>
        <v>0</v>
      </c>
      <c r="H231" s="71">
        <f>H70*H$192</f>
        <v>31.637010698356256</v>
      </c>
      <c r="I231" s="71">
        <f>I70*I$192</f>
        <v>1.6164102223602368</v>
      </c>
      <c r="J231" s="71">
        <f>J70*J$192</f>
        <v>-174.14209094940676</v>
      </c>
      <c r="K231" s="71">
        <f>K70*K$192</f>
        <v>-70.213112277788511</v>
      </c>
      <c r="L231" s="71">
        <f>L70*L$192</f>
        <v>115.99635949878594</v>
      </c>
      <c r="M231" s="71">
        <f>M70*M$192</f>
        <v>40.388727642522845</v>
      </c>
      <c r="N231" s="71">
        <f>N70*N$192</f>
        <v>0.49447288799999994</v>
      </c>
      <c r="O231" s="71">
        <f>O70*O$192</f>
        <v>30.570499971760899</v>
      </c>
      <c r="P231" s="71">
        <f>P70*P$192</f>
        <v>-51.981046641839939</v>
      </c>
      <c r="Q231" s="56"/>
      <c r="R231" s="71">
        <f>R70*R$192</f>
        <v>0</v>
      </c>
      <c r="S231" s="71">
        <f>S70*S$192</f>
        <v>0</v>
      </c>
      <c r="T231" s="71">
        <f>T70*T$192</f>
        <v>0</v>
      </c>
      <c r="U231" s="71">
        <f>U70*U$192</f>
        <v>31.637010698356256</v>
      </c>
      <c r="V231" s="71">
        <f>V70*V$192</f>
        <v>0</v>
      </c>
      <c r="W231" s="71">
        <f>W70*W$192</f>
        <v>0.5238507719949167</v>
      </c>
      <c r="X231" s="71">
        <f>X70*X$192</f>
        <v>0</v>
      </c>
      <c r="Y231" s="71">
        <f>Y70*Y$192</f>
        <v>1.0265912997487772</v>
      </c>
      <c r="Z231" s="71">
        <f>Z70*Z$192</f>
        <v>4.304229239184485</v>
      </c>
      <c r="AA231" s="71">
        <f>AA70*AA$192</f>
        <v>0.63994285019455277</v>
      </c>
      <c r="AB231" s="71">
        <f>AB70*AB$192</f>
        <v>0</v>
      </c>
      <c r="AC231" s="71">
        <f>AC70*AC$192</f>
        <v>-186.39405276788179</v>
      </c>
      <c r="AD231" s="71">
        <f>AD70*AD$192</f>
        <v>-103.19445265037182</v>
      </c>
      <c r="AE231" s="71">
        <f>AE70*AE$192</f>
        <v>9.9427815487325937</v>
      </c>
      <c r="AF231" s="71">
        <f>AF70*AF$192</f>
        <v>21.972132248324318</v>
      </c>
      <c r="AG231" s="71">
        <f>AG70*AG$192</f>
        <v>2.4602022982310117</v>
      </c>
      <c r="AH231" s="71">
        <f>AH70*AH$192</f>
        <v>81.94928358788593</v>
      </c>
      <c r="AI231" s="71">
        <f>AI70*AI$192</f>
        <v>38.205382102597504</v>
      </c>
      <c r="AJ231" s="71">
        <f>AJ70*AJ$192</f>
        <v>6.857994720229347</v>
      </c>
      <c r="AK231" s="71">
        <f>AK70*AK$192</f>
        <v>-5.038900977181858</v>
      </c>
      <c r="AL231" s="71">
        <f>AL70*AL$192</f>
        <v>-0.65347390312186082</v>
      </c>
      <c r="AM231" s="71">
        <f>AM70*AM$192</f>
        <v>78.390396069909002</v>
      </c>
      <c r="AN231" s="71">
        <f>AN70*AN$192</f>
        <v>8.1509531503274424</v>
      </c>
      <c r="AO231" s="71">
        <f>AO70*AO$192</f>
        <v>-39.949928799084567</v>
      </c>
      <c r="AP231" s="71">
        <f>AP70*AP$192</f>
        <v>0.10713752</v>
      </c>
      <c r="AQ231" s="71">
        <f>AQ70*AQ$192</f>
        <v>0.28704461999999997</v>
      </c>
      <c r="AR231" s="71">
        <f>AR70*AR$192</f>
        <v>0.16082613000000001</v>
      </c>
      <c r="AS231" s="71">
        <f>AS70*AS$192</f>
        <v>-5.4615678999999973E-2</v>
      </c>
      <c r="AT231" s="71">
        <f>AT70*AT$192</f>
        <v>75.962747096000001</v>
      </c>
      <c r="AU231" s="71">
        <f>AU70*AU$192</f>
        <v>-0.89963068800001045</v>
      </c>
      <c r="AV231" s="71">
        <f>AV70*AV$192</f>
        <v>-1.0423475234939887</v>
      </c>
      <c r="AW231" s="71">
        <f>AW70*AW$192</f>
        <v>-45.322234596192153</v>
      </c>
      <c r="AX231" s="71">
        <f>AX70*AX$192</f>
        <v>-4.7547176195901057</v>
      </c>
      <c r="AY231" s="56"/>
      <c r="AZ231" s="56"/>
      <c r="BA231" s="56"/>
    </row>
    <row r="232" spans="2:53" ht="13.5" customHeight="1">
      <c r="B232" s="1" t="str">
        <f>B71</f>
        <v>Equity Issuance/Buyback</v>
      </c>
      <c r="C232" s="66"/>
      <c r="D232" s="66">
        <f>D71*D$192</f>
        <v>0</v>
      </c>
      <c r="E232" s="66">
        <f>E71*E$192</f>
        <v>0</v>
      </c>
      <c r="F232" s="66">
        <f>F71*F$192</f>
        <v>0</v>
      </c>
      <c r="G232" s="66">
        <f>G71*G$192</f>
        <v>-28.171150172541282</v>
      </c>
      <c r="H232" s="66">
        <f>H71*H$192</f>
        <v>-16.093513926577462</v>
      </c>
      <c r="I232" s="66">
        <f>I71*I$192</f>
        <v>-19.683629649440984</v>
      </c>
      <c r="J232" s="66">
        <f>J71*J$192</f>
        <v>271.15356141832717</v>
      </c>
      <c r="K232" s="66">
        <f>K71*K$192</f>
        <v>-9.2719827242703428</v>
      </c>
      <c r="L232" s="66">
        <f>L71*L$192</f>
        <v>0</v>
      </c>
      <c r="M232" s="66">
        <f>M71*M$192</f>
        <v>0</v>
      </c>
      <c r="N232" s="66">
        <f>N71*N$192</f>
        <v>0</v>
      </c>
      <c r="O232" s="66">
        <f>O71*O$192</f>
        <v>0</v>
      </c>
      <c r="P232" s="66">
        <f>P71*P$192</f>
        <v>0</v>
      </c>
      <c r="Q232" s="56"/>
      <c r="R232" s="66">
        <f>R71*R$192</f>
        <v>-5.4743479849828898</v>
      </c>
      <c r="S232" s="66">
        <f>S71*S$192</f>
        <v>-4.8869140123298225</v>
      </c>
      <c r="T232" s="66">
        <f>T71*T$192</f>
        <v>-5.4821697828709288</v>
      </c>
      <c r="U232" s="66">
        <f>U71*U$192</f>
        <v>-0.53694363868875095</v>
      </c>
      <c r="V232" s="66">
        <f>V71*V$192</f>
        <v>-5.1863740057031373</v>
      </c>
      <c r="W232" s="66">
        <f>W71*W$192</f>
        <v>-4.7193093676507107</v>
      </c>
      <c r="X232" s="66">
        <f>X71*X$192</f>
        <v>-5.0861913574142887</v>
      </c>
      <c r="Y232" s="66">
        <f>Y71*Y$192</f>
        <v>-4.6738000793335992</v>
      </c>
      <c r="Z232" s="66">
        <f>Z71*Z$192</f>
        <v>279.74642839383392</v>
      </c>
      <c r="AA232" s="66">
        <f>AA71*AA$192</f>
        <v>-4.3285517996109029</v>
      </c>
      <c r="AB232" s="66">
        <f>AB71*AB$192</f>
        <v>-10.256790518898127</v>
      </c>
      <c r="AC232" s="66">
        <f>AC71*AC$192</f>
        <v>1.4491146196216462</v>
      </c>
      <c r="AD232" s="66">
        <f>AD71*AD$192</f>
        <v>-5.5343257510564232</v>
      </c>
      <c r="AE232" s="66">
        <f>AE71*AE$192</f>
        <v>-0.67627873586091458</v>
      </c>
      <c r="AF232" s="66">
        <f>AF71*AF$192</f>
        <v>-2.6741465589561564</v>
      </c>
      <c r="AG232" s="66">
        <f>AG71*AG$192</f>
        <v>-0.38287694070089245</v>
      </c>
      <c r="AH232" s="66">
        <f>AH71*AH$192</f>
        <v>-5.7775248421876064</v>
      </c>
      <c r="AI232" s="66">
        <f>AI71*AI$192</f>
        <v>-5.1211235131317094</v>
      </c>
      <c r="AJ232" s="66">
        <f>AJ71*AJ$192</f>
        <v>-4.4872415697036265</v>
      </c>
      <c r="AK232" s="66">
        <f>AK71*AK$192</f>
        <v>14.740478742558505</v>
      </c>
      <c r="AL232" s="66">
        <f>AL71*AL$192</f>
        <v>0</v>
      </c>
      <c r="AM232" s="66">
        <f>AM71*AM$192</f>
        <v>0</v>
      </c>
      <c r="AN232" s="66">
        <f>AN71*AN$192</f>
        <v>0</v>
      </c>
      <c r="AO232" s="66">
        <f>AO71*AO$192</f>
        <v>0</v>
      </c>
      <c r="AP232" s="66">
        <f>AP71*AP$192</f>
        <v>0</v>
      </c>
      <c r="AQ232" s="66">
        <f>AQ71*AQ$192</f>
        <v>0</v>
      </c>
      <c r="AR232" s="66">
        <f>AR71*AR$192</f>
        <v>0</v>
      </c>
      <c r="AS232" s="66">
        <f>AS71*AS$192</f>
        <v>0</v>
      </c>
      <c r="AT232" s="66">
        <f>AT71*AT$192</f>
        <v>0</v>
      </c>
      <c r="AU232" s="66">
        <f>AU71*AU$192</f>
        <v>0</v>
      </c>
      <c r="AV232" s="66">
        <f>AV71*AV$192</f>
        <v>0</v>
      </c>
      <c r="AW232" s="66">
        <f>AW71*AW$192</f>
        <v>0</v>
      </c>
      <c r="AX232" s="66">
        <f>AX71*AX$192</f>
        <v>0</v>
      </c>
      <c r="AY232" s="140"/>
      <c r="AZ232" s="140"/>
      <c r="BA232" s="140"/>
    </row>
    <row r="233" spans="2:53" s="5" customFormat="1" ht="13.5" customHeight="1">
      <c r="B233" s="1" t="str">
        <f>B72</f>
        <v xml:space="preserve">Dividends Paid </v>
      </c>
      <c r="C233" s="66"/>
      <c r="D233" s="66">
        <f>D72*D$192</f>
        <v>-91.646781687794771</v>
      </c>
      <c r="E233" s="66">
        <f>E72*E$192</f>
        <v>-82.973881098585522</v>
      </c>
      <c r="F233" s="66">
        <f>F72*F$192</f>
        <v>-99.886107375607722</v>
      </c>
      <c r="G233" s="66">
        <f>G72*G$192</f>
        <v>-115.49201226275572</v>
      </c>
      <c r="H233" s="66">
        <f>H72*H$192</f>
        <v>-136.51429774492374</v>
      </c>
      <c r="I233" s="66">
        <f>I72*I$192</f>
        <v>-122.85189354280581</v>
      </c>
      <c r="J233" s="66">
        <f>J72*J$192</f>
        <v>-126.35522215516843</v>
      </c>
      <c r="K233" s="66">
        <f>K72*K$192</f>
        <v>-137.60110095707932</v>
      </c>
      <c r="L233" s="66">
        <f>L72*L$192</f>
        <v>-313.67514545298013</v>
      </c>
      <c r="M233" s="66">
        <f>M72*M$192</f>
        <v>-195.45738974084645</v>
      </c>
      <c r="N233" s="66">
        <f>N72*N$192</f>
        <v>-167.83340313999997</v>
      </c>
      <c r="O233" s="66">
        <f>O72*O$192</f>
        <v>-205.96309712354881</v>
      </c>
      <c r="P233" s="66">
        <f>P72*P$192</f>
        <v>-59.884688978255056</v>
      </c>
      <c r="Q233" s="56"/>
      <c r="R233" s="66">
        <f>R72*R$192</f>
        <v>-35.499553141300375</v>
      </c>
      <c r="S233" s="66">
        <f>S72*S$192</f>
        <v>-70.15681672232212</v>
      </c>
      <c r="T233" s="66">
        <f>T72*T$192</f>
        <v>4.4318455971049192E-2</v>
      </c>
      <c r="U233" s="66">
        <f>U72*U$192</f>
        <v>-35.082796855993259</v>
      </c>
      <c r="V233" s="66">
        <f>V72*V$192</f>
        <v>-32.071352243734054</v>
      </c>
      <c r="W233" s="66">
        <f>W72*W$192</f>
        <v>-31.213578930454727</v>
      </c>
      <c r="X233" s="66">
        <f>X72*X$192</f>
        <v>-30.188929070900848</v>
      </c>
      <c r="Y233" s="66">
        <f>Y72*Y$192</f>
        <v>-29.2976451143726</v>
      </c>
      <c r="Z233" s="66">
        <f>Z72*Z$192</f>
        <v>-27.935279711586272</v>
      </c>
      <c r="AA233" s="66">
        <f>AA72*AA$192</f>
        <v>-31.422313959143967</v>
      </c>
      <c r="AB233" s="66">
        <f>AB72*AB$192</f>
        <v>-33.10913132607304</v>
      </c>
      <c r="AC233" s="66">
        <f>AC72*AC$192</f>
        <v>-33.957292721082162</v>
      </c>
      <c r="AD233" s="66">
        <f>AD72*AD$192</f>
        <v>-33.190807506068815</v>
      </c>
      <c r="AE233" s="66">
        <f>AE72*AE$192</f>
        <v>-35.726119014397909</v>
      </c>
      <c r="AF233" s="66">
        <f>AF72*AF$192</f>
        <v>-32.309980562039925</v>
      </c>
      <c r="AG233" s="66">
        <f>AG72*AG$192</f>
        <v>-35.999131328323251</v>
      </c>
      <c r="AH233" s="66">
        <f>AH72*AH$192</f>
        <v>-35.176742970435313</v>
      </c>
      <c r="AI233" s="66">
        <f>AI72*AI$192</f>
        <v>-221.51883770004244</v>
      </c>
      <c r="AJ233" s="66">
        <f>AJ72*AJ$192</f>
        <v>-30.698649623346892</v>
      </c>
      <c r="AK233" s="66">
        <f>AK72*AK$192</f>
        <v>-31.969425216245234</v>
      </c>
      <c r="AL233" s="66">
        <f>AL72*AL$192</f>
        <v>-35.139230465132052</v>
      </c>
      <c r="AM233" s="66">
        <f>AM72*AM$192</f>
        <v>-96.772542527987213</v>
      </c>
      <c r="AN233" s="66">
        <f>AN72*AN$192</f>
        <v>-33.102992165100801</v>
      </c>
      <c r="AO233" s="66">
        <f>AO72*AO$192</f>
        <v>-33.076328910971895</v>
      </c>
      <c r="AP233" s="66">
        <f>AP72*AP$192</f>
        <v>-33.640450893000001</v>
      </c>
      <c r="AQ233" s="66">
        <f>AQ72*AQ$192</f>
        <v>-67.380308569999997</v>
      </c>
      <c r="AR233" s="66">
        <f>AR72*AR$192</f>
        <v>-34.158312240000001</v>
      </c>
      <c r="AS233" s="66">
        <f>AS72*AS$192</f>
        <v>-32.981536119999994</v>
      </c>
      <c r="AT233" s="66">
        <f>AT72*AT$192</f>
        <v>-145.32489171399999</v>
      </c>
      <c r="AU233" s="66">
        <f>AU72*AU$192</f>
        <v>-0.73141305599998874</v>
      </c>
      <c r="AV233" s="66">
        <f>AV72*AV$192</f>
        <v>-0.14719218186742425</v>
      </c>
      <c r="AW233" s="66">
        <f>AW72*AW$192</f>
        <v>-58.805914162722473</v>
      </c>
      <c r="AX233" s="66">
        <f>AX72*AX$192</f>
        <v>0</v>
      </c>
      <c r="AY233" s="140"/>
      <c r="AZ233" s="140"/>
      <c r="BA233" s="140"/>
    </row>
    <row r="234" spans="2:53" ht="13.5" customHeight="1">
      <c r="B234" s="1" t="str">
        <f>B73</f>
        <v>Change in debt</v>
      </c>
      <c r="C234" s="63"/>
      <c r="D234" s="63">
        <f>D73*D$192</f>
        <v>21.482571493696629</v>
      </c>
      <c r="E234" s="63">
        <f>E73*E$192</f>
        <v>-62.751192985671949</v>
      </c>
      <c r="F234" s="63">
        <f>F73*F$192</f>
        <v>-37.091482067120836</v>
      </c>
      <c r="G234" s="63">
        <f>G73*G$192</f>
        <v>30.279063963519828</v>
      </c>
      <c r="H234" s="63">
        <f>H73*H$192</f>
        <v>-26.169016874083773</v>
      </c>
      <c r="I234" s="63">
        <f>I73*I$192</f>
        <v>-38.486513009282007</v>
      </c>
      <c r="J234" s="63">
        <f>J73*J$192</f>
        <v>-1.9444680539460899</v>
      </c>
      <c r="K234" s="63">
        <f>K73*K$192</f>
        <v>-2.3372134453797822</v>
      </c>
      <c r="L234" s="63">
        <f>L73*L$192</f>
        <v>4.9240674558631605</v>
      </c>
      <c r="M234" s="63">
        <f>M73*M$192</f>
        <v>-0.97503386311252882</v>
      </c>
      <c r="N234" s="63">
        <f>N73*N$192</f>
        <v>35.724259142000001</v>
      </c>
      <c r="O234" s="63">
        <f>O73*O$192</f>
        <v>56.525374845744679</v>
      </c>
      <c r="P234" s="63">
        <f>P73*P$192</f>
        <v>57.647550341703699</v>
      </c>
      <c r="Q234" s="56"/>
      <c r="R234" s="63">
        <f>R73*R$192</f>
        <v>-6.4482391441576148</v>
      </c>
      <c r="S234" s="63">
        <f>S73*S$192</f>
        <v>36.24327157718983</v>
      </c>
      <c r="T234" s="63">
        <f>T73*T$192</f>
        <v>-43.835930337756324</v>
      </c>
      <c r="U234" s="63">
        <f>U73*U$192</f>
        <v>-9.9834783693584122</v>
      </c>
      <c r="V234" s="63">
        <f>V73*V$192</f>
        <v>-0.32340387212967131</v>
      </c>
      <c r="W234" s="63">
        <f>W73*W$192</f>
        <v>-0.89576827005945181</v>
      </c>
      <c r="X234" s="63">
        <f>X73*X$192</f>
        <v>-18.79814095410304</v>
      </c>
      <c r="Y234" s="63">
        <f>Y73*Y$192</f>
        <v>-17.042542641808804</v>
      </c>
      <c r="Z234" s="63">
        <f>Z73*Z$192</f>
        <v>-2.852354549975137</v>
      </c>
      <c r="AA234" s="63">
        <f>AA73*AA$192</f>
        <v>-0.54769941634241237</v>
      </c>
      <c r="AB234" s="63">
        <f>AB73*AB$192</f>
        <v>6.942549647661755</v>
      </c>
      <c r="AC234" s="63">
        <f>AC73*AC$192</f>
        <v>-5.5376894661425817</v>
      </c>
      <c r="AD234" s="63">
        <f>AD73*AD$192</f>
        <v>-1.0693232464646723</v>
      </c>
      <c r="AE234" s="63">
        <f>AE73*AE$192</f>
        <v>-1.9116471874254339</v>
      </c>
      <c r="AF234" s="63">
        <f>AF73*AF$192</f>
        <v>-1.2893993954763399</v>
      </c>
      <c r="AG234" s="63">
        <f>AG73*AG$192</f>
        <v>1.6826788885287869</v>
      </c>
      <c r="AH234" s="63">
        <f>AH73*AH$192</f>
        <v>-1.6382809424074465</v>
      </c>
      <c r="AI234" s="63">
        <f>AI73*AI$192</f>
        <v>4.8720736879638302</v>
      </c>
      <c r="AJ234" s="63">
        <f>AJ73*AJ$192</f>
        <v>8.0244609352313407</v>
      </c>
      <c r="AK234" s="63">
        <f>AK73*AK$192</f>
        <v>-6.6739411754802722</v>
      </c>
      <c r="AL234" s="63">
        <f>AL73*AL$192</f>
        <v>-1.9851079919334158</v>
      </c>
      <c r="AM234" s="63">
        <f>AM73*AM$192</f>
        <v>38.264829340157107</v>
      </c>
      <c r="AN234" s="63">
        <f>AN73*AN$192</f>
        <v>-4.6638558885887793</v>
      </c>
      <c r="AO234" s="63">
        <f>AO73*AO$192</f>
        <v>-29.148830753200318</v>
      </c>
      <c r="AP234" s="63">
        <f>AP73*AP$192</f>
        <v>-2.3895440450000001</v>
      </c>
      <c r="AQ234" s="63">
        <f>AQ73*AQ$192</f>
        <v>34.560590189999999</v>
      </c>
      <c r="AR234" s="63">
        <f>AR73*AR$192</f>
        <v>3.7299214499999982</v>
      </c>
      <c r="AS234" s="63">
        <f>AS73*AS$192</f>
        <v>0.21380762300001141</v>
      </c>
      <c r="AT234" s="63">
        <f>AT73*AT$192</f>
        <v>-6.9900374580000015</v>
      </c>
      <c r="AU234" s="63">
        <f>AU73*AU$192</f>
        <v>0.50457475200000101</v>
      </c>
      <c r="AV234" s="63">
        <f>AV73*AV$192</f>
        <v>69.368474297264086</v>
      </c>
      <c r="AW234" s="63">
        <f>AW73*AW$192</f>
        <v>-7.0219604651660985</v>
      </c>
      <c r="AX234" s="63">
        <f>AX73*AX$192</f>
        <v>-7.7081730715002772</v>
      </c>
      <c r="AY234" s="56"/>
      <c r="AZ234" s="56"/>
      <c r="BA234" s="56"/>
    </row>
    <row r="235" spans="2:53" ht="13.5" customHeight="1" thickBot="1">
      <c r="B235" s="41" t="str">
        <f>B74</f>
        <v>Other financing activities</v>
      </c>
      <c r="C235" s="64"/>
      <c r="D235" s="64">
        <f>D74*D$192</f>
        <v>0</v>
      </c>
      <c r="E235" s="64">
        <f>E74*E$192</f>
        <v>0</v>
      </c>
      <c r="F235" s="64">
        <f>F74*F$192</f>
        <v>0</v>
      </c>
      <c r="G235" s="64">
        <f>G74*G$192</f>
        <v>0</v>
      </c>
      <c r="H235" s="64">
        <f>H74*H$192</f>
        <v>0</v>
      </c>
      <c r="I235" s="64">
        <f>I74*I$192</f>
        <v>0</v>
      </c>
      <c r="J235" s="64">
        <f>J74*J$192</f>
        <v>0</v>
      </c>
      <c r="K235" s="64">
        <f>K74*K$192</f>
        <v>0</v>
      </c>
      <c r="L235" s="64">
        <f>L74*L$192</f>
        <v>-19.386049190771239</v>
      </c>
      <c r="M235" s="64">
        <f>M74*M$192</f>
        <v>-24.063621286602714</v>
      </c>
      <c r="N235" s="64">
        <f>N74*N$192</f>
        <v>5.2253565259999988</v>
      </c>
      <c r="O235" s="64">
        <f>O74*O$192</f>
        <v>-21.325981887237045</v>
      </c>
      <c r="P235" s="64">
        <f>P74*P$192</f>
        <v>-22.283705060440973</v>
      </c>
      <c r="Q235" s="56"/>
      <c r="R235" s="64">
        <f>R74*R$192</f>
        <v>0</v>
      </c>
      <c r="S235" s="64">
        <f>S74*S$192</f>
        <v>0</v>
      </c>
      <c r="T235" s="64">
        <f>T74*T$192</f>
        <v>0</v>
      </c>
      <c r="U235" s="64">
        <f>U74*U$192</f>
        <v>0</v>
      </c>
      <c r="V235" s="64">
        <f>V74*V$192</f>
        <v>0</v>
      </c>
      <c r="W235" s="64">
        <f>W74*W$192</f>
        <v>0</v>
      </c>
      <c r="X235" s="64">
        <f>X74*X$192</f>
        <v>0</v>
      </c>
      <c r="Y235" s="64">
        <f>Y74*Y$192</f>
        <v>0</v>
      </c>
      <c r="Z235" s="64">
        <f>Z74*Z$192</f>
        <v>0</v>
      </c>
      <c r="AA235" s="64">
        <f>AA74*AA$192</f>
        <v>0</v>
      </c>
      <c r="AB235" s="64">
        <f>AB74*AB$192</f>
        <v>0</v>
      </c>
      <c r="AC235" s="64">
        <f>AC74*AC$192</f>
        <v>0</v>
      </c>
      <c r="AD235" s="64">
        <f>AD74*AD$192</f>
        <v>0</v>
      </c>
      <c r="AE235" s="64">
        <f>AE74*AE$192</f>
        <v>0</v>
      </c>
      <c r="AF235" s="64">
        <f>AF74*AF$192</f>
        <v>3.9133623007418818</v>
      </c>
      <c r="AG235" s="64">
        <f>AG74*AG$192</f>
        <v>-3.6125010130289259</v>
      </c>
      <c r="AH235" s="64">
        <f>AH74*AH$192</f>
        <v>0.11577068815259135</v>
      </c>
      <c r="AI235" s="64">
        <f>AI74*AI$192</f>
        <v>-0.11186387056116964</v>
      </c>
      <c r="AJ235" s="64">
        <f>AJ74*AJ$192</f>
        <v>0</v>
      </c>
      <c r="AK235" s="64">
        <f>AK74*AK$192</f>
        <v>-18.804211750647724</v>
      </c>
      <c r="AL235" s="64">
        <f>AL74*AL$192</f>
        <v>-3.7262412911038627</v>
      </c>
      <c r="AM235" s="64">
        <f>AM74*AM$192</f>
        <v>6.3140873366621291</v>
      </c>
      <c r="AN235" s="64">
        <f>AN74*AN$192</f>
        <v>-63.551328482850884</v>
      </c>
      <c r="AO235" s="64">
        <f>AO74*AO$192</f>
        <v>36.563843793600036</v>
      </c>
      <c r="AP235" s="64">
        <f>AP74*AP$192</f>
        <v>6.8749795659999995</v>
      </c>
      <c r="AQ235" s="64">
        <f>AQ74*AQ$192</f>
        <v>-5.4450320499999991</v>
      </c>
      <c r="AR235" s="64">
        <f>AR74*AR$192</f>
        <v>-0.30279711599999926</v>
      </c>
      <c r="AS235" s="64">
        <f>AS74*AS$192</f>
        <v>3.9389605029999988</v>
      </c>
      <c r="AT235" s="64">
        <f>AT74*AT$192</f>
        <v>-2.0644938210000001</v>
      </c>
      <c r="AU235" s="64">
        <f>AU74*AU$192</f>
        <v>-7.7686435200000004</v>
      </c>
      <c r="AV235" s="64">
        <f>AV74*AV$192</f>
        <v>-6.8726125731908061</v>
      </c>
      <c r="AW235" s="64">
        <f>AW74*AW$192</f>
        <v>-4.6463324267020747</v>
      </c>
      <c r="AX235" s="64">
        <f>AX74*AX$192</f>
        <v>-2.7669862503806804</v>
      </c>
      <c r="AY235" s="56"/>
      <c r="AZ235" s="56"/>
      <c r="BA235" s="56"/>
    </row>
    <row r="236" spans="2:53" ht="13.5" customHeight="1" thickTop="1" thickBot="1">
      <c r="B236" s="52" t="str">
        <f>B75</f>
        <v>Cash flow after financing activities</v>
      </c>
      <c r="C236" s="65"/>
      <c r="D236" s="65">
        <f>D75*D$192</f>
        <v>610.35534164431147</v>
      </c>
      <c r="E236" s="65">
        <f>E75*E$192</f>
        <v>568.57818256805035</v>
      </c>
      <c r="F236" s="65">
        <f>F75*F$192</f>
        <v>463.78300698990648</v>
      </c>
      <c r="G236" s="65">
        <f>G75*G$192</f>
        <v>506.78092186344577</v>
      </c>
      <c r="H236" s="65">
        <f>H75*H$192</f>
        <v>532.81623779669985</v>
      </c>
      <c r="I236" s="65">
        <f>I75*I$192</f>
        <v>524.67170337006098</v>
      </c>
      <c r="J236" s="65">
        <f>J75*J$192</f>
        <v>650.41477578193633</v>
      </c>
      <c r="K236" s="65">
        <f>K75*K$192</f>
        <v>508.64193476628611</v>
      </c>
      <c r="L236" s="65">
        <f>L75*L$192</f>
        <v>535.91892650111777</v>
      </c>
      <c r="M236" s="65">
        <f>M75*M$192</f>
        <v>555.29533282570924</v>
      </c>
      <c r="N236" s="65">
        <f>N75*N$192</f>
        <v>561.1352368764999</v>
      </c>
      <c r="O236" s="65">
        <f>O75*O$192</f>
        <v>693.10523151472569</v>
      </c>
      <c r="P236" s="65">
        <f>P75*P$192</f>
        <v>795.51051440932986</v>
      </c>
      <c r="Q236" s="57"/>
      <c r="R236" s="65">
        <f>R75*R$192</f>
        <v>126.17431808365728</v>
      </c>
      <c r="S236" s="65">
        <f>S75*S$192</f>
        <v>436.2640926021063</v>
      </c>
      <c r="T236" s="65">
        <f>T75*T$192</f>
        <v>-293.27054734620032</v>
      </c>
      <c r="U236" s="65">
        <f>U75*U$192</f>
        <v>293.90047253672702</v>
      </c>
      <c r="V236" s="65">
        <f>V75*V$192</f>
        <v>121.47438090950028</v>
      </c>
      <c r="W236" s="65">
        <f>W75*W$192</f>
        <v>83.090511108838896</v>
      </c>
      <c r="X236" s="65">
        <f>X75*X$192</f>
        <v>77.897578719857421</v>
      </c>
      <c r="Y236" s="65">
        <f>Y75*Y$192</f>
        <v>231.99422848076151</v>
      </c>
      <c r="Z236" s="65">
        <f>Z75*Z$192</f>
        <v>404.8000497265042</v>
      </c>
      <c r="AA236" s="65">
        <f>AA75*AA$192</f>
        <v>46.450699173151726</v>
      </c>
      <c r="AB236" s="65">
        <f>AB75*AB$192</f>
        <v>119.04780397181278</v>
      </c>
      <c r="AC236" s="65">
        <f>AC75*AC$192</f>
        <v>76.164193035270927</v>
      </c>
      <c r="AD236" s="65">
        <f>AD75*AD$192</f>
        <v>-0.10721065543233907</v>
      </c>
      <c r="AE236" s="65">
        <f>AE75*AE$192</f>
        <v>160.75323688678682</v>
      </c>
      <c r="AF236" s="65">
        <f>AF75*AF$192</f>
        <v>149.97726528924215</v>
      </c>
      <c r="AG236" s="65">
        <f>AG75*AG$192</f>
        <v>195.01044102877614</v>
      </c>
      <c r="AH236" s="65">
        <f>AH75*AH$192</f>
        <v>246.83726421472321</v>
      </c>
      <c r="AI236" s="65">
        <f>AI75*AI$192</f>
        <v>-52.170194824477889</v>
      </c>
      <c r="AJ236" s="65">
        <f>AJ75*AJ$192</f>
        <v>86.691590507608964</v>
      </c>
      <c r="AK236" s="65">
        <f>AK75*AK$192</f>
        <v>254.29210406895805</v>
      </c>
      <c r="AL236" s="65">
        <f>AL75*AL$192</f>
        <v>132.58678564691741</v>
      </c>
      <c r="AM236" s="65">
        <f>AM75*AM$192</f>
        <v>127.43886005941756</v>
      </c>
      <c r="AN236" s="65">
        <f>AN75*AN$192</f>
        <v>78.273274728716459</v>
      </c>
      <c r="AO236" s="65">
        <f>AO75*AO$192</f>
        <v>212.56330307276883</v>
      </c>
      <c r="AP236" s="65">
        <f>AP75*AP$192</f>
        <v>146.28621774900003</v>
      </c>
      <c r="AQ236" s="65">
        <f>AQ75*AQ$192</f>
        <v>65.100342939999976</v>
      </c>
      <c r="AR236" s="65">
        <f>AR75*AR$192</f>
        <v>110.87555528999995</v>
      </c>
      <c r="AS236" s="65">
        <f>AS75*AS$192</f>
        <v>235.55206431099998</v>
      </c>
      <c r="AT236" s="65">
        <f>AT75*AT$192</f>
        <v>140.20131633499994</v>
      </c>
      <c r="AU236" s="65">
        <f>AU75*AU$192</f>
        <v>121.15249871999978</v>
      </c>
      <c r="AV236" s="65">
        <f>AV75*AV$192</f>
        <v>213.35086266174926</v>
      </c>
      <c r="AW236" s="65">
        <f>AW75*AW$192</f>
        <v>218.98635876898004</v>
      </c>
      <c r="AX236" s="65">
        <f>AX75*AX$192</f>
        <v>244.29162164296096</v>
      </c>
      <c r="AY236" s="57"/>
      <c r="AZ236" s="57"/>
      <c r="BA236" s="57"/>
    </row>
    <row r="237" spans="2:53" ht="13.5" customHeight="1" thickTop="1">
      <c r="B237" s="1" t="str">
        <f>B76</f>
        <v>FX and effects of inflation</v>
      </c>
      <c r="C237" s="63"/>
      <c r="D237" s="63">
        <f>D76*D$192</f>
        <v>-3.9979415426156786</v>
      </c>
      <c r="E237" s="63">
        <f>E76*E$192</f>
        <v>-20.730269147343659</v>
      </c>
      <c r="F237" s="63">
        <f>F76*F$192</f>
        <v>1.1781214440881347</v>
      </c>
      <c r="G237" s="63">
        <f>G76*G$192</f>
        <v>-8.9427717525264967</v>
      </c>
      <c r="H237" s="63">
        <f>H76*H$192</f>
        <v>-1.9680281338698111</v>
      </c>
      <c r="I237" s="63">
        <f>I76*I$192</f>
        <v>2.9073663517713375</v>
      </c>
      <c r="J237" s="63">
        <f>J76*J$192</f>
        <v>-20.179944579185392</v>
      </c>
      <c r="K237" s="63">
        <f>K76*K$192</f>
        <v>4.26792415897647</v>
      </c>
      <c r="L237" s="63">
        <f>L76*L$192</f>
        <v>-43.395788287737624</v>
      </c>
      <c r="M237" s="63">
        <f>M76*M$192</f>
        <v>-11.091405962564231</v>
      </c>
      <c r="N237" s="63">
        <f>N76*N$192</f>
        <v>-2.559522088500001</v>
      </c>
      <c r="O237" s="63">
        <f>O76*O$192</f>
        <v>-2.6276381720231314</v>
      </c>
      <c r="P237" s="63">
        <f>P76*P$192</f>
        <v>7.447732419247993</v>
      </c>
      <c r="Q237" s="56"/>
      <c r="R237" s="63">
        <f>R76*R$192</f>
        <v>-3.1389564437356721</v>
      </c>
      <c r="S237" s="63">
        <f>S76*S$192</f>
        <v>-7.4933374004623685</v>
      </c>
      <c r="T237" s="63">
        <f>T76*T$192</f>
        <v>-2.017392943305186</v>
      </c>
      <c r="U237" s="63">
        <f>U76*U$192</f>
        <v>10.344398178472286</v>
      </c>
      <c r="V237" s="63">
        <f>V76*V$192</f>
        <v>-2.9616028815848718</v>
      </c>
      <c r="W237" s="63">
        <f>W76*W$192</f>
        <v>1.0520705823923806</v>
      </c>
      <c r="X237" s="63">
        <f>X76*X$192</f>
        <v>1.7645990196216932</v>
      </c>
      <c r="Y237" s="63">
        <f>Y76*Y$192</f>
        <v>2.7045788708184584</v>
      </c>
      <c r="Z237" s="63">
        <f>Z76*Z$192</f>
        <v>3.1560753356539037</v>
      </c>
      <c r="AA237" s="63">
        <f>AA76*AA$192</f>
        <v>-8.2204389591439693</v>
      </c>
      <c r="AB237" s="63">
        <f>AB76*AB$192</f>
        <v>-9.4873606662395904</v>
      </c>
      <c r="AC237" s="63">
        <f>AC76*AC$192</f>
        <v>-5.7077929248445471</v>
      </c>
      <c r="AD237" s="63">
        <f>AD76*AD$192</f>
        <v>-1.8806889553925785</v>
      </c>
      <c r="AE237" s="63">
        <f>AE76*AE$192</f>
        <v>-4.062984043967993</v>
      </c>
      <c r="AF237" s="63">
        <f>AF76*AF$192</f>
        <v>6.5203594759796077</v>
      </c>
      <c r="AG237" s="63">
        <f>AG76*AG$192</f>
        <v>3.2549561335983972</v>
      </c>
      <c r="AH237" s="63">
        <f>AH76*AH$192</f>
        <v>-3.1292685200410357</v>
      </c>
      <c r="AI237" s="63">
        <f>AI76*AI$192</f>
        <v>-21.30221823877763</v>
      </c>
      <c r="AJ237" s="63">
        <f>AJ76*AJ$192</f>
        <v>-5.9129101916473346</v>
      </c>
      <c r="AK237" s="63">
        <f>AK76*AK$192</f>
        <v>-13.055631655618795</v>
      </c>
      <c r="AL237" s="63">
        <f>AL76*AL$192</f>
        <v>-20.720489608962993</v>
      </c>
      <c r="AM237" s="63">
        <f>AM76*AM$192</f>
        <v>-25.705909435639878</v>
      </c>
      <c r="AN237" s="63">
        <f>AN76*AN$192</f>
        <v>20.148903483123501</v>
      </c>
      <c r="AO237" s="63">
        <f>AO76*AO$192</f>
        <v>12.129540342892156</v>
      </c>
      <c r="AP237" s="63">
        <f>AP76*AP$192</f>
        <v>15.860862122</v>
      </c>
      <c r="AQ237" s="63">
        <f>AQ76*AQ$192</f>
        <v>-22.65665615</v>
      </c>
      <c r="AR237" s="63">
        <f>AR76*AR$192</f>
        <v>-3.4492637700000017</v>
      </c>
      <c r="AS237" s="63">
        <f>AS76*AS$192</f>
        <v>7.222415676999999</v>
      </c>
      <c r="AT237" s="63">
        <f>AT76*AT$192</f>
        <v>-2.3084854029999997</v>
      </c>
      <c r="AU237" s="63">
        <f>AU76*AU$192</f>
        <v>-1.976620800000032E-2</v>
      </c>
      <c r="AV237" s="63">
        <f>AV76*AV$192</f>
        <v>7.4409045446021143</v>
      </c>
      <c r="AW237" s="63">
        <f>AW76*AW$192</f>
        <v>-7.920053327051165</v>
      </c>
      <c r="AX237" s="63">
        <f>AX76*AX$192</f>
        <v>8.1285955987682854</v>
      </c>
      <c r="AY237" s="56"/>
      <c r="AZ237" s="56"/>
      <c r="BA237" s="56"/>
    </row>
    <row r="238" spans="2:53" ht="13.5" customHeight="1">
      <c r="B238" s="1" t="str">
        <f>B77</f>
        <v>Balancing figure</v>
      </c>
      <c r="C238" s="63"/>
      <c r="D238" s="63">
        <f>D77*D$192</f>
        <v>-607.16691739869918</v>
      </c>
      <c r="E238" s="63">
        <f>E77*E$192</f>
        <v>-472.0123575596491</v>
      </c>
      <c r="F238" s="63">
        <f>F77*F$192</f>
        <v>-447.07562547104266</v>
      </c>
      <c r="G238" s="63">
        <f>G77*G$192</f>
        <v>-505.57441459206302</v>
      </c>
      <c r="H238" s="63">
        <f>H77*H$192</f>
        <v>-528.82628738966332</v>
      </c>
      <c r="I238" s="63">
        <f>I77*I$192</f>
        <v>-499.05509311437731</v>
      </c>
      <c r="J238" s="63">
        <f>J77*J$192</f>
        <v>-438.19416170150225</v>
      </c>
      <c r="K238" s="63">
        <f>K77*K$192</f>
        <v>-519.66223427952423</v>
      </c>
      <c r="L238" s="63">
        <f>L77*L$192</f>
        <v>-506.96533887335221</v>
      </c>
      <c r="M238" s="63">
        <f>M77*M$192</f>
        <v>-530.06203736221482</v>
      </c>
      <c r="N238" s="63">
        <f>N77*N$192</f>
        <v>-616.62008218849985</v>
      </c>
      <c r="O238" s="63">
        <f>O77*O$192</f>
        <v>-640.38712782447874</v>
      </c>
      <c r="P238" s="63">
        <f>P77*P$192</f>
        <v>-677.07897563152517</v>
      </c>
      <c r="Q238" s="56"/>
      <c r="R238" s="63">
        <f>R77*R$192</f>
        <v>-158.15516628459417</v>
      </c>
      <c r="S238" s="63">
        <f>S77*S$192</f>
        <v>-437.51233784998715</v>
      </c>
      <c r="T238" s="63">
        <f>T77*T$192</f>
        <v>241.0861112786491</v>
      </c>
      <c r="U238" s="63">
        <f>U77*U$192</f>
        <v>-204.70099029974108</v>
      </c>
      <c r="V238" s="63">
        <f>V77*V$192</f>
        <v>-142.14060933513437</v>
      </c>
      <c r="W238" s="63">
        <f>W77*W$192</f>
        <v>-90.48951635285357</v>
      </c>
      <c r="X238" s="63">
        <f>X77*X$192</f>
        <v>-96.30773990309207</v>
      </c>
      <c r="Y238" s="63">
        <f>Y77*Y$192</f>
        <v>-166.07409229141862</v>
      </c>
      <c r="Z238" s="63">
        <f>Z77*Z$192</f>
        <v>-128.77057931377419</v>
      </c>
      <c r="AA238" s="63">
        <f>AA77*AA$192</f>
        <v>-51.653886186770414</v>
      </c>
      <c r="AB238" s="63">
        <f>AB77*AB$192</f>
        <v>-215.27011659192809</v>
      </c>
      <c r="AC238" s="63">
        <f>AC77*AC$192</f>
        <v>-42.93947468745521</v>
      </c>
      <c r="AD238" s="63">
        <f>AD77*AD$192</f>
        <v>-128.04018135813095</v>
      </c>
      <c r="AE238" s="63">
        <f>AE77*AE$192</f>
        <v>-105.83163517406814</v>
      </c>
      <c r="AF238" s="63">
        <f>AF77*AF$192</f>
        <v>-113.50369943204275</v>
      </c>
      <c r="AG238" s="63">
        <f>AG77*AG$192</f>
        <v>-166.63075589545537</v>
      </c>
      <c r="AH238" s="63">
        <f>AH77*AH$192</f>
        <v>-139.45113817500422</v>
      </c>
      <c r="AI238" s="63">
        <f>AI77*AI$192</f>
        <v>-77.585668574480579</v>
      </c>
      <c r="AJ238" s="63">
        <f>AJ77*AJ$192</f>
        <v>-99.954342653357543</v>
      </c>
      <c r="AK238" s="63">
        <f>AK77*AK$192</f>
        <v>-187.94710785779353</v>
      </c>
      <c r="AL238" s="63">
        <f>AL77*AL$192</f>
        <v>-151.38355075583746</v>
      </c>
      <c r="AM238" s="63">
        <f>AM77*AM$192</f>
        <v>-114.40069064721573</v>
      </c>
      <c r="AN238" s="63">
        <f>AN77*AN$192</f>
        <v>-126.23135640226924</v>
      </c>
      <c r="AO238" s="63">
        <f>AO77*AO$192</f>
        <v>-136.85412564938147</v>
      </c>
      <c r="AP238" s="63">
        <f>AP77*AP$192</f>
        <v>-164.43080870300003</v>
      </c>
      <c r="AQ238" s="63">
        <f>AQ77*AQ$192</f>
        <v>-116.37209254999996</v>
      </c>
      <c r="AR238" s="63">
        <f>AR77*AR$192</f>
        <v>-130.78135804799996</v>
      </c>
      <c r="AS238" s="63">
        <f>AS77*AS$192</f>
        <v>-203.14683471899994</v>
      </c>
      <c r="AT238" s="63">
        <f>AT77*AT$192</f>
        <v>-179.80926793699993</v>
      </c>
      <c r="AU238" s="63">
        <f>AU77*AU$192</f>
        <v>-128.83229145599981</v>
      </c>
      <c r="AV238" s="63">
        <f>AV77*AV$192</f>
        <v>-135.73323331458002</v>
      </c>
      <c r="AW238" s="63">
        <f>AW77*AW$192</f>
        <v>-196.38322982031565</v>
      </c>
      <c r="AX238" s="63">
        <f>AX77*AX$192</f>
        <v>-219.56629594955828</v>
      </c>
      <c r="AY238" s="56"/>
      <c r="AZ238" s="56"/>
      <c r="BA238" s="56"/>
    </row>
    <row r="239" spans="2:53" s="5" customFormat="1" ht="13.5" customHeight="1" thickBot="1">
      <c r="B239" s="46" t="str">
        <f>B78</f>
        <v xml:space="preserve">Net change in cash </v>
      </c>
      <c r="C239" s="65"/>
      <c r="D239" s="65">
        <f>D78*D$192</f>
        <v>-0.80951729700345565</v>
      </c>
      <c r="E239" s="65">
        <f>E78*E$192</f>
        <v>75.835555861057657</v>
      </c>
      <c r="F239" s="65">
        <f>F78*F$192</f>
        <v>17.885502962952003</v>
      </c>
      <c r="G239" s="65">
        <f>G78*G$192</f>
        <v>-7.7362644811437393</v>
      </c>
      <c r="H239" s="65">
        <f>H78*H$192</f>
        <v>2.021922273166735</v>
      </c>
      <c r="I239" s="65">
        <f>I78*I$192</f>
        <v>28.523976607455069</v>
      </c>
      <c r="J239" s="65">
        <f>J78*J$192</f>
        <v>192.04066950124869</v>
      </c>
      <c r="K239" s="65">
        <f>K78*K$192</f>
        <v>-6.7523753542615861</v>
      </c>
      <c r="L239" s="65">
        <f>L78*L$192</f>
        <v>-14.442200659972093</v>
      </c>
      <c r="M239" s="65">
        <f>M78*M$192</f>
        <v>14.141889500930134</v>
      </c>
      <c r="N239" s="65">
        <f>N78*N$192</f>
        <v>-58.044367400500001</v>
      </c>
      <c r="O239" s="65">
        <f>O78*O$192</f>
        <v>50.090465518223809</v>
      </c>
      <c r="P239" s="65">
        <f>P78*P$192</f>
        <v>125.87927119705279</v>
      </c>
      <c r="Q239" s="57"/>
      <c r="R239" s="65">
        <f>R78*R$192</f>
        <v>-35.119804644672556</v>
      </c>
      <c r="S239" s="65">
        <f>S78*S$192</f>
        <v>-8.7415826483432664</v>
      </c>
      <c r="T239" s="65">
        <f>T78*T$192</f>
        <v>-54.201829010856393</v>
      </c>
      <c r="U239" s="65">
        <f>U78*U$192</f>
        <v>99.543880415458219</v>
      </c>
      <c r="V239" s="65">
        <f>V78*V$192</f>
        <v>-23.627831307218976</v>
      </c>
      <c r="W239" s="65">
        <f>W78*W$192</f>
        <v>-6.3469346616222886</v>
      </c>
      <c r="X239" s="65">
        <f>X78*X$192</f>
        <v>-16.645562163612958</v>
      </c>
      <c r="Y239" s="65">
        <f>Y78*Y$192</f>
        <v>68.624715060161321</v>
      </c>
      <c r="Z239" s="65">
        <f>Z78*Z$192</f>
        <v>279.18554574838384</v>
      </c>
      <c r="AA239" s="65">
        <f>AA78*AA$192</f>
        <v>-13.423625972762659</v>
      </c>
      <c r="AB239" s="65">
        <f>AB78*AB$192</f>
        <v>-105.70967328635489</v>
      </c>
      <c r="AC239" s="65">
        <f>AC78*AC$192</f>
        <v>27.516925422971177</v>
      </c>
      <c r="AD239" s="65">
        <f>AD78*AD$192</f>
        <v>-130.02808096895586</v>
      </c>
      <c r="AE239" s="65">
        <f>AE78*AE$192</f>
        <v>50.858617668750682</v>
      </c>
      <c r="AF239" s="65">
        <f>AF78*AF$192</f>
        <v>42.993925333179014</v>
      </c>
      <c r="AG239" s="65">
        <f>AG78*AG$192</f>
        <v>31.634641266919168</v>
      </c>
      <c r="AH239" s="65">
        <f>AH78*AH$192</f>
        <v>104.25685751967796</v>
      </c>
      <c r="AI239" s="65">
        <f>AI78*AI$192</f>
        <v>-151.05808163773611</v>
      </c>
      <c r="AJ239" s="65">
        <f>AJ78*AJ$192</f>
        <v>-19.175662337395913</v>
      </c>
      <c r="AK239" s="65">
        <f>AK78*AK$192</f>
        <v>53.289364555545731</v>
      </c>
      <c r="AL239" s="65">
        <f>AL78*AL$192</f>
        <v>-39.517254717883056</v>
      </c>
      <c r="AM239" s="65">
        <f>AM78*AM$192</f>
        <v>-12.667740023438045</v>
      </c>
      <c r="AN239" s="65">
        <f>AN78*AN$192</f>
        <v>-27.809178190429289</v>
      </c>
      <c r="AO239" s="65">
        <f>AO78*AO$192</f>
        <v>87.838717766279515</v>
      </c>
      <c r="AP239" s="65">
        <f>AP78*AP$192</f>
        <v>-2.2837288320000009</v>
      </c>
      <c r="AQ239" s="65">
        <f>AQ78*AQ$192</f>
        <v>-73.92840575999999</v>
      </c>
      <c r="AR239" s="65">
        <f>AR78*AR$192</f>
        <v>-23.355066527999991</v>
      </c>
      <c r="AS239" s="65">
        <f>AS78*AS$192</f>
        <v>39.627645269000048</v>
      </c>
      <c r="AT239" s="65">
        <f>AT78*AT$192</f>
        <v>-41.916437004999985</v>
      </c>
      <c r="AU239" s="65">
        <f>AU78*AU$192</f>
        <v>-7.6995589440000121</v>
      </c>
      <c r="AV239" s="65">
        <f>AV78*AV$192</f>
        <v>85.05853389177139</v>
      </c>
      <c r="AW239" s="65">
        <f>AW78*AW$192</f>
        <v>14.683075621613243</v>
      </c>
      <c r="AX239" s="65">
        <f>AX78*AX$192</f>
        <v>32.853921292170959</v>
      </c>
      <c r="AY239" s="57"/>
      <c r="AZ239" s="57"/>
      <c r="BA239" s="57"/>
    </row>
    <row r="240" spans="2:53" ht="13.5" customHeight="1" thickTop="1">
      <c r="C240" s="35"/>
      <c r="D240" s="35"/>
      <c r="E240" s="35"/>
      <c r="F240" s="35"/>
      <c r="G240" s="45"/>
      <c r="H240" s="45"/>
      <c r="I240" s="45"/>
      <c r="J240" s="45"/>
      <c r="K240" s="45"/>
      <c r="L240" s="45"/>
      <c r="M240" s="45"/>
      <c r="N240" s="45"/>
      <c r="O240" s="45"/>
      <c r="P240" s="45"/>
      <c r="Q240" s="45"/>
      <c r="R240" s="45"/>
      <c r="S240" s="45"/>
      <c r="T240" s="45"/>
      <c r="U240" s="45"/>
      <c r="V240" s="45"/>
      <c r="W240" s="45"/>
      <c r="X240" s="45"/>
      <c r="Y240" s="45"/>
      <c r="Z240" s="45"/>
      <c r="AA240" s="45"/>
      <c r="AB240" s="45"/>
      <c r="AC240" s="45"/>
      <c r="AD240" s="45"/>
      <c r="AE240" s="45"/>
      <c r="AF240" s="45"/>
      <c r="AG240" s="45"/>
      <c r="AH240" s="45"/>
      <c r="AI240" s="45"/>
      <c r="AJ240" s="45"/>
      <c r="AK240" s="45"/>
      <c r="AL240" s="45"/>
      <c r="AM240" s="45"/>
      <c r="AN240" s="45"/>
      <c r="AO240" s="45"/>
      <c r="AP240" s="45"/>
      <c r="AQ240" s="45"/>
      <c r="AR240" s="45"/>
      <c r="AS240" s="45"/>
      <c r="AT240" s="45"/>
      <c r="AU240" s="45"/>
      <c r="AV240" s="45"/>
      <c r="AW240" s="45"/>
      <c r="AX240" s="45"/>
      <c r="AY240" s="45"/>
      <c r="AZ240" s="45"/>
      <c r="BA240" s="45"/>
    </row>
    <row r="241" spans="2:53" ht="13.5" customHeight="1">
      <c r="B241" s="5" t="s">
        <v>283</v>
      </c>
      <c r="C241" s="35"/>
      <c r="D241" s="35"/>
      <c r="E241" s="35"/>
      <c r="F241" s="35"/>
      <c r="G241" s="45"/>
      <c r="H241" s="45"/>
      <c r="I241" s="45"/>
      <c r="J241" s="45"/>
      <c r="K241" s="45"/>
      <c r="L241" s="246">
        <f>L116*L$193</f>
        <v>757.34789337107816</v>
      </c>
      <c r="M241" s="246">
        <f>M116*M$193</f>
        <v>735.15710554407315</v>
      </c>
      <c r="N241" s="246">
        <f>N116*N$193</f>
        <v>710.37153976500008</v>
      </c>
      <c r="O241" s="246">
        <f>O116*O$193</f>
        <v>853.52194304113686</v>
      </c>
      <c r="P241" s="246">
        <f>P116*P$193</f>
        <v>765</v>
      </c>
      <c r="Q241" s="45"/>
      <c r="R241" s="45"/>
      <c r="S241" s="45"/>
      <c r="T241" s="45"/>
      <c r="U241" s="45"/>
      <c r="V241" s="45"/>
      <c r="W241" s="45"/>
      <c r="X241" s="45"/>
      <c r="Y241" s="45"/>
      <c r="Z241" s="45"/>
      <c r="AA241" s="45"/>
      <c r="AB241" s="45"/>
      <c r="AC241" s="45"/>
      <c r="AD241" s="45"/>
      <c r="AE241" s="45"/>
      <c r="AF241" s="45"/>
      <c r="AG241" s="45"/>
      <c r="AH241" s="45"/>
      <c r="AI241" s="45"/>
      <c r="AJ241" s="45"/>
      <c r="AK241" s="45"/>
      <c r="AL241" s="246">
        <f>AL116*AL$193</f>
        <v>730.47409495997169</v>
      </c>
      <c r="AM241" s="246">
        <f>AM116*AM$193</f>
        <v>889.01398260617827</v>
      </c>
      <c r="AN241" s="246">
        <f>AN116*AN$193</f>
        <v>786.92380344677144</v>
      </c>
      <c r="AO241" s="246">
        <f>AO116*AO$193</f>
        <v>735.15710554407315</v>
      </c>
      <c r="AP241" s="246">
        <f>AP116*AP$193</f>
        <v>680.77199244000008</v>
      </c>
      <c r="AQ241" s="246">
        <f>AQ116*AQ$193</f>
        <v>779.65044393599999</v>
      </c>
      <c r="AR241" s="246">
        <f>AR116*AR$193</f>
        <v>796.986824458</v>
      </c>
      <c r="AS241" s="246">
        <f>AS116*AS$193</f>
        <v>710.37153976500008</v>
      </c>
      <c r="AT241" s="246">
        <f>AT116*AT$193</f>
        <v>865.85348365800007</v>
      </c>
      <c r="AU241" s="246">
        <f>AU116*AU$193</f>
        <v>898.95674667000003</v>
      </c>
      <c r="AV241" s="246">
        <f>AV116*AV$193</f>
        <v>858.49417837056751</v>
      </c>
      <c r="AW241" s="246">
        <f>AW116*AW$193</f>
        <v>853.52194304113686</v>
      </c>
      <c r="AX241" s="246">
        <f>AX116*AX$193</f>
        <v>765</v>
      </c>
      <c r="AY241" s="246"/>
      <c r="AZ241" s="246"/>
      <c r="BA241" s="246"/>
    </row>
    <row r="242" spans="2:53" ht="13.5" customHeight="1">
      <c r="C242" s="35"/>
      <c r="D242" s="35"/>
      <c r="E242" s="35"/>
      <c r="F242" s="35"/>
      <c r="G242" s="45"/>
      <c r="H242" s="45"/>
      <c r="I242" s="45"/>
      <c r="J242" s="45"/>
      <c r="K242" s="45"/>
      <c r="L242" s="45"/>
      <c r="M242" s="45"/>
      <c r="N242" s="45"/>
      <c r="O242" s="45"/>
      <c r="P242" s="45"/>
      <c r="Q242" s="45"/>
      <c r="R242" s="45"/>
      <c r="S242" s="45"/>
      <c r="T242" s="45"/>
      <c r="U242" s="45"/>
      <c r="V242" s="45"/>
      <c r="W242" s="45"/>
      <c r="X242" s="45"/>
      <c r="Y242" s="45"/>
      <c r="Z242" s="45"/>
      <c r="AA242" s="45"/>
      <c r="AB242" s="45"/>
      <c r="AC242" s="45"/>
      <c r="AD242" s="45"/>
      <c r="AE242" s="45"/>
      <c r="AF242" s="45"/>
      <c r="AG242" s="45"/>
      <c r="AH242" s="45"/>
      <c r="AI242" s="45"/>
      <c r="AJ242" s="45"/>
      <c r="AK242" s="45"/>
      <c r="AL242" s="45"/>
      <c r="AM242" s="45"/>
      <c r="AN242" s="45"/>
      <c r="AO242" s="45"/>
      <c r="AP242" s="45"/>
      <c r="AQ242" s="45"/>
      <c r="AR242" s="45"/>
      <c r="AS242" s="45"/>
      <c r="AT242" s="45"/>
      <c r="AU242" s="45"/>
      <c r="AV242" s="45"/>
      <c r="AW242" s="45"/>
      <c r="AX242" s="45"/>
      <c r="AY242" s="45"/>
      <c r="AZ242" s="45"/>
      <c r="BA242" s="45"/>
    </row>
    <row r="243" spans="2:53" ht="13.5" customHeight="1">
      <c r="B243" s="6" t="s">
        <v>280</v>
      </c>
      <c r="C243" s="83"/>
      <c r="D243" s="83">
        <f>D175*D$193</f>
        <v>131.049747012773</v>
      </c>
      <c r="E243" s="83">
        <f>E175*E$193</f>
        <v>181.87582939055991</v>
      </c>
      <c r="F243" s="83">
        <f>F175*F$193</f>
        <v>211.00852913498738</v>
      </c>
      <c r="G243" s="83">
        <f>G175*G$193</f>
        <v>221.62198617324117</v>
      </c>
      <c r="H243" s="83">
        <f>H175*H$193</f>
        <v>197.70100619528813</v>
      </c>
      <c r="I243" s="83">
        <f>I175*I$193</f>
        <v>210.45543742486976</v>
      </c>
      <c r="J243" s="83">
        <f>J175*J$193</f>
        <v>434.86849728848807</v>
      </c>
      <c r="K243" s="83">
        <f>K175*K$193</f>
        <v>357.17582849664615</v>
      </c>
      <c r="L243" s="83">
        <f>L175*L$193</f>
        <v>344.04575017692855</v>
      </c>
      <c r="M243" s="83">
        <f>M175*M$193</f>
        <v>344.86779508960001</v>
      </c>
      <c r="N243" s="83">
        <f>N175*N$193</f>
        <v>250.14349902000001</v>
      </c>
      <c r="O243" s="83">
        <f>O175*O$193</f>
        <v>329.25077333037245</v>
      </c>
      <c r="P243" s="83">
        <f>P175*P$193</f>
        <v>351.58972006002574</v>
      </c>
      <c r="Q243" s="83"/>
      <c r="R243" s="83">
        <f>R175*R$193</f>
        <v>190.59562179168739</v>
      </c>
      <c r="S243" s="83">
        <f>S175*S$193</f>
        <v>167.57964239321467</v>
      </c>
      <c r="T243" s="83">
        <f>T175*T$193</f>
        <v>112.21600974347267</v>
      </c>
      <c r="U243" s="83">
        <f>U175*U$193</f>
        <v>197.70100619528804</v>
      </c>
      <c r="V243" s="83">
        <f>V175*V$193</f>
        <v>179.18992055318515</v>
      </c>
      <c r="W243" s="83">
        <f>W175*W$193</f>
        <v>173.0468249057048</v>
      </c>
      <c r="X243" s="83">
        <f>X175*X$193</f>
        <v>145.0654356749632</v>
      </c>
      <c r="Y243" s="83">
        <f>Y175*Y$193</f>
        <v>210.45543742486976</v>
      </c>
      <c r="Z243" s="83">
        <f>Z175*Z$193</f>
        <v>448.52680633802817</v>
      </c>
      <c r="AA243" s="83">
        <f>AA175*AA$193</f>
        <v>451.90605090112035</v>
      </c>
      <c r="AB243" s="83">
        <f>AB175*AB$193</f>
        <v>366.14926287744225</v>
      </c>
      <c r="AC243" s="83">
        <f>AC175*AC$193</f>
        <v>434.86849728848807</v>
      </c>
      <c r="AD243" s="83">
        <f>AD175*AD$193</f>
        <v>289.6844904316867</v>
      </c>
      <c r="AE243" s="83">
        <f>AE175*AE$193</f>
        <v>336.81335835309</v>
      </c>
      <c r="AF243" s="83">
        <f>AF175*AF$193</f>
        <v>343.27453464153473</v>
      </c>
      <c r="AG243" s="83">
        <f>AG175*AG$193</f>
        <v>357.17582849664615</v>
      </c>
      <c r="AH243" s="83">
        <f>AH175*AH$193</f>
        <v>493.8597736600745</v>
      </c>
      <c r="AI243" s="83">
        <f>AI175*AI$193</f>
        <v>285.54113499945436</v>
      </c>
      <c r="AJ243" s="83">
        <f>AJ175*AJ$193</f>
        <v>253.09016672726327</v>
      </c>
      <c r="AK243" s="83">
        <f>AK175*AK$193</f>
        <v>344.04575017692855</v>
      </c>
      <c r="AL243" s="83">
        <f>AL175*AL$193</f>
        <v>326.35294798852016</v>
      </c>
      <c r="AM243" s="83">
        <f>AM175*AM$193</f>
        <v>300.33853539678904</v>
      </c>
      <c r="AN243" s="83">
        <f>AN175*AN$193</f>
        <v>245.17447862129146</v>
      </c>
      <c r="AO243" s="83">
        <f>AO175*AO$193</f>
        <v>344.86779508960001</v>
      </c>
      <c r="AP243" s="83">
        <f>AP175*AP$193</f>
        <v>307.55356914000004</v>
      </c>
      <c r="AQ243" s="83">
        <f>AQ175*AQ$193</f>
        <v>246.841869618</v>
      </c>
      <c r="AR243" s="83">
        <f>AR175*AR$193</f>
        <v>234.07133163699999</v>
      </c>
      <c r="AS243" s="83">
        <f>AS175*AS$193</f>
        <v>250.14349902000001</v>
      </c>
      <c r="AT243" s="83">
        <f>AT175*AT$193</f>
        <v>219.11052408900002</v>
      </c>
      <c r="AU243" s="83">
        <f>AU175*AU$193</f>
        <v>222.51871986000003</v>
      </c>
      <c r="AV243" s="83">
        <f>AV175*AV$193</f>
        <v>294.02115746468036</v>
      </c>
      <c r="AW243" s="83">
        <f>AW175*AW$193</f>
        <v>329.25077333037245</v>
      </c>
      <c r="AX243" s="83">
        <f>AX175*AX$193</f>
        <v>351.58972006002574</v>
      </c>
      <c r="AY243" s="83"/>
      <c r="AZ243" s="83"/>
      <c r="BA243" s="83"/>
    </row>
    <row r="244" spans="2:53" ht="13.5" customHeight="1">
      <c r="C244" s="83"/>
      <c r="D244" s="83"/>
      <c r="E244" s="83"/>
      <c r="F244" s="83"/>
      <c r="G244" s="83"/>
      <c r="H244" s="83"/>
      <c r="I244" s="83"/>
      <c r="J244" s="83"/>
      <c r="K244" s="83"/>
      <c r="L244" s="83"/>
      <c r="M244" s="83"/>
      <c r="N244" s="83"/>
      <c r="O244" s="83"/>
      <c r="P244" s="83"/>
      <c r="Q244" s="83"/>
      <c r="R244" s="83"/>
      <c r="S244" s="83"/>
      <c r="T244" s="83"/>
      <c r="U244" s="83"/>
      <c r="V244" s="83"/>
      <c r="W244" s="83"/>
      <c r="X244" s="83"/>
      <c r="Y244" s="83"/>
      <c r="Z244" s="83"/>
      <c r="AA244" s="83"/>
      <c r="AB244" s="83"/>
      <c r="AC244" s="83"/>
      <c r="AD244" s="83"/>
      <c r="AE244" s="83"/>
      <c r="AF244" s="83"/>
      <c r="AG244" s="83"/>
      <c r="AH244" s="83"/>
      <c r="AI244" s="83"/>
      <c r="AJ244" s="83"/>
      <c r="AK244" s="83"/>
      <c r="AL244" s="83"/>
      <c r="AM244" s="83"/>
      <c r="AN244" s="83"/>
      <c r="AO244" s="83"/>
      <c r="AP244" s="83"/>
      <c r="AQ244" s="83"/>
      <c r="AR244" s="83"/>
      <c r="AS244" s="83"/>
      <c r="AT244" s="83"/>
      <c r="AU244" s="83"/>
      <c r="AV244" s="83"/>
      <c r="AW244" s="83"/>
      <c r="AX244" s="83"/>
      <c r="AY244" s="83"/>
      <c r="AZ244" s="83"/>
      <c r="BA244" s="83"/>
    </row>
    <row r="245" spans="2:53" s="5" customFormat="1" ht="13.5" customHeight="1">
      <c r="B245" s="5" t="s">
        <v>139</v>
      </c>
      <c r="C245" s="38"/>
      <c r="D245" s="38">
        <f>D113*D$193</f>
        <v>1170.31734487021</v>
      </c>
      <c r="E245" s="38">
        <f>E113*E$193</f>
        <v>960.34927199504341</v>
      </c>
      <c r="F245" s="38">
        <f>F113*F$193</f>
        <v>941.68797108160186</v>
      </c>
      <c r="G245" s="38">
        <f>G113*G$193</f>
        <v>964.96414477429846</v>
      </c>
      <c r="H245" s="38">
        <f>H113*H$193</f>
        <v>895.17867009731344</v>
      </c>
      <c r="I245" s="38">
        <f>I113*I$193</f>
        <v>821.17719780953644</v>
      </c>
      <c r="J245" s="38">
        <f>J113*J$193</f>
        <v>918.7566200230408</v>
      </c>
      <c r="K245" s="38">
        <f>K113*K$193</f>
        <v>904.15840820662095</v>
      </c>
      <c r="L245" s="38">
        <f>L113*L$193</f>
        <v>1002.0079877329559</v>
      </c>
      <c r="M245" s="38">
        <f>M113*M$193</f>
        <v>825.70445842512868</v>
      </c>
      <c r="N245" s="38">
        <f>N113*N$193</f>
        <v>876.04751133000013</v>
      </c>
      <c r="O245" s="38">
        <f>O113*O$193</f>
        <v>959.15781491145265</v>
      </c>
      <c r="P245" s="38">
        <f>P113*P$193</f>
        <v>901.61046779016908</v>
      </c>
      <c r="Q245" s="38"/>
      <c r="R245" s="38">
        <f>R113*R$193</f>
        <v>983.0709670475245</v>
      </c>
      <c r="S245" s="38">
        <f>S113*S$193</f>
        <v>941.51729808206608</v>
      </c>
      <c r="T245" s="38">
        <f>T113*T$193</f>
        <v>987.6109933774834</v>
      </c>
      <c r="U245" s="38">
        <f>U113*U$193</f>
        <v>895.17867009731367</v>
      </c>
      <c r="V245" s="38">
        <f>V113*V$193</f>
        <v>940.79061056348394</v>
      </c>
      <c r="W245" s="38">
        <f>W113*W$193</f>
        <v>957.26881482791134</v>
      </c>
      <c r="X245" s="38">
        <f>X113*X$193</f>
        <v>907.76613994865522</v>
      </c>
      <c r="Y245" s="38">
        <f>Y113*Y$193</f>
        <v>821.17719780953644</v>
      </c>
      <c r="Z245" s="38">
        <f>Z113*Z$193</f>
        <v>787.88906572769974</v>
      </c>
      <c r="AA245" s="38">
        <f>AA113*AA$193</f>
        <v>810.71572089624942</v>
      </c>
      <c r="AB245" s="38">
        <f>AB113*AB$193</f>
        <v>908.89125095153508</v>
      </c>
      <c r="AC245" s="38">
        <f>AC113*AC$193</f>
        <v>918.7566200230408</v>
      </c>
      <c r="AD245" s="38">
        <f>AD113*AD$193</f>
        <v>1051.9419559412552</v>
      </c>
      <c r="AE245" s="38">
        <f>AE113*AE$193</f>
        <v>1003.09751569869</v>
      </c>
      <c r="AF245" s="38">
        <f>AF113*AF$193</f>
        <v>930.63376656085995</v>
      </c>
      <c r="AG245" s="38">
        <f>AG113*AG$193</f>
        <v>904.15840820662095</v>
      </c>
      <c r="AH245" s="38">
        <f>AH113*AH$193</f>
        <v>819.28825204297675</v>
      </c>
      <c r="AI245" s="38">
        <f>AI113*AI$193</f>
        <v>985.84941394739712</v>
      </c>
      <c r="AJ245" s="38">
        <f>AJ113*AJ$193</f>
        <v>989.38416454578498</v>
      </c>
      <c r="AK245" s="38">
        <f>AK113*AK$193</f>
        <v>1002.0079877329559</v>
      </c>
      <c r="AL245" s="38">
        <f>AL113*AL$193</f>
        <v>1044.9652925331047</v>
      </c>
      <c r="AM245" s="38">
        <f>AM113*AM$193</f>
        <v>1081.9031265454812</v>
      </c>
      <c r="AN245" s="38">
        <f>AN113*AN$193</f>
        <v>877.05303337696353</v>
      </c>
      <c r="AO245" s="38">
        <f>AO113*AO$193</f>
        <v>825.70445842512868</v>
      </c>
      <c r="AP245" s="38">
        <f>AP113*AP$193</f>
        <v>787.2606962399999</v>
      </c>
      <c r="AQ245" s="38">
        <f>AQ113*AQ$193</f>
        <v>912.12698106000016</v>
      </c>
      <c r="AR245" s="38">
        <f>AR113*AR$193</f>
        <v>957.46209865900016</v>
      </c>
      <c r="AS245" s="38">
        <f>AS113*AS$193</f>
        <v>876.04751133000013</v>
      </c>
      <c r="AT245" s="38">
        <f>AT113*AT$193</f>
        <v>932.10724774400001</v>
      </c>
      <c r="AU245" s="38">
        <f>AU113*AU$193</f>
        <v>976.89074902200014</v>
      </c>
      <c r="AV245" s="38">
        <f>AV113*AV$193</f>
        <v>941.43742372106101</v>
      </c>
      <c r="AW245" s="38">
        <f>AW113*AW$193</f>
        <v>959.15781491145265</v>
      </c>
      <c r="AX245" s="38">
        <f>AX113*AX$193</f>
        <v>901.61046779016908</v>
      </c>
      <c r="AY245" s="38"/>
      <c r="AZ245" s="38"/>
      <c r="BA245" s="38"/>
    </row>
    <row r="246" spans="2:53" ht="13.5" customHeight="1">
      <c r="B246" s="1" t="s">
        <v>299</v>
      </c>
      <c r="C246" s="83"/>
      <c r="D246" s="83">
        <f>D114*D$193</f>
        <v>1301.367091882983</v>
      </c>
      <c r="E246" s="83">
        <f>E114*E$193</f>
        <v>1142.2251013856032</v>
      </c>
      <c r="F246" s="83">
        <f>F114*F$193</f>
        <v>1152.6965002165894</v>
      </c>
      <c r="G246" s="83">
        <f>G114*G$193</f>
        <v>1186.5861309475397</v>
      </c>
      <c r="H246" s="83">
        <f>H114*H$193</f>
        <v>1092.8796762926015</v>
      </c>
      <c r="I246" s="83">
        <f>I114*I$193</f>
        <v>1031.6326352344063</v>
      </c>
      <c r="J246" s="83">
        <f>J114*J$193</f>
        <v>1353.6251173115288</v>
      </c>
      <c r="K246" s="83">
        <f>K114*K$193</f>
        <v>1261.3342367032672</v>
      </c>
      <c r="L246" s="83">
        <f>L114*L$193</f>
        <v>1346.0537379098844</v>
      </c>
      <c r="M246" s="83">
        <f>M114*M$193</f>
        <v>1170.5722535147288</v>
      </c>
      <c r="N246" s="83">
        <f>N114*N$193</f>
        <v>1126.1910103500002</v>
      </c>
      <c r="O246" s="83">
        <f>O114*O$193</f>
        <v>1288.4085882418251</v>
      </c>
      <c r="P246" s="83">
        <f>P114*P$193</f>
        <v>1253.2001878501949</v>
      </c>
      <c r="Q246" s="83"/>
      <c r="R246" s="83">
        <f>R114*R$193</f>
        <v>1173.6665888392117</v>
      </c>
      <c r="S246" s="83">
        <f>S114*S$193</f>
        <v>1109.0969404752807</v>
      </c>
      <c r="T246" s="83">
        <f>T114*T$193</f>
        <v>1099.8270031209561</v>
      </c>
      <c r="U246" s="83">
        <f>U114*U$193</f>
        <v>1092.8796762926015</v>
      </c>
      <c r="V246" s="83">
        <f>V114*V$193</f>
        <v>1119.980531116669</v>
      </c>
      <c r="W246" s="83">
        <f>W114*W$193</f>
        <v>1130.3156397336163</v>
      </c>
      <c r="X246" s="83">
        <f>X114*X$193</f>
        <v>1052.8315756236184</v>
      </c>
      <c r="Y246" s="83">
        <f>Y114*Y$193</f>
        <v>1031.6326352344063</v>
      </c>
      <c r="Z246" s="83">
        <f>Z114*Z$193</f>
        <v>1236.4158720657279</v>
      </c>
      <c r="AA246" s="83">
        <f>AA114*AA$193</f>
        <v>1262.6217717973698</v>
      </c>
      <c r="AB246" s="83">
        <f>AB114*AB$193</f>
        <v>1275.0405138289773</v>
      </c>
      <c r="AC246" s="83">
        <f>AC114*AC$193</f>
        <v>1353.6251173115288</v>
      </c>
      <c r="AD246" s="83">
        <f>AD114*AD$193</f>
        <v>1341.6264463729419</v>
      </c>
      <c r="AE246" s="83">
        <f>AE114*AE$193</f>
        <v>1339.9108740517802</v>
      </c>
      <c r="AF246" s="83">
        <f>AF114*AF$193</f>
        <v>1273.9083012023946</v>
      </c>
      <c r="AG246" s="83">
        <f>AG114*AG$193</f>
        <v>1261.3342367032672</v>
      </c>
      <c r="AH246" s="83">
        <f>AH114*AH$193</f>
        <v>1313.1480257030512</v>
      </c>
      <c r="AI246" s="83">
        <f>AI114*AI$193</f>
        <v>1271.3905489468514</v>
      </c>
      <c r="AJ246" s="83">
        <f>AJ114*AJ$193</f>
        <v>1242.4743312730484</v>
      </c>
      <c r="AK246" s="83">
        <f>AK114*AK$193</f>
        <v>1346.0537379098844</v>
      </c>
      <c r="AL246" s="83">
        <f>AL114*AL$193</f>
        <v>1371.3182405216248</v>
      </c>
      <c r="AM246" s="83">
        <f>AM114*AM$193</f>
        <v>1382.2416619422702</v>
      </c>
      <c r="AN246" s="83">
        <f>AN114*AN$193</f>
        <v>1122.2275119982548</v>
      </c>
      <c r="AO246" s="83">
        <f>AO114*AO$193</f>
        <v>1170.5722535147288</v>
      </c>
      <c r="AP246" s="83">
        <f>AP114*AP$193</f>
        <v>1094.8142653800001</v>
      </c>
      <c r="AQ246" s="83">
        <f>AQ114*AQ$193</f>
        <v>1158.9688506780001</v>
      </c>
      <c r="AR246" s="83">
        <f>AR114*AR$193</f>
        <v>1191.5334302960002</v>
      </c>
      <c r="AS246" s="83">
        <f>AS114*AS$193</f>
        <v>1126.1910103500002</v>
      </c>
      <c r="AT246" s="83">
        <f>AT114*AT$193</f>
        <v>1151.2177718330001</v>
      </c>
      <c r="AU246" s="83">
        <f>AU114*AU$193</f>
        <v>1199.4094688820003</v>
      </c>
      <c r="AV246" s="83">
        <f>AV114*AV$193</f>
        <v>1235.4585811857414</v>
      </c>
      <c r="AW246" s="83">
        <f>AW114*AW$193</f>
        <v>1288.4085882418251</v>
      </c>
      <c r="AX246" s="83">
        <f>AX114*AX$193</f>
        <v>1253.2001878501949</v>
      </c>
      <c r="AY246" s="83"/>
      <c r="AZ246" s="83"/>
      <c r="BA246" s="83"/>
    </row>
    <row r="247" spans="2:53" ht="13.5" customHeight="1">
      <c r="C247" s="83"/>
      <c r="D247" s="83"/>
      <c r="E247" s="83"/>
      <c r="F247" s="83"/>
      <c r="G247" s="83"/>
      <c r="H247" s="83"/>
      <c r="I247" s="83"/>
      <c r="J247" s="83"/>
      <c r="K247" s="83"/>
      <c r="L247" s="83"/>
      <c r="M247" s="83"/>
      <c r="N247" s="83"/>
      <c r="O247" s="83"/>
      <c r="P247" s="83"/>
      <c r="Q247" s="83"/>
      <c r="R247" s="83"/>
      <c r="S247" s="83"/>
      <c r="T247" s="83"/>
      <c r="U247" s="83"/>
      <c r="V247" s="83"/>
      <c r="W247" s="83"/>
      <c r="X247" s="83"/>
      <c r="Y247" s="83"/>
      <c r="Z247" s="83"/>
      <c r="AA247" s="83"/>
      <c r="AB247" s="83"/>
      <c r="AC247" s="83"/>
      <c r="AD247" s="83"/>
      <c r="AE247" s="83"/>
      <c r="AF247" s="83"/>
      <c r="AG247" s="83"/>
      <c r="AH247" s="83"/>
      <c r="AI247" s="83"/>
      <c r="AJ247" s="83"/>
      <c r="AK247" s="83"/>
      <c r="AL247" s="83"/>
      <c r="AM247" s="83"/>
      <c r="AN247" s="83"/>
      <c r="AO247" s="83"/>
      <c r="AP247" s="83"/>
      <c r="AQ247" s="83"/>
      <c r="AR247" s="83"/>
      <c r="AS247" s="83"/>
      <c r="AT247" s="83"/>
      <c r="AU247" s="83"/>
      <c r="AV247" s="83"/>
      <c r="AW247" s="83"/>
      <c r="AX247" s="83"/>
      <c r="AY247" s="83"/>
      <c r="AZ247" s="83"/>
      <c r="BA247" s="83"/>
    </row>
    <row r="248" spans="2:53" ht="13.5" customHeight="1">
      <c r="B248" s="1" t="s">
        <v>284</v>
      </c>
      <c r="C248" s="83"/>
      <c r="D248" s="83">
        <f>D118*D$193</f>
        <v>1514.6238154099713</v>
      </c>
      <c r="E248" s="83">
        <f>E118*E$193</f>
        <v>1199.0734482370171</v>
      </c>
      <c r="F248" s="83">
        <f>F118*F$193</f>
        <v>1257.9652560981074</v>
      </c>
      <c r="G248" s="83">
        <f>G118*G$193</f>
        <v>1322.8678324522164</v>
      </c>
      <c r="H248" s="83">
        <f>H118*H$193</f>
        <v>1241.5228046974944</v>
      </c>
      <c r="I248" s="83">
        <f>I118*I$193</f>
        <v>1294.1150634433016</v>
      </c>
      <c r="J248" s="83">
        <f>J118*J$193</f>
        <v>1168.2831647419146</v>
      </c>
      <c r="K248" s="83">
        <f>K118*K$193</f>
        <v>1292.7465055546099</v>
      </c>
      <c r="L248" s="83">
        <f>L118*L$193</f>
        <v>1041.9941637178581</v>
      </c>
      <c r="M248" s="83">
        <f>M118*M$193</f>
        <v>1045.8850007949304</v>
      </c>
      <c r="N248" s="83">
        <f>N118*N$193</f>
        <v>1019.4690051</v>
      </c>
      <c r="O248" s="83">
        <f>O118*O$193</f>
        <v>1328.5447709987232</v>
      </c>
      <c r="P248" s="83">
        <f>P118*P$193</f>
        <v>1518.4967104623925</v>
      </c>
      <c r="Q248" s="83"/>
      <c r="R248" s="83"/>
      <c r="S248" s="83"/>
      <c r="T248" s="83"/>
      <c r="U248" s="83"/>
      <c r="V248" s="83"/>
      <c r="W248" s="83"/>
      <c r="X248" s="83"/>
      <c r="Y248" s="83"/>
      <c r="Z248" s="83">
        <f>Z118*Z$193</f>
        <v>1193.723575117371</v>
      </c>
      <c r="AA248" s="83">
        <f>AA118*AA$193</f>
        <v>1020.1626181198246</v>
      </c>
      <c r="AB248" s="83">
        <f>AB118*AB$193</f>
        <v>1062.8692222786094</v>
      </c>
      <c r="AC248" s="83">
        <f>AC118*AC$193</f>
        <v>1168.2831647419146</v>
      </c>
      <c r="AD248" s="83">
        <f>AD118*AD$193</f>
        <v>1238.4273962505563</v>
      </c>
      <c r="AE248" s="83">
        <f>AE118*AE$193</f>
        <v>1253.6237552259702</v>
      </c>
      <c r="AF248" s="83">
        <f>AF118*AF$193</f>
        <v>1318.4491096550846</v>
      </c>
      <c r="AG248" s="83">
        <f>AG118*AG$193</f>
        <v>972.21190852058999</v>
      </c>
      <c r="AH248" s="83">
        <f>AH118*AH$193</f>
        <v>1128.378194982811</v>
      </c>
      <c r="AI248" s="83">
        <f>AI118*AI$193</f>
        <v>1157.7409112736004</v>
      </c>
      <c r="AJ248" s="83">
        <f>AJ118*AJ$193</f>
        <v>1041.1608466213056</v>
      </c>
      <c r="AK248" s="83">
        <f>AK118*AK$193</f>
        <v>1041.9941637178581</v>
      </c>
      <c r="AL248" s="83">
        <f>AL118*AL$193</f>
        <v>1175.8826292734502</v>
      </c>
      <c r="AM248" s="83">
        <f>AM118*AM$193</f>
        <v>1068.4996924116138</v>
      </c>
      <c r="AN248" s="83">
        <f>AN118*AN$193</f>
        <v>1050.1938939790575</v>
      </c>
      <c r="AO248" s="83">
        <f>AO118*AO$193</f>
        <v>1045.8850007949304</v>
      </c>
      <c r="AP248" s="83">
        <f>AP118*AP$193</f>
        <v>1178.9024268600001</v>
      </c>
      <c r="AQ248" s="83">
        <f>AQ118*AQ$193</f>
        <v>1125.84299022</v>
      </c>
      <c r="AR248" s="83">
        <f>AR118*AR$193</f>
        <v>1115.469560777</v>
      </c>
      <c r="AS248" s="83">
        <f>AS118*AS$193</f>
        <v>1019.4690051</v>
      </c>
      <c r="AT248" s="83">
        <f>AT118*AT$193</f>
        <v>1127.6822201490002</v>
      </c>
      <c r="AU248" s="83">
        <f>AU118*AU$193</f>
        <v>1190.2242235020001</v>
      </c>
      <c r="AV248" s="83">
        <f>AV118*AV$193</f>
        <v>1220.1043724595345</v>
      </c>
      <c r="AW248" s="83">
        <f>AW118*AW$193</f>
        <v>1328.5447709987232</v>
      </c>
      <c r="AX248" s="83">
        <f>AX118*AX$193</f>
        <v>1518.4967104623925</v>
      </c>
      <c r="AY248" s="83"/>
      <c r="AZ248" s="83"/>
      <c r="BA248" s="83"/>
    </row>
    <row r="249" spans="2:53" ht="13.5" customHeight="1">
      <c r="C249" s="83"/>
      <c r="D249" s="83"/>
      <c r="E249" s="83"/>
      <c r="F249" s="83"/>
      <c r="G249" s="83"/>
      <c r="H249" s="83"/>
      <c r="I249" s="83"/>
      <c r="J249" s="83"/>
      <c r="K249" s="83"/>
      <c r="L249" s="83"/>
      <c r="M249" s="83"/>
      <c r="N249" s="83"/>
      <c r="O249" s="83"/>
      <c r="P249" s="83"/>
      <c r="Q249" s="83"/>
      <c r="R249" s="83"/>
      <c r="S249" s="83"/>
      <c r="T249" s="83"/>
      <c r="U249" s="83"/>
      <c r="V249" s="83"/>
      <c r="W249" s="83"/>
      <c r="X249" s="83"/>
      <c r="Y249" s="83"/>
      <c r="Z249" s="83"/>
      <c r="AA249" s="83"/>
      <c r="AB249" s="83"/>
      <c r="AC249" s="83"/>
      <c r="AD249" s="83"/>
      <c r="AE249" s="83"/>
      <c r="AF249" s="83"/>
      <c r="AG249" s="83"/>
      <c r="AH249" s="83"/>
      <c r="AI249" s="83"/>
      <c r="AJ249" s="83"/>
      <c r="AK249" s="83"/>
      <c r="AL249" s="83"/>
      <c r="AM249" s="83"/>
      <c r="AN249" s="83"/>
      <c r="AO249" s="83"/>
      <c r="AP249" s="83"/>
      <c r="AQ249" s="83"/>
      <c r="AR249" s="83"/>
      <c r="AS249" s="83"/>
      <c r="AT249" s="83"/>
      <c r="AU249" s="83"/>
      <c r="AV249" s="83"/>
      <c r="AW249" s="83"/>
      <c r="AX249" s="83"/>
      <c r="AY249" s="83"/>
      <c r="AZ249" s="83"/>
      <c r="BA249" s="83"/>
    </row>
    <row r="250" spans="2:53" s="5" customFormat="1" ht="13.5" customHeight="1">
      <c r="B250" s="5" t="s">
        <v>300</v>
      </c>
      <c r="C250" s="38"/>
      <c r="D250" s="38">
        <f>D182*D$192</f>
        <v>508.02167166377353</v>
      </c>
      <c r="E250" s="38">
        <f>E182*E$192</f>
        <v>483.04157883481503</v>
      </c>
      <c r="F250" s="38">
        <f>F182*F$192</f>
        <v>459.59449674149164</v>
      </c>
      <c r="G250" s="38">
        <f>G182*G$192</f>
        <v>520.53703475474481</v>
      </c>
      <c r="H250" s="38">
        <f>H182*H$192</f>
        <v>506.79018121705496</v>
      </c>
      <c r="I250" s="38">
        <f>I182*I$192</f>
        <v>496.82689493406667</v>
      </c>
      <c r="J250" s="38">
        <f>J182*J$192</f>
        <v>442.97971938426571</v>
      </c>
      <c r="K250" s="38">
        <f>K182*K$192</f>
        <v>513.94831366181086</v>
      </c>
      <c r="L250" s="38">
        <f>L182*L$192</f>
        <v>531.1582818955136</v>
      </c>
      <c r="M250" s="38">
        <f>M182*M$192</f>
        <v>553.93965898680199</v>
      </c>
      <c r="N250" s="38">
        <f>N182*N$192</f>
        <v>612.59442399999989</v>
      </c>
      <c r="O250" s="38">
        <f>O182*O$192</f>
        <v>646.21211695386387</v>
      </c>
      <c r="P250" s="38">
        <f>P182*P$192</f>
        <v>683.7805544094125</v>
      </c>
      <c r="Q250" s="38"/>
      <c r="R250" s="38"/>
      <c r="S250" s="38"/>
      <c r="T250" s="38"/>
      <c r="U250" s="38">
        <f>U182*U$192</f>
        <v>506.79018121705496</v>
      </c>
      <c r="V250" s="38">
        <f>V182*V$192</f>
        <v>476.93681524838667</v>
      </c>
      <c r="W250" s="38">
        <f>W182*W$192</f>
        <v>469.81404928497346</v>
      </c>
      <c r="X250" s="38">
        <f>X182*X$192</f>
        <v>465.01292573704956</v>
      </c>
      <c r="Y250" s="38">
        <f>Y182*Y$192</f>
        <v>461.28388205738469</v>
      </c>
      <c r="Z250" s="38">
        <f>Z182*Z$192</f>
        <v>446.45325708602684</v>
      </c>
      <c r="AA250" s="38">
        <f>AA182*AA$192</f>
        <v>412.85262645914395</v>
      </c>
      <c r="AB250" s="38">
        <f>AB182*AB$192</f>
        <v>448.84817424727737</v>
      </c>
      <c r="AC250" s="38">
        <f>AC182*AC$192</f>
        <v>460.80795067635955</v>
      </c>
      <c r="AD250" s="38">
        <f>AD182*AD$192</f>
        <v>447.61293139987407</v>
      </c>
      <c r="AE250" s="38">
        <f>AE182*AE$192</f>
        <v>518.37183660641745</v>
      </c>
      <c r="AF250" s="38">
        <f>AF182*AF$192</f>
        <v>498.77237422465561</v>
      </c>
      <c r="AG250" s="38">
        <f>AG182*AG$192</f>
        <v>478.31078829608623</v>
      </c>
      <c r="AH250" s="38">
        <f>AH182*AH$192</f>
        <v>508.51353340817496</v>
      </c>
      <c r="AI250" s="38">
        <f>AI182*AI$192</f>
        <v>520.36511249120429</v>
      </c>
      <c r="AJ250" s="38">
        <f>AJ182*AJ$192</f>
        <v>485.52922446229263</v>
      </c>
      <c r="AK250" s="38">
        <f>AK182*AK$192</f>
        <v>515.2165202710969</v>
      </c>
      <c r="AL250" s="38">
        <f>AL182*AL$192</f>
        <v>573.68877415898476</v>
      </c>
      <c r="AM250" s="38">
        <f>AM182*AM$192</f>
        <v>587.23276682324195</v>
      </c>
      <c r="AN250" s="38">
        <f>AN182*AN$192</f>
        <v>560.10809093683338</v>
      </c>
      <c r="AO250" s="38">
        <f>AO182*AO$192</f>
        <v>523.31613951529721</v>
      </c>
      <c r="AP250" s="38">
        <f t="shared" ref="AP250:AX250" si="1117">SUM(AM219:AP219)</f>
        <v>566.81620894298385</v>
      </c>
      <c r="AQ250" s="38">
        <f t="shared" si="1117"/>
        <v>560.75794797508752</v>
      </c>
      <c r="AR250" s="38">
        <f t="shared" si="1117"/>
        <v>556.94378218284851</v>
      </c>
      <c r="AS250" s="38">
        <f t="shared" si="1117"/>
        <v>610.64034900000001</v>
      </c>
      <c r="AT250" s="38">
        <f t="shared" si="1117"/>
        <v>619.4996779999999</v>
      </c>
      <c r="AU250" s="38">
        <f t="shared" si="1117"/>
        <v>628.59763599999997</v>
      </c>
      <c r="AV250" s="38">
        <f t="shared" si="1117"/>
        <v>644.18381016273884</v>
      </c>
      <c r="AW250" s="38">
        <f>SUM(AT219:AW219)</f>
        <v>646.69311944749245</v>
      </c>
      <c r="AX250" s="38">
        <f t="shared" si="1117"/>
        <v>687.11607447483379</v>
      </c>
      <c r="AY250" s="38"/>
      <c r="AZ250" s="38"/>
      <c r="BA250" s="38"/>
    </row>
    <row r="251" spans="2:53" ht="13.5" customHeight="1">
      <c r="C251" s="35"/>
      <c r="D251" s="35"/>
      <c r="E251" s="35"/>
      <c r="F251" s="35"/>
      <c r="G251" s="45"/>
      <c r="H251" s="45"/>
      <c r="I251" s="45"/>
      <c r="J251" s="45"/>
      <c r="K251" s="45"/>
      <c r="L251" s="45"/>
      <c r="M251" s="45"/>
      <c r="N251" s="45"/>
      <c r="O251" s="45"/>
      <c r="P251" s="45"/>
      <c r="Q251" s="45"/>
      <c r="R251" s="45"/>
      <c r="S251" s="45"/>
      <c r="T251" s="45"/>
      <c r="U251" s="45"/>
      <c r="V251" s="45"/>
      <c r="W251" s="45"/>
      <c r="X251" s="45"/>
      <c r="Y251" s="45"/>
      <c r="Z251" s="45"/>
      <c r="AA251" s="45"/>
      <c r="AB251" s="45"/>
      <c r="AC251" s="45"/>
      <c r="AD251" s="45"/>
      <c r="AE251" s="45"/>
      <c r="AF251" s="45"/>
      <c r="AG251" s="45"/>
      <c r="AH251" s="45"/>
      <c r="AI251" s="45"/>
      <c r="AJ251" s="45"/>
      <c r="AK251" s="45"/>
      <c r="AL251" s="45"/>
      <c r="AM251" s="45"/>
      <c r="AN251" s="45"/>
      <c r="AO251" s="45"/>
      <c r="AP251" s="45"/>
      <c r="AQ251" s="45"/>
      <c r="AR251" s="45"/>
      <c r="AS251" s="45"/>
      <c r="AT251" s="45"/>
      <c r="AU251" s="45"/>
      <c r="AV251" s="45"/>
      <c r="AW251" s="45"/>
      <c r="AX251" s="45"/>
      <c r="AY251" s="45"/>
      <c r="AZ251" s="45"/>
      <c r="BA251" s="45"/>
    </row>
    <row r="252" spans="2:53" s="5" customFormat="1" ht="13.5" customHeight="1">
      <c r="B252" s="5" t="str">
        <f>+B123</f>
        <v>Total Net Leverage</v>
      </c>
      <c r="C252" s="36"/>
      <c r="D252" s="36">
        <f t="shared" ref="D252:H253" si="1118">D245/D$250</f>
        <v>2.3036760243660765</v>
      </c>
      <c r="E252" s="36">
        <f t="shared" si="1118"/>
        <v>1.9881296229438099</v>
      </c>
      <c r="F252" s="36">
        <f t="shared" si="1118"/>
        <v>2.0489539752066999</v>
      </c>
      <c r="G252" s="36">
        <f t="shared" si="1118"/>
        <v>1.8537857642135858</v>
      </c>
      <c r="H252" s="36">
        <f t="shared" si="1118"/>
        <v>1.7663694035025399</v>
      </c>
      <c r="I252" s="36">
        <f t="shared" ref="I252:J252" si="1119">I245/I$250</f>
        <v>1.6528436889844982</v>
      </c>
      <c r="J252" s="36">
        <f t="shared" si="1119"/>
        <v>2.0740376586542086</v>
      </c>
      <c r="K252" s="36">
        <f t="shared" ref="K252:L252" si="1120">K245/K$250</f>
        <v>1.7592399550153535</v>
      </c>
      <c r="L252" s="36">
        <f t="shared" si="1120"/>
        <v>1.8864583719887571</v>
      </c>
      <c r="M252" s="36">
        <f t="shared" ref="M252:N252" si="1121">M245/M$250</f>
        <v>1.4906036154468616</v>
      </c>
      <c r="N252" s="36">
        <f t="shared" si="1121"/>
        <v>1.4300611905830869</v>
      </c>
      <c r="O252" s="36">
        <f t="shared" ref="O252" si="1122">O245/O$250</f>
        <v>1.4842770504409026</v>
      </c>
      <c r="P252" s="36">
        <f t="shared" ref="P252" si="1123">P245/P$250</f>
        <v>1.318566990500188</v>
      </c>
      <c r="Q252" s="36"/>
      <c r="R252" s="36"/>
      <c r="S252" s="36"/>
      <c r="T252" s="36"/>
      <c r="U252" s="36">
        <f t="shared" ref="U252:X253" si="1124">U245/U$250</f>
        <v>1.7663694035025403</v>
      </c>
      <c r="V252" s="36">
        <f t="shared" si="1124"/>
        <v>1.9725686516221739</v>
      </c>
      <c r="W252" s="36">
        <f t="shared" si="1124"/>
        <v>2.0375482944471592</v>
      </c>
      <c r="X252" s="36">
        <f t="shared" si="1124"/>
        <v>1.9521309832621059</v>
      </c>
      <c r="Y252" s="36">
        <f t="shared" ref="Y252:Z252" si="1125">Y245/Y$250</f>
        <v>1.7801991999958504</v>
      </c>
      <c r="Z252" s="36">
        <f t="shared" si="1125"/>
        <v>1.7647739225158836</v>
      </c>
      <c r="AA252" s="36">
        <f t="shared" ref="AA252:AD252" si="1126">AA245/AA$250</f>
        <v>1.963692777854904</v>
      </c>
      <c r="AB252" s="36">
        <f t="shared" si="1126"/>
        <v>2.0249414013452416</v>
      </c>
      <c r="AC252" s="36">
        <f t="shared" si="1126"/>
        <v>1.9937950694525093</v>
      </c>
      <c r="AD252" s="36">
        <f t="shared" si="1126"/>
        <v>2.350115204785058</v>
      </c>
      <c r="AE252" s="36">
        <f t="shared" ref="AE252:AH252" si="1127">AE245/AE$250</f>
        <v>1.9350926205126933</v>
      </c>
      <c r="AF252" s="36">
        <f t="shared" si="1127"/>
        <v>1.865848660939843</v>
      </c>
      <c r="AG252" s="36">
        <f t="shared" si="1127"/>
        <v>1.8903157326380948</v>
      </c>
      <c r="AH252" s="36">
        <f t="shared" si="1127"/>
        <v>1.611143456796357</v>
      </c>
      <c r="AI252" s="36">
        <f t="shared" ref="AI252:AJ252" si="1128">AI245/AI$250</f>
        <v>1.8945340305919547</v>
      </c>
      <c r="AJ252" s="36">
        <f t="shared" si="1128"/>
        <v>2.0377437952195252</v>
      </c>
      <c r="AK252" s="36">
        <f t="shared" ref="AK252:AN252" si="1129">AK245/AK$250</f>
        <v>1.9448289181521563</v>
      </c>
      <c r="AL252" s="36">
        <f t="shared" si="1129"/>
        <v>1.8214846439430528</v>
      </c>
      <c r="AM252" s="36">
        <f t="shared" si="1129"/>
        <v>1.8423752686660551</v>
      </c>
      <c r="AN252" s="36">
        <f t="shared" si="1129"/>
        <v>1.5658638887183542</v>
      </c>
      <c r="AO252" s="36">
        <f t="shared" ref="AO252:AR252" si="1130">AO245/AO$250</f>
        <v>1.5778310586597</v>
      </c>
      <c r="AP252" s="36">
        <f t="shared" si="1130"/>
        <v>1.3889170489815519</v>
      </c>
      <c r="AQ252" s="36">
        <f t="shared" si="1130"/>
        <v>1.6265966168713542</v>
      </c>
      <c r="AR252" s="36">
        <f t="shared" si="1130"/>
        <v>1.7191359869507596</v>
      </c>
      <c r="AS252" s="36">
        <f t="shared" ref="AS252:AV252" si="1131">AS245/AS$250</f>
        <v>1.4346374470089269</v>
      </c>
      <c r="AT252" s="36">
        <f t="shared" si="1131"/>
        <v>1.5046129656648508</v>
      </c>
      <c r="AU252" s="36">
        <f t="shared" si="1131"/>
        <v>1.554079578215277</v>
      </c>
      <c r="AV252" s="36">
        <f t="shared" si="1131"/>
        <v>1.4614422294829601</v>
      </c>
      <c r="AW252" s="36">
        <f t="shared" ref="AW252:AX252" si="1132">AW245/AW$250</f>
        <v>1.4831730631847715</v>
      </c>
      <c r="AX252" s="36">
        <f t="shared" si="1132"/>
        <v>1.3121661700015887</v>
      </c>
      <c r="AY252" s="36"/>
      <c r="AZ252" s="36"/>
      <c r="BA252" s="36"/>
    </row>
    <row r="253" spans="2:53" ht="12.75">
      <c r="B253" s="1" t="str">
        <f>+B124</f>
        <v xml:space="preserve">Total Gross Leverage </v>
      </c>
      <c r="C253" s="37"/>
      <c r="D253" s="37">
        <f t="shared" si="1118"/>
        <v>2.5616369624961064</v>
      </c>
      <c r="E253" s="37">
        <f t="shared" si="1118"/>
        <v>2.3646517224062986</v>
      </c>
      <c r="F253" s="37">
        <f t="shared" si="1118"/>
        <v>2.5080728955397982</v>
      </c>
      <c r="G253" s="37">
        <f t="shared" si="1118"/>
        <v>2.2795421876305291</v>
      </c>
      <c r="H253" s="37">
        <f t="shared" si="1118"/>
        <v>2.1564736587201718</v>
      </c>
      <c r="I253" s="37">
        <f t="shared" ref="I253:J253" si="1133">I246/I$250</f>
        <v>2.0764428128861927</v>
      </c>
      <c r="J253" s="37">
        <f t="shared" si="1133"/>
        <v>3.0557270639681762</v>
      </c>
      <c r="K253" s="37">
        <f t="shared" ref="K253:L253" si="1134">K246/K$250</f>
        <v>2.4542044465841997</v>
      </c>
      <c r="L253" s="37">
        <f t="shared" si="1134"/>
        <v>2.534185729169657</v>
      </c>
      <c r="M253" s="37">
        <f t="shared" ref="M253:N253" si="1135">M246/M$250</f>
        <v>2.113176470620997</v>
      </c>
      <c r="N253" s="37">
        <f t="shared" si="1135"/>
        <v>1.8383957904749071</v>
      </c>
      <c r="O253" s="37">
        <f t="shared" ref="O253" si="1136">O246/O$250</f>
        <v>1.9937858706753571</v>
      </c>
      <c r="P253" s="37">
        <f t="shared" ref="P253" si="1137">P246/P$250</f>
        <v>1.8327520134476407</v>
      </c>
      <c r="Q253" s="37"/>
      <c r="R253" s="37"/>
      <c r="S253" s="37"/>
      <c r="T253" s="37"/>
      <c r="U253" s="37">
        <f t="shared" si="1124"/>
        <v>2.1564736587201718</v>
      </c>
      <c r="V253" s="37">
        <f t="shared" si="1124"/>
        <v>2.3482786300180831</v>
      </c>
      <c r="W253" s="37">
        <f t="shared" si="1124"/>
        <v>2.4058787544857023</v>
      </c>
      <c r="X253" s="37">
        <f t="shared" si="1124"/>
        <v>2.2640909904920838</v>
      </c>
      <c r="Y253" s="37">
        <f t="shared" ref="Y253:Z253" si="1138">Y246/Y$250</f>
        <v>2.2364376371296428</v>
      </c>
      <c r="Z253" s="37">
        <f t="shared" si="1138"/>
        <v>2.7694184160190449</v>
      </c>
      <c r="AA253" s="37">
        <f t="shared" ref="AA253:AD253" si="1139">AA246/AA$250</f>
        <v>3.0582868822376725</v>
      </c>
      <c r="AB253" s="37">
        <f t="shared" si="1139"/>
        <v>2.8406944418727607</v>
      </c>
      <c r="AC253" s="37">
        <f t="shared" si="1139"/>
        <v>2.937503824152166</v>
      </c>
      <c r="AD253" s="37">
        <f t="shared" si="1139"/>
        <v>2.9972915263576305</v>
      </c>
      <c r="AE253" s="37">
        <f t="shared" ref="AE253:AH253" si="1140">AE246/AE$250</f>
        <v>2.5848450464123691</v>
      </c>
      <c r="AF253" s="37">
        <f t="shared" si="1140"/>
        <v>2.5540875297728589</v>
      </c>
      <c r="AG253" s="37">
        <f t="shared" si="1140"/>
        <v>2.6370599776697281</v>
      </c>
      <c r="AH253" s="37">
        <f t="shared" si="1140"/>
        <v>2.5823266037818704</v>
      </c>
      <c r="AI253" s="37">
        <f t="shared" ref="AI253:AJ253" si="1141">AI246/AI$250</f>
        <v>2.4432663113408504</v>
      </c>
      <c r="AJ253" s="37">
        <f t="shared" si="1141"/>
        <v>2.5590103925238425</v>
      </c>
      <c r="AK253" s="37">
        <f t="shared" ref="AK253:AN253" si="1142">AK246/AK$250</f>
        <v>2.6125981697978493</v>
      </c>
      <c r="AL253" s="37">
        <f t="shared" si="1142"/>
        <v>2.3903522297990709</v>
      </c>
      <c r="AM253" s="37">
        <f t="shared" si="1142"/>
        <v>2.3538224364076181</v>
      </c>
      <c r="AN253" s="37">
        <f t="shared" si="1142"/>
        <v>2.0035909678098451</v>
      </c>
      <c r="AO253" s="37">
        <f t="shared" ref="AO253:AR253" si="1143">AO246/AO$250</f>
        <v>2.2368357578249531</v>
      </c>
      <c r="AP253" s="37">
        <f t="shared" si="1143"/>
        <v>1.9315154508754135</v>
      </c>
      <c r="AQ253" s="37">
        <f t="shared" si="1143"/>
        <v>2.0667898776344922</v>
      </c>
      <c r="AR253" s="37">
        <f t="shared" si="1143"/>
        <v>2.1394141893926584</v>
      </c>
      <c r="AS253" s="37">
        <f t="shared" ref="AS253:AV253" si="1144">AS246/AS$250</f>
        <v>1.8442787349284713</v>
      </c>
      <c r="AT253" s="37">
        <f t="shared" si="1144"/>
        <v>1.8583024539247628</v>
      </c>
      <c r="AU253" s="37">
        <f t="shared" si="1144"/>
        <v>1.9080718733119773</v>
      </c>
      <c r="AV253" s="37">
        <f t="shared" si="1144"/>
        <v>1.917866549414879</v>
      </c>
      <c r="AW253" s="37">
        <f t="shared" ref="AW253:AX253" si="1145">AW246/AW$250</f>
        <v>1.9923029169424094</v>
      </c>
      <c r="AX253" s="37">
        <f t="shared" si="1145"/>
        <v>1.8238551453013554</v>
      </c>
      <c r="AY253" s="37"/>
      <c r="AZ253" s="37"/>
      <c r="BA253" s="37"/>
    </row>
    <row r="254" spans="2:53" ht="12.75">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7"/>
      <c r="AI254" s="37"/>
      <c r="AJ254" s="37"/>
      <c r="AK254" s="37"/>
      <c r="AL254" s="37"/>
      <c r="AM254" s="37"/>
      <c r="AN254" s="37"/>
      <c r="AO254" s="37"/>
      <c r="AP254" s="37"/>
      <c r="AQ254" s="37"/>
      <c r="AR254" s="37"/>
      <c r="AS254" s="37"/>
      <c r="AT254" s="37"/>
      <c r="AU254" s="37"/>
      <c r="AV254" s="37"/>
      <c r="AW254" s="37"/>
      <c r="AX254" s="37"/>
      <c r="AY254" s="37"/>
      <c r="AZ254" s="37"/>
      <c r="BA254" s="37"/>
    </row>
    <row r="255" spans="2:53" ht="12.75">
      <c r="B255" s="5" t="s">
        <v>289</v>
      </c>
      <c r="C255" s="37"/>
      <c r="D255" s="37"/>
      <c r="E255" s="37"/>
      <c r="F255" s="37"/>
      <c r="G255" s="37"/>
      <c r="H255" s="37"/>
      <c r="I255" s="37"/>
      <c r="J255" s="37"/>
      <c r="K255" s="37"/>
      <c r="L255" s="36">
        <f>L241/L250</f>
        <v>1.4258422003105644</v>
      </c>
      <c r="M255" s="36">
        <f t="shared" ref="M255:P255" si="1146">M241/M250</f>
        <v>1.3271429362698668</v>
      </c>
      <c r="N255" s="36">
        <f t="shared" si="1146"/>
        <v>1.1596115014017827</v>
      </c>
      <c r="O255" s="36">
        <f t="shared" ref="O255" si="1147">O241/O250</f>
        <v>1.3208077048516158</v>
      </c>
      <c r="P255" s="36">
        <f t="shared" si="1146"/>
        <v>1.1187799873319555</v>
      </c>
      <c r="Q255" s="37"/>
      <c r="R255" s="37"/>
      <c r="S255" s="37"/>
      <c r="T255" s="37"/>
      <c r="U255" s="37"/>
      <c r="V255" s="37"/>
      <c r="W255" s="37"/>
      <c r="X255" s="37"/>
      <c r="Y255" s="37"/>
      <c r="Z255" s="37"/>
      <c r="AA255" s="37"/>
      <c r="AB255" s="37"/>
      <c r="AC255" s="37"/>
      <c r="AD255" s="37"/>
      <c r="AE255" s="37"/>
      <c r="AF255" s="37"/>
      <c r="AG255" s="37"/>
      <c r="AH255" s="37"/>
      <c r="AI255" s="37"/>
      <c r="AJ255" s="37"/>
      <c r="AK255" s="37"/>
      <c r="AL255" s="36">
        <f t="shared" ref="AL255:AU255" si="1148">AL241/AL250</f>
        <v>1.2732933392863244</v>
      </c>
      <c r="AM255" s="36">
        <f t="shared" si="1148"/>
        <v>1.5139039114174175</v>
      </c>
      <c r="AN255" s="36">
        <f t="shared" si="1148"/>
        <v>1.404949894815066</v>
      </c>
      <c r="AO255" s="36">
        <f t="shared" si="1148"/>
        <v>1.4048049544678405</v>
      </c>
      <c r="AP255" s="36">
        <f t="shared" si="1148"/>
        <v>1.2010453859629817</v>
      </c>
      <c r="AQ255" s="36">
        <f t="shared" si="1148"/>
        <v>1.3903511252071226</v>
      </c>
      <c r="AR255" s="36">
        <f t="shared" si="1148"/>
        <v>1.4310004886567593</v>
      </c>
      <c r="AS255" s="36">
        <f t="shared" si="1148"/>
        <v>1.1633223073586971</v>
      </c>
      <c r="AT255" s="36">
        <f t="shared" si="1148"/>
        <v>1.3976657525526595</v>
      </c>
      <c r="AU255" s="36">
        <f t="shared" si="1148"/>
        <v>1.4300988345905903</v>
      </c>
      <c r="AV255" s="36">
        <f t="shared" ref="AV255:AX255" si="1149">AV241/AV250</f>
        <v>1.3326851200338112</v>
      </c>
      <c r="AW255" s="36">
        <f t="shared" si="1149"/>
        <v>1.3198253041107817</v>
      </c>
      <c r="AX255" s="36">
        <f t="shared" si="1149"/>
        <v>1.1133490081493047</v>
      </c>
      <c r="AY255" s="36"/>
      <c r="AZ255" s="36"/>
      <c r="BA255" s="36"/>
    </row>
    <row r="256" spans="2:53" ht="12.75">
      <c r="C256" s="49"/>
      <c r="D256" s="49"/>
      <c r="E256" s="49"/>
      <c r="F256" s="49"/>
      <c r="G256" s="49"/>
      <c r="H256" s="49"/>
      <c r="I256" s="49"/>
      <c r="J256" s="49"/>
      <c r="K256" s="49"/>
      <c r="L256" s="49"/>
      <c r="M256" s="49"/>
      <c r="N256" s="49"/>
      <c r="O256" s="49"/>
      <c r="P256" s="49"/>
      <c r="Q256" s="49"/>
      <c r="R256" s="49"/>
      <c r="S256" s="49"/>
      <c r="T256" s="49"/>
      <c r="U256" s="49"/>
      <c r="V256" s="49"/>
      <c r="W256" s="49"/>
      <c r="X256" s="49"/>
      <c r="Y256" s="49"/>
      <c r="Z256" s="49"/>
      <c r="AA256" s="49"/>
      <c r="AB256" s="49"/>
      <c r="AC256" s="49"/>
      <c r="AD256" s="49"/>
      <c r="AE256" s="49"/>
      <c r="AF256" s="49"/>
      <c r="AG256" s="49"/>
      <c r="AH256" s="49"/>
      <c r="AI256" s="49"/>
      <c r="AJ256" s="49"/>
      <c r="AK256" s="49"/>
      <c r="AL256" s="49"/>
      <c r="AM256" s="49"/>
      <c r="AN256" s="49"/>
      <c r="AO256" s="49"/>
      <c r="AP256" s="49"/>
      <c r="AQ256" s="49"/>
      <c r="AR256" s="49"/>
      <c r="AS256" s="49"/>
      <c r="AT256" s="49"/>
      <c r="AU256" s="49"/>
      <c r="AV256" s="49"/>
      <c r="AW256" s="49"/>
      <c r="AX256" s="49"/>
      <c r="AY256" s="49"/>
      <c r="AZ256" s="49"/>
      <c r="BA256" s="49"/>
    </row>
    <row r="257" spans="2:53" s="5" customFormat="1" ht="12.75">
      <c r="B257" s="5" t="str">
        <f>B128</f>
        <v>EBITDA - Capex / Interest</v>
      </c>
      <c r="C257" s="36"/>
      <c r="D257" s="36">
        <f t="shared" ref="D257:N257" si="1150">(D250+D228)/-D226</f>
        <v>2.7907638278920737</v>
      </c>
      <c r="E257" s="36">
        <f t="shared" si="1150"/>
        <v>3.5164982419360986</v>
      </c>
      <c r="F257" s="36">
        <f t="shared" si="1150"/>
        <v>3.6621135301592429</v>
      </c>
      <c r="G257" s="36">
        <f t="shared" si="1150"/>
        <v>3.1849680568680356</v>
      </c>
      <c r="H257" s="36">
        <f t="shared" si="1150"/>
        <v>4.9370246129344917</v>
      </c>
      <c r="I257" s="36">
        <f t="shared" si="1150"/>
        <v>6.5908940578161763</v>
      </c>
      <c r="J257" s="36">
        <f t="shared" si="1150"/>
        <v>5.9744149083632836</v>
      </c>
      <c r="K257" s="36">
        <f t="shared" si="1150"/>
        <v>4.6560351810390594</v>
      </c>
      <c r="L257" s="36">
        <f t="shared" si="1150"/>
        <v>6.2000263618179146</v>
      </c>
      <c r="M257" s="36">
        <f t="shared" si="1150"/>
        <v>4.1418067419073124</v>
      </c>
      <c r="N257" s="36">
        <f t="shared" si="1150"/>
        <v>4.3724786466004453</v>
      </c>
      <c r="O257" s="36">
        <f t="shared" ref="O257" si="1151">(O250+O228)/-O226</f>
        <v>5.8773432600593196</v>
      </c>
      <c r="P257" s="36">
        <f>(P250+P228)/-P226</f>
        <v>6.7397077522088376</v>
      </c>
      <c r="Q257" s="36"/>
      <c r="R257" s="36"/>
      <c r="S257" s="36"/>
      <c r="T257" s="36"/>
      <c r="U257" s="36">
        <f>U128</f>
        <v>4.9370246129344917</v>
      </c>
      <c r="V257" s="36">
        <f>V128</f>
        <v>5.0141105439550557</v>
      </c>
      <c r="W257" s="36">
        <f>W128</f>
        <v>4.8564017088670175</v>
      </c>
      <c r="X257" s="36">
        <f>X128</f>
        <v>5.9367621727326414</v>
      </c>
      <c r="Y257" s="36">
        <f>Y128</f>
        <v>6.5908940578161763</v>
      </c>
      <c r="Z257" s="312"/>
      <c r="AA257" s="312"/>
      <c r="AB257" s="312"/>
      <c r="AC257" s="36">
        <f t="shared" ref="AC257:AW257" si="1152">(AC250+SUM(Z228:AC228))/-SUM(Z226:AC226)</f>
        <v>6.2997837458470904</v>
      </c>
      <c r="AD257" s="36">
        <f t="shared" si="1152"/>
        <v>6.027278113070329</v>
      </c>
      <c r="AE257" s="36">
        <f t="shared" si="1152"/>
        <v>6.8160515727232003</v>
      </c>
      <c r="AF257" s="36">
        <f t="shared" si="1152"/>
        <v>5.832252521295251</v>
      </c>
      <c r="AG257" s="36">
        <f t="shared" si="1152"/>
        <v>4.2387031924767111</v>
      </c>
      <c r="AH257" s="36">
        <f t="shared" si="1152"/>
        <v>4.2832029506559532</v>
      </c>
      <c r="AI257" s="36">
        <f t="shared" si="1152"/>
        <v>3.8243884674276933</v>
      </c>
      <c r="AJ257" s="36">
        <f t="shared" si="1152"/>
        <v>2.723377352169853</v>
      </c>
      <c r="AK257" s="36">
        <f t="shared" si="1152"/>
        <v>5.9483562521371596</v>
      </c>
      <c r="AL257" s="36">
        <f t="shared" si="1152"/>
        <v>6.8917557375829288</v>
      </c>
      <c r="AM257" s="36">
        <f t="shared" si="1152"/>
        <v>6.3692434946088783</v>
      </c>
      <c r="AN257" s="36">
        <f t="shared" si="1152"/>
        <v>7.373601456630718</v>
      </c>
      <c r="AO257" s="36">
        <f t="shared" si="1152"/>
        <v>3.7233876634245595</v>
      </c>
      <c r="AP257" s="36">
        <f t="shared" si="1152"/>
        <v>4.58514367226182</v>
      </c>
      <c r="AQ257" s="36">
        <f t="shared" si="1152"/>
        <v>4.6142760454410716</v>
      </c>
      <c r="AR257" s="36">
        <f t="shared" si="1152"/>
        <v>4.5028254077316223</v>
      </c>
      <c r="AS257" s="36">
        <f t="shared" si="1152"/>
        <v>4.33806875451506</v>
      </c>
      <c r="AT257" s="36">
        <f>(AT250+SUM(AQ228:AT228))/-SUM(AQ226:AT226)</f>
        <v>4.3483992711040749</v>
      </c>
      <c r="AU257" s="36">
        <f t="shared" si="1152"/>
        <v>5.6432037674183952</v>
      </c>
      <c r="AV257" s="36">
        <f t="shared" si="1152"/>
        <v>5.0986097392240701</v>
      </c>
      <c r="AW257" s="36">
        <f t="shared" si="1152"/>
        <v>5.937756709621878</v>
      </c>
      <c r="AX257" s="36">
        <f>(AX250+SUM(AU228:AX228))/-SUM(AU226:AX226)</f>
        <v>6.8316811349463125</v>
      </c>
      <c r="AY257" s="36"/>
      <c r="AZ257" s="36"/>
      <c r="BA257" s="36"/>
    </row>
    <row r="258" spans="2:53" ht="12.75">
      <c r="B258" s="1" t="str">
        <f>B129</f>
        <v>EBITDA/Interest</v>
      </c>
      <c r="C258" s="37"/>
      <c r="D258" s="37">
        <f t="shared" ref="D258:N258" si="1153">D250/-D226</f>
        <v>4.6672228545272354</v>
      </c>
      <c r="E258" s="37">
        <f t="shared" si="1153"/>
        <v>5.4556421639218717</v>
      </c>
      <c r="F258" s="37">
        <f t="shared" si="1153"/>
        <v>6.2285548768543464</v>
      </c>
      <c r="G258" s="37">
        <f t="shared" si="1153"/>
        <v>6.3628841780740579</v>
      </c>
      <c r="H258" s="37">
        <f t="shared" si="1153"/>
        <v>7.8582907610625616</v>
      </c>
      <c r="I258" s="37">
        <f t="shared" si="1153"/>
        <v>9.6528705785875886</v>
      </c>
      <c r="J258" s="37">
        <f t="shared" si="1153"/>
        <v>7.9128646715983502</v>
      </c>
      <c r="K258" s="37">
        <f t="shared" si="1153"/>
        <v>7.1573563385676957</v>
      </c>
      <c r="L258" s="37">
        <f t="shared" si="1153"/>
        <v>10.363344650739601</v>
      </c>
      <c r="M258" s="37">
        <f t="shared" si="1153"/>
        <v>7.0154841531401146</v>
      </c>
      <c r="N258" s="37">
        <f t="shared" si="1153"/>
        <v>8.7821196001197439</v>
      </c>
      <c r="O258" s="37">
        <f t="shared" ref="O258" si="1154">O250/-O226</f>
        <v>10.720238930189199</v>
      </c>
      <c r="P258" s="37">
        <f>P250/-P226</f>
        <v>11.618866838970948</v>
      </c>
      <c r="Q258" s="37"/>
      <c r="R258" s="37"/>
      <c r="S258" s="37"/>
      <c r="T258" s="37"/>
      <c r="U258" s="37">
        <f>U129</f>
        <v>7.8582907610625616</v>
      </c>
      <c r="V258" s="37">
        <f>V129</f>
        <v>7.9990777159020121</v>
      </c>
      <c r="W258" s="37">
        <f>W129</f>
        <v>7.7776678569950874</v>
      </c>
      <c r="X258" s="37">
        <f>X129</f>
        <v>9.119788756948175</v>
      </c>
      <c r="Y258" s="37">
        <f>Y129</f>
        <v>9.6528705785875886</v>
      </c>
      <c r="Z258" s="201"/>
      <c r="AA258" s="201"/>
      <c r="AB258" s="201"/>
      <c r="AC258" s="37">
        <f t="shared" ref="AC258:AW258" si="1155">AC250/-SUM(Z226:AC226)</f>
        <v>8.229019496902783</v>
      </c>
      <c r="AD258" s="37">
        <f t="shared" si="1155"/>
        <v>7.4946798784158792</v>
      </c>
      <c r="AE258" s="37">
        <f t="shared" si="1155"/>
        <v>8.0151928849621825</v>
      </c>
      <c r="AF258" s="37">
        <f t="shared" si="1155"/>
        <v>7.3591753667992714</v>
      </c>
      <c r="AG258" s="37">
        <f t="shared" si="1155"/>
        <v>6.6583799429228341</v>
      </c>
      <c r="AH258" s="37">
        <f t="shared" si="1155"/>
        <v>7.0697404057863853</v>
      </c>
      <c r="AI258" s="37">
        <f t="shared" si="1155"/>
        <v>6.7694458597161011</v>
      </c>
      <c r="AJ258" s="37">
        <f t="shared" si="1155"/>
        <v>5.6086619095044039</v>
      </c>
      <c r="AK258" s="37">
        <f t="shared" si="1155"/>
        <v>10.067604877324623</v>
      </c>
      <c r="AL258" s="37">
        <f t="shared" si="1155"/>
        <v>11.477086926523503</v>
      </c>
      <c r="AM258" s="37">
        <f t="shared" si="1155"/>
        <v>11.772851500833767</v>
      </c>
      <c r="AN258" s="37">
        <f t="shared" si="1155"/>
        <v>12.89205533630137</v>
      </c>
      <c r="AO258" s="37">
        <f t="shared" si="1155"/>
        <v>6.620789797731776</v>
      </c>
      <c r="AP258" s="37">
        <f t="shared" si="1155"/>
        <v>7.7863477903774028</v>
      </c>
      <c r="AQ258" s="37">
        <f t="shared" si="1155"/>
        <v>8.0657968510826059</v>
      </c>
      <c r="AR258" s="37">
        <f t="shared" si="1155"/>
        <v>8.7635152857609633</v>
      </c>
      <c r="AS258" s="37">
        <f t="shared" si="1155"/>
        <v>8.73688695691696</v>
      </c>
      <c r="AT258" s="37">
        <f>AT250/-SUM(AQ226:AT226)</f>
        <v>8.6455897541444209</v>
      </c>
      <c r="AU258" s="37">
        <f t="shared" si="1155"/>
        <v>9.8263062786485946</v>
      </c>
      <c r="AV258" s="37">
        <f t="shared" si="1155"/>
        <v>9.1121437224909503</v>
      </c>
      <c r="AW258" s="37">
        <f t="shared" si="1155"/>
        <v>10.829175295128502</v>
      </c>
      <c r="AX258" s="37">
        <f>AX250/-SUM(AU226:AX226)</f>
        <v>11.711412253880276</v>
      </c>
      <c r="AY258" s="37"/>
      <c r="AZ258" s="37"/>
      <c r="BA258" s="37"/>
    </row>
    <row r="259" spans="2:53" ht="12.75">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c r="AI259" s="37"/>
      <c r="AJ259" s="37"/>
      <c r="AK259" s="37"/>
      <c r="AL259" s="37"/>
      <c r="AM259" s="37"/>
      <c r="AN259" s="37"/>
      <c r="AO259" s="37"/>
      <c r="AP259" s="37"/>
      <c r="AQ259" s="37"/>
      <c r="AR259" s="37"/>
      <c r="AS259" s="37"/>
      <c r="AT259" s="37"/>
      <c r="AU259" s="37"/>
      <c r="AV259" s="37"/>
      <c r="AW259" s="37"/>
      <c r="AX259" s="37"/>
      <c r="AY259" s="37"/>
      <c r="AZ259" s="37"/>
      <c r="BA259" s="37"/>
    </row>
    <row r="260" spans="2:53" s="5" customFormat="1" ht="12.75" customHeight="1" thickBot="1">
      <c r="B260" s="46" t="str">
        <f>+B131</f>
        <v xml:space="preserve">Gearing (Net debt / Equity) </v>
      </c>
      <c r="C260" s="115"/>
      <c r="D260" s="115">
        <f t="shared" ref="D260:N260" si="1156">D245/D248</f>
        <v>0.77267855751590309</v>
      </c>
      <c r="E260" s="115">
        <f t="shared" si="1156"/>
        <v>0.80090946339194902</v>
      </c>
      <c r="F260" s="115">
        <f t="shared" si="1156"/>
        <v>0.74858027001674254</v>
      </c>
      <c r="G260" s="115">
        <f t="shared" si="1156"/>
        <v>0.72944864263993214</v>
      </c>
      <c r="H260" s="115">
        <f t="shared" si="1156"/>
        <v>0.7210328048025102</v>
      </c>
      <c r="I260" s="115">
        <f t="shared" si="1156"/>
        <v>0.63454728331853183</v>
      </c>
      <c r="J260" s="115">
        <f t="shared" si="1156"/>
        <v>0.78641604000687904</v>
      </c>
      <c r="K260" s="115">
        <f t="shared" si="1156"/>
        <v>0.69940889750749846</v>
      </c>
      <c r="L260" s="115">
        <f t="shared" si="1156"/>
        <v>0.96162533594024113</v>
      </c>
      <c r="M260" s="115">
        <f t="shared" si="1156"/>
        <v>0.78947920449910614</v>
      </c>
      <c r="N260" s="115">
        <f t="shared" si="1156"/>
        <v>0.85931745540814009</v>
      </c>
      <c r="O260" s="115">
        <f t="shared" ref="O260" si="1157">O245/O248</f>
        <v>0.72196122844276689</v>
      </c>
      <c r="P260" s="115">
        <f>P245/P248</f>
        <v>0.59375200590037669</v>
      </c>
      <c r="Q260" s="265"/>
      <c r="R260" s="115">
        <f>+R131</f>
        <v>0.71672395060851413</v>
      </c>
      <c r="S260" s="115">
        <f>+S131</f>
        <v>0.80500585239253919</v>
      </c>
      <c r="T260" s="115">
        <f>+T131</f>
        <v>0.8285085863384879</v>
      </c>
      <c r="U260" s="115">
        <f>+U131</f>
        <v>0.72103280480251031</v>
      </c>
      <c r="V260" s="115">
        <f>+V131</f>
        <v>0.72868931216176225</v>
      </c>
      <c r="W260" s="115">
        <f>+W131</f>
        <v>0.7436660720043069</v>
      </c>
      <c r="X260" s="115">
        <f>+X131</f>
        <v>0.76567733964193363</v>
      </c>
      <c r="Y260" s="115">
        <f>+Y131</f>
        <v>0.63454728331853183</v>
      </c>
      <c r="Z260" s="115">
        <f>Z245/Z248</f>
        <v>0.66002639317082412</v>
      </c>
      <c r="AA260" s="115">
        <f t="shared" ref="AA260:AT260" si="1158">AA245/AA248</f>
        <v>0.79469263673904356</v>
      </c>
      <c r="AB260" s="115">
        <f t="shared" si="1158"/>
        <v>0.85512989923918203</v>
      </c>
      <c r="AC260" s="115">
        <f t="shared" si="1158"/>
        <v>0.78641604000687904</v>
      </c>
      <c r="AD260" s="115">
        <f t="shared" si="1158"/>
        <v>0.84941754286613691</v>
      </c>
      <c r="AE260" s="115">
        <f t="shared" si="1158"/>
        <v>0.80015835015656522</v>
      </c>
      <c r="AF260" s="115">
        <f t="shared" si="1158"/>
        <v>0.70585490160050257</v>
      </c>
      <c r="AG260" s="115">
        <f t="shared" si="1158"/>
        <v>0.93000137139080541</v>
      </c>
      <c r="AH260" s="115">
        <f t="shared" si="1158"/>
        <v>0.72607593419106908</v>
      </c>
      <c r="AI260" s="115">
        <f t="shared" si="1158"/>
        <v>0.85152852796994971</v>
      </c>
      <c r="AJ260" s="115">
        <f t="shared" si="1158"/>
        <v>0.95027023706899627</v>
      </c>
      <c r="AK260" s="115">
        <f t="shared" si="1158"/>
        <v>0.96162533594024113</v>
      </c>
      <c r="AL260" s="115">
        <f t="shared" si="1158"/>
        <v>0.88866462223254694</v>
      </c>
      <c r="AM260" s="115">
        <f t="shared" si="1158"/>
        <v>1.0125441628379095</v>
      </c>
      <c r="AN260" s="115">
        <f t="shared" si="1158"/>
        <v>0.83513438652163152</v>
      </c>
      <c r="AO260" s="115">
        <f t="shared" si="1158"/>
        <v>0.78947920449910614</v>
      </c>
      <c r="AP260" s="115">
        <f t="shared" si="1158"/>
        <v>0.66779122538314239</v>
      </c>
      <c r="AQ260" s="115">
        <f t="shared" si="1158"/>
        <v>0.81017245653566861</v>
      </c>
      <c r="AR260" s="115">
        <f t="shared" si="1158"/>
        <v>0.85834892526521578</v>
      </c>
      <c r="AS260" s="115">
        <f t="shared" si="1158"/>
        <v>0.85931745540814009</v>
      </c>
      <c r="AT260" s="115">
        <f t="shared" si="1158"/>
        <v>0.82656907335192453</v>
      </c>
      <c r="AU260" s="115">
        <f t="shared" ref="AU260:AX260" si="1159">AU245/AU248</f>
        <v>0.82076194529774549</v>
      </c>
      <c r="AV260" s="115">
        <f t="shared" si="1159"/>
        <v>0.77160400779752503</v>
      </c>
      <c r="AW260" s="115">
        <f t="shared" si="1159"/>
        <v>0.72196122844276689</v>
      </c>
      <c r="AX260" s="115">
        <f t="shared" si="1159"/>
        <v>0.59375200590037669</v>
      </c>
      <c r="AY260" s="265"/>
      <c r="AZ260" s="265"/>
      <c r="BA260" s="265"/>
    </row>
    <row r="261" spans="2:53" ht="13.5" customHeight="1" thickTop="1">
      <c r="C261" s="30"/>
      <c r="D261" s="30"/>
      <c r="E261" s="30"/>
      <c r="F261" s="30"/>
      <c r="G261" s="30"/>
      <c r="H261" s="30"/>
      <c r="I261" s="30"/>
      <c r="J261" s="30"/>
      <c r="K261" s="30"/>
      <c r="L261" s="30"/>
      <c r="M261" s="30"/>
      <c r="N261" s="30"/>
      <c r="O261" s="30"/>
      <c r="P261" s="30"/>
      <c r="Q261" s="30"/>
      <c r="R261" s="30"/>
      <c r="S261" s="30"/>
      <c r="T261" s="30"/>
      <c r="U261" s="30"/>
      <c r="V261" s="30"/>
      <c r="W261" s="30"/>
      <c r="X261" s="30"/>
      <c r="Y261" s="30"/>
      <c r="Z261" s="30"/>
      <c r="AA261" s="30"/>
      <c r="AB261" s="30"/>
      <c r="AC261" s="30"/>
      <c r="AE261" s="30"/>
      <c r="AF261" s="30"/>
      <c r="AG261" s="30"/>
      <c r="AI261" s="30"/>
      <c r="AJ261" s="30"/>
      <c r="AK261" s="30"/>
      <c r="AM261" s="30"/>
      <c r="AN261" s="30"/>
      <c r="AO261" s="30"/>
      <c r="AQ261" s="30"/>
      <c r="AR261" s="30"/>
      <c r="AS261" s="30"/>
      <c r="AU261" s="30"/>
      <c r="AV261" s="30"/>
      <c r="AW261" s="30"/>
      <c r="AY261" s="30"/>
      <c r="AZ261" s="30"/>
      <c r="BA261" s="30"/>
    </row>
  </sheetData>
  <pageMargins left="0.51181102362204722" right="0.47244094488188981" top="0.23622047244094491" bottom="0.43307086614173229" header="0.51181102362204722" footer="0.23622047244094491"/>
  <pageSetup paperSize="9" fitToHeight="0" orientation="portrait" r:id="rId1"/>
  <headerFooter alignWithMargins="0">
    <oddFooter>&amp;L&amp;8U.S. Bank Loan Team&amp;C&amp;"Arial,Bold"&amp;8- Confidential -&amp;R&amp;8&amp;D &amp;T</oddFooter>
  </headerFooter>
  <rowBreaks count="1" manualBreakCount="1">
    <brk id="92" min="1" max="10" man="1"/>
  </rowBreaks>
  <ignoredErrors>
    <ignoredError sqref="U17:U25 U66:U69 B39 U89:X89 H93 U71:U75 Q199:X199 D199:H199 D89:H89 Q141:AE141 D141:J141" formula="1"/>
  </ignoredErrors>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2:AW41"/>
  <sheetViews>
    <sheetView showGridLines="0" zoomScaleNormal="100" workbookViewId="0">
      <pane xSplit="2" ySplit="6" topLeftCell="J7" activePane="bottomRight" state="frozen"/>
      <selection pane="bottomRight" activeCell="AW2" sqref="AW2"/>
      <selection pane="bottomLeft" activeCell="U2" sqref="U2"/>
      <selection pane="topRight" activeCell="U2" sqref="U2"/>
    </sheetView>
  </sheetViews>
  <sheetFormatPr defaultRowHeight="12.75" outlineLevelCol="1"/>
  <cols>
    <col min="1" max="1" width="2.7109375" style="1" customWidth="1"/>
    <col min="2" max="2" width="50.7109375" style="1" customWidth="1"/>
    <col min="3" max="5" width="12.7109375" style="1" hidden="1" customWidth="1" outlineLevel="1"/>
    <col min="6" max="6" width="12.7109375" style="1" hidden="1" customWidth="1" outlineLevel="1" collapsed="1"/>
    <col min="7" max="9" width="12.7109375" style="1" hidden="1" customWidth="1" outlineLevel="1"/>
    <col min="10" max="10" width="12.7109375" style="1" customWidth="1" collapsed="1"/>
    <col min="11" max="14" width="12.7109375" style="1" customWidth="1"/>
    <col min="15" max="26" width="12.7109375" style="1" hidden="1" customWidth="1" outlineLevel="1"/>
    <col min="27" max="27" width="12.7109375" style="1" hidden="1" customWidth="1" outlineLevel="1" collapsed="1"/>
    <col min="28" max="30" width="12.7109375" style="1" hidden="1" customWidth="1" outlineLevel="1"/>
    <col min="31" max="31" width="12.7109375" style="1" hidden="1" customWidth="1" outlineLevel="1" collapsed="1"/>
    <col min="32" max="38" width="12.7109375" style="1" hidden="1" customWidth="1" outlineLevel="1"/>
    <col min="39" max="39" width="12.7109375" style="1" customWidth="1" collapsed="1"/>
    <col min="40" max="50" width="12.7109375" style="1" customWidth="1"/>
    <col min="51" max="279" width="9.28515625" style="1"/>
    <col min="280" max="280" width="2.5703125" style="1" customWidth="1"/>
    <col min="281" max="281" width="39.5703125" style="1" customWidth="1"/>
    <col min="282" max="285" width="11.7109375" style="1" customWidth="1"/>
    <col min="286" max="535" width="9.28515625" style="1"/>
    <col min="536" max="536" width="2.5703125" style="1" customWidth="1"/>
    <col min="537" max="537" width="39.5703125" style="1" customWidth="1"/>
    <col min="538" max="541" width="11.7109375" style="1" customWidth="1"/>
    <col min="542" max="791" width="9.28515625" style="1"/>
    <col min="792" max="792" width="2.5703125" style="1" customWidth="1"/>
    <col min="793" max="793" width="39.5703125" style="1" customWidth="1"/>
    <col min="794" max="797" width="11.7109375" style="1" customWidth="1"/>
    <col min="798" max="1047" width="9.28515625" style="1"/>
    <col min="1048" max="1048" width="2.5703125" style="1" customWidth="1"/>
    <col min="1049" max="1049" width="39.5703125" style="1" customWidth="1"/>
    <col min="1050" max="1053" width="11.7109375" style="1" customWidth="1"/>
    <col min="1054" max="1303" width="9.28515625" style="1"/>
    <col min="1304" max="1304" width="2.5703125" style="1" customWidth="1"/>
    <col min="1305" max="1305" width="39.5703125" style="1" customWidth="1"/>
    <col min="1306" max="1309" width="11.7109375" style="1" customWidth="1"/>
    <col min="1310" max="1559" width="9.28515625" style="1"/>
    <col min="1560" max="1560" width="2.5703125" style="1" customWidth="1"/>
    <col min="1561" max="1561" width="39.5703125" style="1" customWidth="1"/>
    <col min="1562" max="1565" width="11.7109375" style="1" customWidth="1"/>
    <col min="1566" max="1815" width="9.28515625" style="1"/>
    <col min="1816" max="1816" width="2.5703125" style="1" customWidth="1"/>
    <col min="1817" max="1817" width="39.5703125" style="1" customWidth="1"/>
    <col min="1818" max="1821" width="11.7109375" style="1" customWidth="1"/>
    <col min="1822" max="2071" width="9.28515625" style="1"/>
    <col min="2072" max="2072" width="2.5703125" style="1" customWidth="1"/>
    <col min="2073" max="2073" width="39.5703125" style="1" customWidth="1"/>
    <col min="2074" max="2077" width="11.7109375" style="1" customWidth="1"/>
    <col min="2078" max="2327" width="9.28515625" style="1"/>
    <col min="2328" max="2328" width="2.5703125" style="1" customWidth="1"/>
    <col min="2329" max="2329" width="39.5703125" style="1" customWidth="1"/>
    <col min="2330" max="2333" width="11.7109375" style="1" customWidth="1"/>
    <col min="2334" max="2583" width="9.28515625" style="1"/>
    <col min="2584" max="2584" width="2.5703125" style="1" customWidth="1"/>
    <col min="2585" max="2585" width="39.5703125" style="1" customWidth="1"/>
    <col min="2586" max="2589" width="11.7109375" style="1" customWidth="1"/>
    <col min="2590" max="2839" width="9.28515625" style="1"/>
    <col min="2840" max="2840" width="2.5703125" style="1" customWidth="1"/>
    <col min="2841" max="2841" width="39.5703125" style="1" customWidth="1"/>
    <col min="2842" max="2845" width="11.7109375" style="1" customWidth="1"/>
    <col min="2846" max="3095" width="9.28515625" style="1"/>
    <col min="3096" max="3096" width="2.5703125" style="1" customWidth="1"/>
    <col min="3097" max="3097" width="39.5703125" style="1" customWidth="1"/>
    <col min="3098" max="3101" width="11.7109375" style="1" customWidth="1"/>
    <col min="3102" max="3351" width="9.28515625" style="1"/>
    <col min="3352" max="3352" width="2.5703125" style="1" customWidth="1"/>
    <col min="3353" max="3353" width="39.5703125" style="1" customWidth="1"/>
    <col min="3354" max="3357" width="11.7109375" style="1" customWidth="1"/>
    <col min="3358" max="3607" width="9.28515625" style="1"/>
    <col min="3608" max="3608" width="2.5703125" style="1" customWidth="1"/>
    <col min="3609" max="3609" width="39.5703125" style="1" customWidth="1"/>
    <col min="3610" max="3613" width="11.7109375" style="1" customWidth="1"/>
    <col min="3614" max="3863" width="9.28515625" style="1"/>
    <col min="3864" max="3864" width="2.5703125" style="1" customWidth="1"/>
    <col min="3865" max="3865" width="39.5703125" style="1" customWidth="1"/>
    <col min="3866" max="3869" width="11.7109375" style="1" customWidth="1"/>
    <col min="3870" max="4119" width="9.28515625" style="1"/>
    <col min="4120" max="4120" width="2.5703125" style="1" customWidth="1"/>
    <col min="4121" max="4121" width="39.5703125" style="1" customWidth="1"/>
    <col min="4122" max="4125" width="11.7109375" style="1" customWidth="1"/>
    <col min="4126" max="4375" width="9.28515625" style="1"/>
    <col min="4376" max="4376" width="2.5703125" style="1" customWidth="1"/>
    <col min="4377" max="4377" width="39.5703125" style="1" customWidth="1"/>
    <col min="4378" max="4381" width="11.7109375" style="1" customWidth="1"/>
    <col min="4382" max="4631" width="9.28515625" style="1"/>
    <col min="4632" max="4632" width="2.5703125" style="1" customWidth="1"/>
    <col min="4633" max="4633" width="39.5703125" style="1" customWidth="1"/>
    <col min="4634" max="4637" width="11.7109375" style="1" customWidth="1"/>
    <col min="4638" max="4887" width="9.28515625" style="1"/>
    <col min="4888" max="4888" width="2.5703125" style="1" customWidth="1"/>
    <col min="4889" max="4889" width="39.5703125" style="1" customWidth="1"/>
    <col min="4890" max="4893" width="11.7109375" style="1" customWidth="1"/>
    <col min="4894" max="5143" width="9.28515625" style="1"/>
    <col min="5144" max="5144" width="2.5703125" style="1" customWidth="1"/>
    <col min="5145" max="5145" width="39.5703125" style="1" customWidth="1"/>
    <col min="5146" max="5149" width="11.7109375" style="1" customWidth="1"/>
    <col min="5150" max="5399" width="9.28515625" style="1"/>
    <col min="5400" max="5400" width="2.5703125" style="1" customWidth="1"/>
    <col min="5401" max="5401" width="39.5703125" style="1" customWidth="1"/>
    <col min="5402" max="5405" width="11.7109375" style="1" customWidth="1"/>
    <col min="5406" max="5655" width="9.28515625" style="1"/>
    <col min="5656" max="5656" width="2.5703125" style="1" customWidth="1"/>
    <col min="5657" max="5657" width="39.5703125" style="1" customWidth="1"/>
    <col min="5658" max="5661" width="11.7109375" style="1" customWidth="1"/>
    <col min="5662" max="5911" width="9.28515625" style="1"/>
    <col min="5912" max="5912" width="2.5703125" style="1" customWidth="1"/>
    <col min="5913" max="5913" width="39.5703125" style="1" customWidth="1"/>
    <col min="5914" max="5917" width="11.7109375" style="1" customWidth="1"/>
    <col min="5918" max="6167" width="9.28515625" style="1"/>
    <col min="6168" max="6168" width="2.5703125" style="1" customWidth="1"/>
    <col min="6169" max="6169" width="39.5703125" style="1" customWidth="1"/>
    <col min="6170" max="6173" width="11.7109375" style="1" customWidth="1"/>
    <col min="6174" max="6423" width="9.28515625" style="1"/>
    <col min="6424" max="6424" width="2.5703125" style="1" customWidth="1"/>
    <col min="6425" max="6425" width="39.5703125" style="1" customWidth="1"/>
    <col min="6426" max="6429" width="11.7109375" style="1" customWidth="1"/>
    <col min="6430" max="6679" width="9.28515625" style="1"/>
    <col min="6680" max="6680" width="2.5703125" style="1" customWidth="1"/>
    <col min="6681" max="6681" width="39.5703125" style="1" customWidth="1"/>
    <col min="6682" max="6685" width="11.7109375" style="1" customWidth="1"/>
    <col min="6686" max="6935" width="9.28515625" style="1"/>
    <col min="6936" max="6936" width="2.5703125" style="1" customWidth="1"/>
    <col min="6937" max="6937" width="39.5703125" style="1" customWidth="1"/>
    <col min="6938" max="6941" width="11.7109375" style="1" customWidth="1"/>
    <col min="6942" max="7191" width="9.28515625" style="1"/>
    <col min="7192" max="7192" width="2.5703125" style="1" customWidth="1"/>
    <col min="7193" max="7193" width="39.5703125" style="1" customWidth="1"/>
    <col min="7194" max="7197" width="11.7109375" style="1" customWidth="1"/>
    <col min="7198" max="7447" width="9.28515625" style="1"/>
    <col min="7448" max="7448" width="2.5703125" style="1" customWidth="1"/>
    <col min="7449" max="7449" width="39.5703125" style="1" customWidth="1"/>
    <col min="7450" max="7453" width="11.7109375" style="1" customWidth="1"/>
    <col min="7454" max="7703" width="9.28515625" style="1"/>
    <col min="7704" max="7704" width="2.5703125" style="1" customWidth="1"/>
    <col min="7705" max="7705" width="39.5703125" style="1" customWidth="1"/>
    <col min="7706" max="7709" width="11.7109375" style="1" customWidth="1"/>
    <col min="7710" max="7959" width="9.28515625" style="1"/>
    <col min="7960" max="7960" width="2.5703125" style="1" customWidth="1"/>
    <col min="7961" max="7961" width="39.5703125" style="1" customWidth="1"/>
    <col min="7962" max="7965" width="11.7109375" style="1" customWidth="1"/>
    <col min="7966" max="8215" width="9.28515625" style="1"/>
    <col min="8216" max="8216" width="2.5703125" style="1" customWidth="1"/>
    <col min="8217" max="8217" width="39.5703125" style="1" customWidth="1"/>
    <col min="8218" max="8221" width="11.7109375" style="1" customWidth="1"/>
    <col min="8222" max="8471" width="9.28515625" style="1"/>
    <col min="8472" max="8472" width="2.5703125" style="1" customWidth="1"/>
    <col min="8473" max="8473" width="39.5703125" style="1" customWidth="1"/>
    <col min="8474" max="8477" width="11.7109375" style="1" customWidth="1"/>
    <col min="8478" max="8727" width="9.28515625" style="1"/>
    <col min="8728" max="8728" width="2.5703125" style="1" customWidth="1"/>
    <col min="8729" max="8729" width="39.5703125" style="1" customWidth="1"/>
    <col min="8730" max="8733" width="11.7109375" style="1" customWidth="1"/>
    <col min="8734" max="8983" width="9.28515625" style="1"/>
    <col min="8984" max="8984" width="2.5703125" style="1" customWidth="1"/>
    <col min="8985" max="8985" width="39.5703125" style="1" customWidth="1"/>
    <col min="8986" max="8989" width="11.7109375" style="1" customWidth="1"/>
    <col min="8990" max="9239" width="9.28515625" style="1"/>
    <col min="9240" max="9240" width="2.5703125" style="1" customWidth="1"/>
    <col min="9241" max="9241" width="39.5703125" style="1" customWidth="1"/>
    <col min="9242" max="9245" width="11.7109375" style="1" customWidth="1"/>
    <col min="9246" max="9495" width="9.28515625" style="1"/>
    <col min="9496" max="9496" width="2.5703125" style="1" customWidth="1"/>
    <col min="9497" max="9497" width="39.5703125" style="1" customWidth="1"/>
    <col min="9498" max="9501" width="11.7109375" style="1" customWidth="1"/>
    <col min="9502" max="9751" width="9.28515625" style="1"/>
    <col min="9752" max="9752" width="2.5703125" style="1" customWidth="1"/>
    <col min="9753" max="9753" width="39.5703125" style="1" customWidth="1"/>
    <col min="9754" max="9757" width="11.7109375" style="1" customWidth="1"/>
    <col min="9758" max="10007" width="9.28515625" style="1"/>
    <col min="10008" max="10008" width="2.5703125" style="1" customWidth="1"/>
    <col min="10009" max="10009" width="39.5703125" style="1" customWidth="1"/>
    <col min="10010" max="10013" width="11.7109375" style="1" customWidth="1"/>
    <col min="10014" max="10263" width="9.28515625" style="1"/>
    <col min="10264" max="10264" width="2.5703125" style="1" customWidth="1"/>
    <col min="10265" max="10265" width="39.5703125" style="1" customWidth="1"/>
    <col min="10266" max="10269" width="11.7109375" style="1" customWidth="1"/>
    <col min="10270" max="10519" width="9.28515625" style="1"/>
    <col min="10520" max="10520" width="2.5703125" style="1" customWidth="1"/>
    <col min="10521" max="10521" width="39.5703125" style="1" customWidth="1"/>
    <col min="10522" max="10525" width="11.7109375" style="1" customWidth="1"/>
    <col min="10526" max="10775" width="9.28515625" style="1"/>
    <col min="10776" max="10776" width="2.5703125" style="1" customWidth="1"/>
    <col min="10777" max="10777" width="39.5703125" style="1" customWidth="1"/>
    <col min="10778" max="10781" width="11.7109375" style="1" customWidth="1"/>
    <col min="10782" max="11031" width="9.28515625" style="1"/>
    <col min="11032" max="11032" width="2.5703125" style="1" customWidth="1"/>
    <col min="11033" max="11033" width="39.5703125" style="1" customWidth="1"/>
    <col min="11034" max="11037" width="11.7109375" style="1" customWidth="1"/>
    <col min="11038" max="11287" width="9.28515625" style="1"/>
    <col min="11288" max="11288" width="2.5703125" style="1" customWidth="1"/>
    <col min="11289" max="11289" width="39.5703125" style="1" customWidth="1"/>
    <col min="11290" max="11293" width="11.7109375" style="1" customWidth="1"/>
    <col min="11294" max="11543" width="9.28515625" style="1"/>
    <col min="11544" max="11544" width="2.5703125" style="1" customWidth="1"/>
    <col min="11545" max="11545" width="39.5703125" style="1" customWidth="1"/>
    <col min="11546" max="11549" width="11.7109375" style="1" customWidth="1"/>
    <col min="11550" max="11799" width="9.28515625" style="1"/>
    <col min="11800" max="11800" width="2.5703125" style="1" customWidth="1"/>
    <col min="11801" max="11801" width="39.5703125" style="1" customWidth="1"/>
    <col min="11802" max="11805" width="11.7109375" style="1" customWidth="1"/>
    <col min="11806" max="12055" width="9.28515625" style="1"/>
    <col min="12056" max="12056" width="2.5703125" style="1" customWidth="1"/>
    <col min="12057" max="12057" width="39.5703125" style="1" customWidth="1"/>
    <col min="12058" max="12061" width="11.7109375" style="1" customWidth="1"/>
    <col min="12062" max="12311" width="9.28515625" style="1"/>
    <col min="12312" max="12312" width="2.5703125" style="1" customWidth="1"/>
    <col min="12313" max="12313" width="39.5703125" style="1" customWidth="1"/>
    <col min="12314" max="12317" width="11.7109375" style="1" customWidth="1"/>
    <col min="12318" max="12567" width="9.28515625" style="1"/>
    <col min="12568" max="12568" width="2.5703125" style="1" customWidth="1"/>
    <col min="12569" max="12569" width="39.5703125" style="1" customWidth="1"/>
    <col min="12570" max="12573" width="11.7109375" style="1" customWidth="1"/>
    <col min="12574" max="12823" width="9.28515625" style="1"/>
    <col min="12824" max="12824" width="2.5703125" style="1" customWidth="1"/>
    <col min="12825" max="12825" width="39.5703125" style="1" customWidth="1"/>
    <col min="12826" max="12829" width="11.7109375" style="1" customWidth="1"/>
    <col min="12830" max="13079" width="9.28515625" style="1"/>
    <col min="13080" max="13080" width="2.5703125" style="1" customWidth="1"/>
    <col min="13081" max="13081" width="39.5703125" style="1" customWidth="1"/>
    <col min="13082" max="13085" width="11.7109375" style="1" customWidth="1"/>
    <col min="13086" max="13335" width="9.28515625" style="1"/>
    <col min="13336" max="13336" width="2.5703125" style="1" customWidth="1"/>
    <col min="13337" max="13337" width="39.5703125" style="1" customWidth="1"/>
    <col min="13338" max="13341" width="11.7109375" style="1" customWidth="1"/>
    <col min="13342" max="13591" width="9.28515625" style="1"/>
    <col min="13592" max="13592" width="2.5703125" style="1" customWidth="1"/>
    <col min="13593" max="13593" width="39.5703125" style="1" customWidth="1"/>
    <col min="13594" max="13597" width="11.7109375" style="1" customWidth="1"/>
    <col min="13598" max="13847" width="9.28515625" style="1"/>
    <col min="13848" max="13848" width="2.5703125" style="1" customWidth="1"/>
    <col min="13849" max="13849" width="39.5703125" style="1" customWidth="1"/>
    <col min="13850" max="13853" width="11.7109375" style="1" customWidth="1"/>
    <col min="13854" max="14103" width="9.28515625" style="1"/>
    <col min="14104" max="14104" width="2.5703125" style="1" customWidth="1"/>
    <col min="14105" max="14105" width="39.5703125" style="1" customWidth="1"/>
    <col min="14106" max="14109" width="11.7109375" style="1" customWidth="1"/>
    <col min="14110" max="14359" width="9.28515625" style="1"/>
    <col min="14360" max="14360" width="2.5703125" style="1" customWidth="1"/>
    <col min="14361" max="14361" width="39.5703125" style="1" customWidth="1"/>
    <col min="14362" max="14365" width="11.7109375" style="1" customWidth="1"/>
    <col min="14366" max="14615" width="9.28515625" style="1"/>
    <col min="14616" max="14616" width="2.5703125" style="1" customWidth="1"/>
    <col min="14617" max="14617" width="39.5703125" style="1" customWidth="1"/>
    <col min="14618" max="14621" width="11.7109375" style="1" customWidth="1"/>
    <col min="14622" max="14871" width="9.28515625" style="1"/>
    <col min="14872" max="14872" width="2.5703125" style="1" customWidth="1"/>
    <col min="14873" max="14873" width="39.5703125" style="1" customWidth="1"/>
    <col min="14874" max="14877" width="11.7109375" style="1" customWidth="1"/>
    <col min="14878" max="15127" width="9.28515625" style="1"/>
    <col min="15128" max="15128" width="2.5703125" style="1" customWidth="1"/>
    <col min="15129" max="15129" width="39.5703125" style="1" customWidth="1"/>
    <col min="15130" max="15133" width="11.7109375" style="1" customWidth="1"/>
    <col min="15134" max="15383" width="9.28515625" style="1"/>
    <col min="15384" max="15384" width="2.5703125" style="1" customWidth="1"/>
    <col min="15385" max="15385" width="39.5703125" style="1" customWidth="1"/>
    <col min="15386" max="15389" width="11.7109375" style="1" customWidth="1"/>
    <col min="15390" max="15639" width="9.28515625" style="1"/>
    <col min="15640" max="15640" width="2.5703125" style="1" customWidth="1"/>
    <col min="15641" max="15641" width="39.5703125" style="1" customWidth="1"/>
    <col min="15642" max="15645" width="11.7109375" style="1" customWidth="1"/>
    <col min="15646" max="15895" width="9.28515625" style="1"/>
    <col min="15896" max="15896" width="2.5703125" style="1" customWidth="1"/>
    <col min="15897" max="15897" width="39.5703125" style="1" customWidth="1"/>
    <col min="15898" max="15901" width="11.7109375" style="1" customWidth="1"/>
    <col min="15902" max="16151" width="9.28515625" style="1"/>
    <col min="16152" max="16152" width="2.5703125" style="1" customWidth="1"/>
    <col min="16153" max="16153" width="39.5703125" style="1" customWidth="1"/>
    <col min="16154" max="16157" width="11.7109375" style="1" customWidth="1"/>
    <col min="16158" max="16384" width="9.28515625" style="1"/>
  </cols>
  <sheetData>
    <row r="2" spans="1:49" s="5" customFormat="1" ht="24.75" customHeight="1">
      <c r="A2" s="2"/>
      <c r="B2" s="9" t="s">
        <v>190</v>
      </c>
      <c r="C2" s="11" t="s">
        <v>191</v>
      </c>
      <c r="D2" s="11" t="s">
        <v>191</v>
      </c>
      <c r="E2" s="11" t="s">
        <v>191</v>
      </c>
      <c r="F2" s="11" t="s">
        <v>191</v>
      </c>
      <c r="G2" s="11" t="s">
        <v>191</v>
      </c>
      <c r="H2" s="11" t="s">
        <v>191</v>
      </c>
      <c r="I2" s="11" t="s">
        <v>191</v>
      </c>
      <c r="J2" s="11" t="s">
        <v>191</v>
      </c>
      <c r="K2" s="11" t="s">
        <v>191</v>
      </c>
      <c r="L2" s="11" t="s">
        <v>191</v>
      </c>
      <c r="M2" s="13" t="s">
        <v>192</v>
      </c>
      <c r="N2" s="134"/>
      <c r="O2" s="11" t="s">
        <v>308</v>
      </c>
      <c r="P2" s="11" t="s">
        <v>308</v>
      </c>
      <c r="Q2" s="11" t="s">
        <v>308</v>
      </c>
      <c r="R2" s="11" t="s">
        <v>308</v>
      </c>
      <c r="S2" s="11" t="s">
        <v>308</v>
      </c>
      <c r="T2" s="11" t="s">
        <v>308</v>
      </c>
      <c r="U2" s="11" t="s">
        <v>308</v>
      </c>
      <c r="V2" s="11" t="s">
        <v>308</v>
      </c>
      <c r="W2" s="11" t="s">
        <v>308</v>
      </c>
      <c r="X2" s="11" t="s">
        <v>308</v>
      </c>
      <c r="Y2" s="11" t="s">
        <v>308</v>
      </c>
      <c r="Z2" s="11" t="s">
        <v>308</v>
      </c>
      <c r="AA2" s="11" t="s">
        <v>308</v>
      </c>
      <c r="AB2" s="11" t="s">
        <v>308</v>
      </c>
      <c r="AC2" s="11" t="s">
        <v>308</v>
      </c>
      <c r="AD2" s="11" t="s">
        <v>308</v>
      </c>
      <c r="AE2" s="11" t="s">
        <v>308</v>
      </c>
      <c r="AF2" s="11" t="s">
        <v>308</v>
      </c>
      <c r="AG2" s="11" t="s">
        <v>308</v>
      </c>
      <c r="AH2" s="11" t="s">
        <v>308</v>
      </c>
      <c r="AI2" s="11" t="s">
        <v>308</v>
      </c>
      <c r="AJ2" s="11" t="s">
        <v>308</v>
      </c>
      <c r="AK2" s="11" t="s">
        <v>308</v>
      </c>
      <c r="AL2" s="11" t="s">
        <v>308</v>
      </c>
      <c r="AM2" s="11" t="s">
        <v>308</v>
      </c>
      <c r="AN2" s="11" t="s">
        <v>308</v>
      </c>
      <c r="AO2" s="11" t="s">
        <v>308</v>
      </c>
      <c r="AP2" s="11" t="s">
        <v>308</v>
      </c>
      <c r="AQ2" s="11" t="s">
        <v>308</v>
      </c>
      <c r="AR2" s="11" t="s">
        <v>308</v>
      </c>
      <c r="AS2" s="11" t="s">
        <v>308</v>
      </c>
      <c r="AT2" s="11" t="s">
        <v>308</v>
      </c>
      <c r="AU2" s="11" t="s">
        <v>308</v>
      </c>
    </row>
    <row r="3" spans="1:49" s="5" customFormat="1" ht="13.5" customHeight="1">
      <c r="A3" s="2"/>
      <c r="B3" s="90" t="s">
        <v>309</v>
      </c>
      <c r="C3" s="12">
        <v>42735</v>
      </c>
      <c r="D3" s="12">
        <v>43100</v>
      </c>
      <c r="E3" s="12">
        <v>43465</v>
      </c>
      <c r="F3" s="12">
        <v>43830</v>
      </c>
      <c r="G3" s="12">
        <v>44196</v>
      </c>
      <c r="H3" s="12">
        <v>44561</v>
      </c>
      <c r="I3" s="12">
        <v>44926</v>
      </c>
      <c r="J3" s="12">
        <v>45291</v>
      </c>
      <c r="K3" s="12">
        <v>45657</v>
      </c>
      <c r="L3" s="12">
        <v>46022</v>
      </c>
      <c r="M3" s="13">
        <f>AU3</f>
        <v>46082</v>
      </c>
      <c r="N3" s="134"/>
      <c r="O3" s="12">
        <v>43160</v>
      </c>
      <c r="P3" s="12">
        <v>43252</v>
      </c>
      <c r="Q3" s="12">
        <v>43344</v>
      </c>
      <c r="R3" s="12">
        <v>43435</v>
      </c>
      <c r="S3" s="12">
        <v>43525</v>
      </c>
      <c r="T3" s="12">
        <v>43617</v>
      </c>
      <c r="U3" s="12">
        <v>43709</v>
      </c>
      <c r="V3" s="12">
        <v>43800</v>
      </c>
      <c r="W3" s="12">
        <v>43891</v>
      </c>
      <c r="X3" s="12">
        <v>43983</v>
      </c>
      <c r="Y3" s="12">
        <v>44075</v>
      </c>
      <c r="Z3" s="12">
        <v>44166</v>
      </c>
      <c r="AA3" s="12">
        <v>44256</v>
      </c>
      <c r="AB3" s="12">
        <v>44348</v>
      </c>
      <c r="AC3" s="12">
        <v>44440</v>
      </c>
      <c r="AD3" s="12">
        <v>44531</v>
      </c>
      <c r="AE3" s="12">
        <v>44621</v>
      </c>
      <c r="AF3" s="12">
        <v>44713</v>
      </c>
      <c r="AG3" s="12">
        <v>44805</v>
      </c>
      <c r="AH3" s="12">
        <v>44896</v>
      </c>
      <c r="AI3" s="12">
        <v>44986</v>
      </c>
      <c r="AJ3" s="12">
        <v>45078</v>
      </c>
      <c r="AK3" s="12">
        <v>45170</v>
      </c>
      <c r="AL3" s="12">
        <v>45261</v>
      </c>
      <c r="AM3" s="12">
        <v>45352</v>
      </c>
      <c r="AN3" s="12">
        <v>45444</v>
      </c>
      <c r="AO3" s="12">
        <v>45536</v>
      </c>
      <c r="AP3" s="12">
        <v>45627</v>
      </c>
      <c r="AQ3" s="12">
        <v>45717</v>
      </c>
      <c r="AR3" s="12">
        <v>45809</v>
      </c>
      <c r="AS3" s="12">
        <v>45901</v>
      </c>
      <c r="AT3" s="12">
        <v>45992</v>
      </c>
      <c r="AU3" s="12">
        <v>46082</v>
      </c>
    </row>
    <row r="4" spans="1:49" s="5" customFormat="1" ht="13.5" customHeight="1">
      <c r="B4" s="10"/>
      <c r="C4" s="13" t="s">
        <v>198</v>
      </c>
      <c r="D4" s="13" t="s">
        <v>198</v>
      </c>
      <c r="E4" s="13" t="s">
        <v>198</v>
      </c>
      <c r="F4" s="13" t="s">
        <v>198</v>
      </c>
      <c r="G4" s="13" t="s">
        <v>198</v>
      </c>
      <c r="H4" s="13" t="s">
        <v>198</v>
      </c>
      <c r="I4" s="13" t="s">
        <v>198</v>
      </c>
      <c r="J4" s="13" t="s">
        <v>198</v>
      </c>
      <c r="K4" s="13" t="s">
        <v>198</v>
      </c>
      <c r="L4" s="13" t="s">
        <v>198</v>
      </c>
      <c r="M4" s="13" t="s">
        <v>198</v>
      </c>
      <c r="N4" s="134"/>
      <c r="O4" s="13" t="s">
        <v>198</v>
      </c>
      <c r="P4" s="13" t="s">
        <v>198</v>
      </c>
      <c r="Q4" s="13" t="s">
        <v>198</v>
      </c>
      <c r="R4" s="13" t="s">
        <v>198</v>
      </c>
      <c r="S4" s="13" t="s">
        <v>198</v>
      </c>
      <c r="T4" s="13" t="s">
        <v>198</v>
      </c>
      <c r="U4" s="13" t="s">
        <v>198</v>
      </c>
      <c r="V4" s="13" t="s">
        <v>198</v>
      </c>
      <c r="W4" s="13" t="s">
        <v>198</v>
      </c>
      <c r="X4" s="13" t="s">
        <v>198</v>
      </c>
      <c r="Y4" s="13" t="s">
        <v>198</v>
      </c>
      <c r="Z4" s="13" t="s">
        <v>198</v>
      </c>
      <c r="AA4" s="13" t="s">
        <v>198</v>
      </c>
      <c r="AB4" s="13" t="s">
        <v>198</v>
      </c>
      <c r="AC4" s="13" t="s">
        <v>198</v>
      </c>
      <c r="AD4" s="13" t="s">
        <v>198</v>
      </c>
      <c r="AE4" s="13" t="s">
        <v>198</v>
      </c>
      <c r="AF4" s="13" t="s">
        <v>198</v>
      </c>
      <c r="AG4" s="13" t="s">
        <v>198</v>
      </c>
      <c r="AH4" s="13" t="s">
        <v>198</v>
      </c>
      <c r="AI4" s="13" t="s">
        <v>198</v>
      </c>
      <c r="AJ4" s="13" t="s">
        <v>198</v>
      </c>
      <c r="AK4" s="13" t="s">
        <v>198</v>
      </c>
      <c r="AL4" s="13" t="s">
        <v>198</v>
      </c>
      <c r="AM4" s="13" t="s">
        <v>198</v>
      </c>
      <c r="AN4" s="13" t="s">
        <v>198</v>
      </c>
      <c r="AO4" s="13" t="s">
        <v>198</v>
      </c>
      <c r="AP4" s="13" t="s">
        <v>198</v>
      </c>
      <c r="AQ4" s="13" t="s">
        <v>198</v>
      </c>
      <c r="AR4" s="13" t="s">
        <v>198</v>
      </c>
      <c r="AS4" s="13" t="s">
        <v>198</v>
      </c>
      <c r="AT4" s="13" t="s">
        <v>198</v>
      </c>
      <c r="AU4" s="13" t="s">
        <v>198</v>
      </c>
    </row>
    <row r="5" spans="1:49" s="5" customFormat="1" ht="13.5" customHeight="1">
      <c r="A5" s="3"/>
      <c r="B5" s="3"/>
      <c r="C5" s="19" t="s">
        <v>200</v>
      </c>
      <c r="D5" s="19" t="s">
        <v>200</v>
      </c>
      <c r="E5" s="19" t="s">
        <v>200</v>
      </c>
      <c r="F5" s="19" t="s">
        <v>200</v>
      </c>
      <c r="G5" s="19" t="s">
        <v>200</v>
      </c>
      <c r="H5" s="19" t="s">
        <v>200</v>
      </c>
      <c r="I5" s="19" t="s">
        <v>200</v>
      </c>
      <c r="J5" s="19" t="s">
        <v>200</v>
      </c>
      <c r="K5" s="19" t="s">
        <v>200</v>
      </c>
      <c r="L5" s="19" t="s">
        <v>200</v>
      </c>
      <c r="M5" s="270" t="s">
        <v>192</v>
      </c>
      <c r="N5" s="19"/>
      <c r="O5" s="19" t="s">
        <v>310</v>
      </c>
      <c r="P5" s="19" t="s">
        <v>311</v>
      </c>
      <c r="Q5" s="19" t="s">
        <v>312</v>
      </c>
      <c r="R5" s="19" t="s">
        <v>313</v>
      </c>
      <c r="S5" s="19" t="s">
        <v>310</v>
      </c>
      <c r="T5" s="19" t="s">
        <v>311</v>
      </c>
      <c r="U5" s="19" t="s">
        <v>312</v>
      </c>
      <c r="V5" s="19" t="s">
        <v>313</v>
      </c>
      <c r="W5" s="19" t="s">
        <v>310</v>
      </c>
      <c r="X5" s="19" t="s">
        <v>311</v>
      </c>
      <c r="Y5" s="19" t="s">
        <v>312</v>
      </c>
      <c r="Z5" s="19" t="s">
        <v>313</v>
      </c>
      <c r="AA5" s="19" t="s">
        <v>310</v>
      </c>
      <c r="AB5" s="19" t="s">
        <v>311</v>
      </c>
      <c r="AC5" s="19" t="s">
        <v>312</v>
      </c>
      <c r="AD5" s="19" t="s">
        <v>313</v>
      </c>
      <c r="AE5" s="19" t="s">
        <v>310</v>
      </c>
      <c r="AF5" s="19" t="s">
        <v>311</v>
      </c>
      <c r="AG5" s="19" t="s">
        <v>312</v>
      </c>
      <c r="AH5" s="19" t="s">
        <v>313</v>
      </c>
      <c r="AI5" s="19" t="s">
        <v>310</v>
      </c>
      <c r="AJ5" s="19" t="s">
        <v>311</v>
      </c>
      <c r="AK5" s="19" t="s">
        <v>312</v>
      </c>
      <c r="AL5" s="19" t="s">
        <v>313</v>
      </c>
      <c r="AM5" s="19" t="s">
        <v>310</v>
      </c>
      <c r="AN5" s="19" t="s">
        <v>311</v>
      </c>
      <c r="AO5" s="19" t="s">
        <v>312</v>
      </c>
      <c r="AP5" s="270" t="s">
        <v>313</v>
      </c>
      <c r="AQ5" s="19" t="s">
        <v>310</v>
      </c>
      <c r="AR5" s="19" t="s">
        <v>311</v>
      </c>
      <c r="AS5" s="19" t="s">
        <v>312</v>
      </c>
      <c r="AT5" s="270" t="s">
        <v>313</v>
      </c>
      <c r="AU5" s="19" t="s">
        <v>310</v>
      </c>
      <c r="AV5" s="19"/>
    </row>
    <row r="6" spans="1:49">
      <c r="B6" s="280"/>
      <c r="C6" s="280"/>
      <c r="D6" s="280"/>
      <c r="E6" s="280"/>
      <c r="F6" s="280"/>
      <c r="G6" s="280"/>
      <c r="H6" s="280"/>
      <c r="I6" s="280"/>
      <c r="J6" s="280"/>
      <c r="K6" s="280"/>
      <c r="L6" s="280"/>
      <c r="M6" s="280"/>
      <c r="O6" s="280"/>
      <c r="P6" s="280"/>
      <c r="Q6" s="280"/>
      <c r="R6" s="280"/>
      <c r="S6" s="280"/>
      <c r="T6" s="280"/>
      <c r="U6" s="280"/>
      <c r="V6" s="280"/>
      <c r="W6" s="280"/>
      <c r="X6" s="280"/>
      <c r="Y6" s="280"/>
      <c r="Z6" s="280"/>
      <c r="AA6" s="280"/>
      <c r="AB6" s="280"/>
      <c r="AC6" s="280"/>
      <c r="AD6" s="280"/>
      <c r="AE6" s="280"/>
      <c r="AF6" s="280"/>
      <c r="AG6" s="280"/>
      <c r="AH6" s="280"/>
      <c r="AI6" s="280"/>
      <c r="AJ6" s="280"/>
      <c r="AK6" s="280"/>
      <c r="AL6" s="280"/>
      <c r="AM6" s="280"/>
      <c r="AN6" s="280"/>
      <c r="AO6" s="280"/>
      <c r="AP6" s="280"/>
      <c r="AQ6" s="280"/>
      <c r="AR6" s="280"/>
      <c r="AS6" s="280"/>
      <c r="AT6" s="280"/>
      <c r="AU6" s="280"/>
    </row>
    <row r="7" spans="1:49">
      <c r="B7" s="5" t="s">
        <v>314</v>
      </c>
    </row>
    <row r="8" spans="1:49">
      <c r="B8" s="1" t="s">
        <v>315</v>
      </c>
      <c r="C8" s="146">
        <v>219</v>
      </c>
      <c r="D8" s="150">
        <v>211</v>
      </c>
      <c r="E8" s="150">
        <v>202</v>
      </c>
      <c r="F8" s="150">
        <v>178</v>
      </c>
      <c r="G8" s="150">
        <v>167</v>
      </c>
      <c r="H8" s="150">
        <v>185</v>
      </c>
      <c r="I8" s="150">
        <v>201.4</v>
      </c>
      <c r="J8" s="150">
        <v>194.2</v>
      </c>
      <c r="K8" s="150">
        <v>173</v>
      </c>
      <c r="L8" s="150">
        <v>173</v>
      </c>
      <c r="M8" s="20">
        <f>SUM(AR8:AU8)</f>
        <v>182</v>
      </c>
      <c r="N8" s="281"/>
      <c r="O8" s="76">
        <v>60</v>
      </c>
      <c r="P8" s="76">
        <v>43</v>
      </c>
      <c r="Q8" s="76">
        <v>46</v>
      </c>
      <c r="R8" s="20">
        <f>E8-Q8-P8-O8</f>
        <v>53</v>
      </c>
      <c r="S8" s="76">
        <v>49</v>
      </c>
      <c r="T8" s="76">
        <v>38</v>
      </c>
      <c r="U8" s="76">
        <v>40</v>
      </c>
      <c r="V8" s="20">
        <f>F8-U8-T8-S8</f>
        <v>51</v>
      </c>
      <c r="W8" s="76">
        <v>46</v>
      </c>
      <c r="X8" s="76">
        <v>29</v>
      </c>
      <c r="Y8" s="76">
        <v>39</v>
      </c>
      <c r="Z8" s="20">
        <f>G8-Y8-X8-W8</f>
        <v>53</v>
      </c>
      <c r="AA8" s="76">
        <v>50</v>
      </c>
      <c r="AB8" s="76">
        <v>36</v>
      </c>
      <c r="AC8" s="76">
        <v>43</v>
      </c>
      <c r="AD8" s="20">
        <f>H8-AC8-AB8-AA8</f>
        <v>56</v>
      </c>
      <c r="AE8" s="76">
        <v>53</v>
      </c>
      <c r="AF8" s="76">
        <v>44</v>
      </c>
      <c r="AG8" s="76">
        <v>46</v>
      </c>
      <c r="AH8" s="20">
        <f>I8-AE8-AF8-AG8</f>
        <v>58.400000000000006</v>
      </c>
      <c r="AI8" s="76">
        <v>54</v>
      </c>
      <c r="AJ8" s="76">
        <v>42</v>
      </c>
      <c r="AK8" s="196">
        <v>44.4</v>
      </c>
      <c r="AL8" s="20">
        <f>J8-AI8-AJ8-AK8</f>
        <v>53.79999999999999</v>
      </c>
      <c r="AM8" s="76">
        <v>41.7</v>
      </c>
      <c r="AN8" s="76">
        <v>31.5</v>
      </c>
      <c r="AO8" s="196">
        <v>42.5</v>
      </c>
      <c r="AP8" s="20">
        <f>K8-AM8-AN8-AO8</f>
        <v>57.300000000000011</v>
      </c>
      <c r="AQ8" s="76">
        <v>51</v>
      </c>
      <c r="AR8" s="76">
        <v>39</v>
      </c>
      <c r="AS8" s="76">
        <v>41</v>
      </c>
      <c r="AT8" s="76">
        <v>54</v>
      </c>
      <c r="AU8" s="76">
        <v>48</v>
      </c>
    </row>
    <row r="9" spans="1:49">
      <c r="B9" s="1" t="s">
        <v>316</v>
      </c>
      <c r="C9" s="146">
        <v>11343</v>
      </c>
      <c r="D9" s="151">
        <v>14203</v>
      </c>
      <c r="E9" s="151">
        <v>22441</v>
      </c>
      <c r="F9" s="151">
        <v>31566</v>
      </c>
      <c r="G9" s="151">
        <v>37737</v>
      </c>
      <c r="H9" s="151">
        <v>128604</v>
      </c>
      <c r="I9" s="151">
        <v>441807</v>
      </c>
      <c r="J9" s="151">
        <v>424298</v>
      </c>
      <c r="K9" s="151">
        <v>826925</v>
      </c>
      <c r="L9" s="151">
        <v>826925</v>
      </c>
      <c r="M9" s="20">
        <f>SUM(AR9:AU9)</f>
        <v>1154656</v>
      </c>
      <c r="N9" s="282"/>
      <c r="O9" s="151">
        <v>7324</v>
      </c>
      <c r="P9" s="151">
        <v>5901</v>
      </c>
      <c r="Q9" s="151">
        <v>6644</v>
      </c>
      <c r="R9" s="154">
        <f>E9-Q9-P9-O9</f>
        <v>2572</v>
      </c>
      <c r="S9" s="151">
        <v>9336</v>
      </c>
      <c r="T9" s="151">
        <v>7475</v>
      </c>
      <c r="U9" s="151">
        <v>8707</v>
      </c>
      <c r="V9" s="154">
        <f>F9-U9-T9-S9</f>
        <v>6048</v>
      </c>
      <c r="W9" s="151">
        <v>12282</v>
      </c>
      <c r="X9" s="151">
        <v>7765</v>
      </c>
      <c r="Y9" s="151">
        <v>7749</v>
      </c>
      <c r="Z9" s="154">
        <f>G9-Y9-X9-W9</f>
        <v>9941</v>
      </c>
      <c r="AA9" s="151">
        <v>19906</v>
      </c>
      <c r="AB9" s="151">
        <v>16780</v>
      </c>
      <c r="AC9" s="151">
        <v>25121</v>
      </c>
      <c r="AD9" s="20">
        <f>H9-AC9-AB9-AA9</f>
        <v>66797</v>
      </c>
      <c r="AE9" s="151">
        <v>44835</v>
      </c>
      <c r="AF9" s="151">
        <v>47322</v>
      </c>
      <c r="AG9" s="151">
        <v>65579</v>
      </c>
      <c r="AH9" s="20">
        <f>I9-AE9-AF9-AG9</f>
        <v>284071</v>
      </c>
      <c r="AI9" s="151">
        <v>46242</v>
      </c>
      <c r="AJ9" s="151">
        <v>162748</v>
      </c>
      <c r="AK9" s="151">
        <v>62312.800000000003</v>
      </c>
      <c r="AL9" s="20">
        <f>J9-AI9-AJ9-AK9</f>
        <v>152995.20000000001</v>
      </c>
      <c r="AM9" s="151">
        <v>154316</v>
      </c>
      <c r="AN9" s="151">
        <v>125942</v>
      </c>
      <c r="AO9" s="151">
        <v>183239</v>
      </c>
      <c r="AP9" s="20">
        <f>K9-AM9-AN9-AO9</f>
        <v>363428</v>
      </c>
      <c r="AQ9" s="151">
        <v>266051</v>
      </c>
      <c r="AR9" s="151">
        <v>219830</v>
      </c>
      <c r="AS9" s="151">
        <v>247786</v>
      </c>
      <c r="AT9" s="151">
        <v>352893</v>
      </c>
      <c r="AU9" s="151">
        <v>334147</v>
      </c>
      <c r="AW9" s="154"/>
    </row>
    <row r="10" spans="1:49">
      <c r="B10" s="1" t="s">
        <v>317</v>
      </c>
      <c r="C10" s="146">
        <v>1557</v>
      </c>
      <c r="D10" s="151">
        <v>2039</v>
      </c>
      <c r="E10" s="151">
        <v>3269</v>
      </c>
      <c r="F10" s="151">
        <v>4592</v>
      </c>
      <c r="G10" s="151">
        <v>5791</v>
      </c>
      <c r="H10" s="151">
        <v>19925</v>
      </c>
      <c r="I10" s="151">
        <v>76944</v>
      </c>
      <c r="J10" s="151">
        <v>79282</v>
      </c>
      <c r="K10" s="151">
        <v>132489</v>
      </c>
      <c r="L10" s="151">
        <v>132489</v>
      </c>
      <c r="M10" s="20">
        <f>SUM(AR10:AU10)</f>
        <v>197719</v>
      </c>
      <c r="N10" s="282"/>
      <c r="O10" s="151">
        <v>1318</v>
      </c>
      <c r="P10" s="151">
        <v>656</v>
      </c>
      <c r="Q10" s="151">
        <v>946</v>
      </c>
      <c r="R10" s="154">
        <f>E10-Q10-P10-O10</f>
        <v>349</v>
      </c>
      <c r="S10" s="151">
        <v>1703</v>
      </c>
      <c r="T10" s="151">
        <v>889</v>
      </c>
      <c r="U10" s="151">
        <v>1055</v>
      </c>
      <c r="V10" s="154">
        <f>F10-U10-T10-S10</f>
        <v>945</v>
      </c>
      <c r="W10" s="151">
        <v>2600</v>
      </c>
      <c r="X10" s="151">
        <v>82</v>
      </c>
      <c r="Y10" s="151">
        <v>1258</v>
      </c>
      <c r="Z10" s="154">
        <f>G10-Y10-X10-W10</f>
        <v>1851</v>
      </c>
      <c r="AA10" s="151">
        <v>4250</v>
      </c>
      <c r="AB10" s="151">
        <v>1810</v>
      </c>
      <c r="AC10" s="151">
        <v>3665</v>
      </c>
      <c r="AD10" s="20">
        <f>H10-AC10-AB10-AA10</f>
        <v>10200</v>
      </c>
      <c r="AE10" s="151">
        <v>10456</v>
      </c>
      <c r="AF10" s="151">
        <v>8060</v>
      </c>
      <c r="AG10" s="151">
        <v>9917</v>
      </c>
      <c r="AH10" s="20">
        <f>I10-AE10-AF10-AG10</f>
        <v>48511</v>
      </c>
      <c r="AI10" s="151">
        <v>10651</v>
      </c>
      <c r="AJ10" s="151">
        <v>28210</v>
      </c>
      <c r="AK10" s="151">
        <v>9446.2000000000007</v>
      </c>
      <c r="AL10" s="20">
        <f>J10-AI10-AJ10-AK10</f>
        <v>30974.799999999999</v>
      </c>
      <c r="AM10" s="151">
        <v>36815</v>
      </c>
      <c r="AN10" s="151">
        <v>8954</v>
      </c>
      <c r="AO10" s="151">
        <v>22986</v>
      </c>
      <c r="AP10" s="20">
        <f>K10-AM10-AN10-AO10</f>
        <v>63734</v>
      </c>
      <c r="AQ10" s="151">
        <v>53977</v>
      </c>
      <c r="AR10" s="151">
        <v>26184</v>
      </c>
      <c r="AS10" s="151">
        <v>36644</v>
      </c>
      <c r="AT10" s="151">
        <v>64664</v>
      </c>
      <c r="AU10" s="151">
        <v>70227</v>
      </c>
    </row>
    <row r="11" spans="1:49">
      <c r="B11" s="1" t="s">
        <v>318</v>
      </c>
      <c r="C11" s="155">
        <f t="shared" ref="C11:G11" si="0">C10/C9</f>
        <v>0.13726527373710659</v>
      </c>
      <c r="D11" s="155">
        <f t="shared" si="0"/>
        <v>0.14356121946067732</v>
      </c>
      <c r="E11" s="155">
        <f t="shared" si="0"/>
        <v>0.14567087028207298</v>
      </c>
      <c r="F11" s="155">
        <f t="shared" si="0"/>
        <v>0.14547297725400749</v>
      </c>
      <c r="G11" s="155">
        <f t="shared" si="0"/>
        <v>0.15345681956700322</v>
      </c>
      <c r="H11" s="155">
        <f t="shared" ref="H11:I11" si="1">H10/H9</f>
        <v>0.15493297253584648</v>
      </c>
      <c r="I11" s="155">
        <f t="shared" si="1"/>
        <v>0.17415749410941883</v>
      </c>
      <c r="J11" s="155">
        <f t="shared" ref="J11" si="2">J10/J9</f>
        <v>0.18685452205761044</v>
      </c>
      <c r="K11" s="155">
        <f t="shared" ref="K11" si="3">K10/K9</f>
        <v>0.1602188832118995</v>
      </c>
      <c r="L11" s="155">
        <f t="shared" ref="L11:M11" si="4">L10/L9</f>
        <v>0.1602188832118995</v>
      </c>
      <c r="M11" s="155">
        <f t="shared" si="4"/>
        <v>0.17123628162846771</v>
      </c>
      <c r="N11" s="155"/>
      <c r="O11" s="155">
        <f t="shared" ref="O11:U11" si="5">O10/O9</f>
        <v>0.17995630802839979</v>
      </c>
      <c r="P11" s="155">
        <f t="shared" si="5"/>
        <v>0.1111675987120827</v>
      </c>
      <c r="Q11" s="155">
        <f t="shared" si="5"/>
        <v>0.14238410596026491</v>
      </c>
      <c r="R11" s="155">
        <f t="shared" si="5"/>
        <v>0.13569206842923795</v>
      </c>
      <c r="S11" s="155">
        <f t="shared" si="5"/>
        <v>0.1824121679520137</v>
      </c>
      <c r="T11" s="155">
        <f t="shared" si="5"/>
        <v>0.11892976588628762</v>
      </c>
      <c r="U11" s="155">
        <f t="shared" si="5"/>
        <v>0.12116687722522108</v>
      </c>
      <c r="V11" s="155">
        <f t="shared" ref="V11" si="6">V10/V9</f>
        <v>0.15625</v>
      </c>
      <c r="W11" s="155">
        <f t="shared" ref="W11:X11" si="7">W10/W9</f>
        <v>0.211691906855561</v>
      </c>
      <c r="X11" s="155">
        <f t="shared" si="7"/>
        <v>1.056020605280103E-2</v>
      </c>
      <c r="Y11" s="155">
        <f t="shared" ref="Y11:AB11" si="8">Y10/Y9</f>
        <v>0.16234352819718673</v>
      </c>
      <c r="Z11" s="155">
        <f t="shared" si="8"/>
        <v>0.18619857157227643</v>
      </c>
      <c r="AA11" s="155">
        <f t="shared" si="8"/>
        <v>0.21350346629157038</v>
      </c>
      <c r="AB11" s="155">
        <f t="shared" si="8"/>
        <v>0.10786650774731824</v>
      </c>
      <c r="AC11" s="155">
        <f t="shared" ref="AC11:AF11" si="9">AC10/AC9</f>
        <v>0.14589387365152662</v>
      </c>
      <c r="AD11" s="155">
        <f t="shared" si="9"/>
        <v>0.15270146862883063</v>
      </c>
      <c r="AE11" s="155">
        <f t="shared" si="9"/>
        <v>0.2332106613137058</v>
      </c>
      <c r="AF11" s="155">
        <f t="shared" si="9"/>
        <v>0.1703224715777017</v>
      </c>
      <c r="AG11" s="155">
        <f t="shared" ref="AG11:AJ11" si="10">AG10/AG9</f>
        <v>0.15122219003034507</v>
      </c>
      <c r="AH11" s="155">
        <f t="shared" si="10"/>
        <v>0.1707706876097877</v>
      </c>
      <c r="AI11" s="155">
        <f t="shared" si="10"/>
        <v>0.23033173305652871</v>
      </c>
      <c r="AJ11" s="155">
        <f t="shared" si="10"/>
        <v>0.17333546341583306</v>
      </c>
      <c r="AK11" s="155">
        <f t="shared" ref="AK11:AN11" si="11">AK10/AK9</f>
        <v>0.15159325210871602</v>
      </c>
      <c r="AL11" s="155">
        <f t="shared" si="11"/>
        <v>0.2024560247641756</v>
      </c>
      <c r="AM11" s="155">
        <f t="shared" si="11"/>
        <v>0.23856891054718887</v>
      </c>
      <c r="AN11" s="155">
        <f t="shared" si="11"/>
        <v>7.1096218894411714E-2</v>
      </c>
      <c r="AO11" s="155">
        <f t="shared" ref="AO11:AR11" si="12">AO10/AO9</f>
        <v>0.12544272780357893</v>
      </c>
      <c r="AP11" s="155">
        <f t="shared" si="12"/>
        <v>0.17536898642922394</v>
      </c>
      <c r="AQ11" s="155">
        <f t="shared" si="12"/>
        <v>0.20288215417344796</v>
      </c>
      <c r="AR11" s="155">
        <f t="shared" si="12"/>
        <v>0.11911022153482237</v>
      </c>
      <c r="AS11" s="155">
        <f t="shared" ref="AS11:AT12" si="13">AS10/AS9</f>
        <v>0.14788567554260532</v>
      </c>
      <c r="AT11" s="155">
        <f t="shared" si="13"/>
        <v>0.18323967888283418</v>
      </c>
      <c r="AU11" s="155">
        <f t="shared" ref="AU11" si="14">AU10/AU9</f>
        <v>0.21016797996091541</v>
      </c>
    </row>
    <row r="12" spans="1:49">
      <c r="B12" s="1" t="s">
        <v>319</v>
      </c>
      <c r="C12" s="152">
        <v>3.49</v>
      </c>
      <c r="D12" s="153">
        <v>4.04</v>
      </c>
      <c r="E12" s="153">
        <v>2.95</v>
      </c>
      <c r="F12" s="153">
        <v>2.96</v>
      </c>
      <c r="G12" s="153">
        <v>2.69</v>
      </c>
      <c r="H12" s="153">
        <v>3.44</v>
      </c>
      <c r="I12" s="153">
        <v>4</v>
      </c>
      <c r="J12" s="153">
        <v>2.7</v>
      </c>
      <c r="K12" s="153">
        <v>4.6399999999999997</v>
      </c>
      <c r="L12" s="153">
        <v>4.6399999999999997</v>
      </c>
      <c r="M12" s="49">
        <f>AVERAGE(AR12:AU12)</f>
        <v>4.6675000000000004</v>
      </c>
      <c r="N12" s="153"/>
      <c r="O12" s="153">
        <v>4.01</v>
      </c>
      <c r="P12" s="153">
        <v>3.14</v>
      </c>
      <c r="Q12" s="153">
        <v>2.29</v>
      </c>
      <c r="R12" s="49">
        <f>((E12*E8)-(O12*O8)-(P12*P8)-(Q12*Q8))/R8</f>
        <v>2.1686792452830197</v>
      </c>
      <c r="S12" s="153">
        <v>2.91</v>
      </c>
      <c r="T12" s="153">
        <v>3.26</v>
      </c>
      <c r="U12" s="153">
        <v>2.71</v>
      </c>
      <c r="V12" s="49">
        <f>((F12*F8)-(S12*S8)-(T12*T8)-(U12*U8))/V8</f>
        <v>2.9805882352941171</v>
      </c>
      <c r="W12" s="153">
        <v>2.92</v>
      </c>
      <c r="X12" s="153">
        <v>2.5</v>
      </c>
      <c r="Y12" s="153">
        <v>2.59</v>
      </c>
      <c r="Z12" s="49">
        <f>((G12*G8)-(W12*W8)-(X12*X8)-(Y12*Y8))/Z8</f>
        <v>2.6679245283018873</v>
      </c>
      <c r="AA12" s="153">
        <v>2.85</v>
      </c>
      <c r="AB12" s="153">
        <v>3.02</v>
      </c>
      <c r="AC12" s="153">
        <v>3.26</v>
      </c>
      <c r="AD12" s="49">
        <f>((H12*H8)-(AA12*AA8)-(AB12*AB8)-(AC12*AC8))/AD8</f>
        <v>4.3749999999999991</v>
      </c>
      <c r="AE12" s="153">
        <v>3.66</v>
      </c>
      <c r="AF12" s="153">
        <v>3.85</v>
      </c>
      <c r="AG12" s="153">
        <v>4.04</v>
      </c>
      <c r="AH12" s="49">
        <v>4.05</v>
      </c>
      <c r="AI12" s="153">
        <v>4.07</v>
      </c>
      <c r="AJ12" s="153">
        <v>4.13</v>
      </c>
      <c r="AK12" s="153">
        <v>4.01</v>
      </c>
      <c r="AL12" s="153">
        <v>2.76</v>
      </c>
      <c r="AM12" s="153">
        <v>4.3099999999999996</v>
      </c>
      <c r="AN12" s="153">
        <v>4.38</v>
      </c>
      <c r="AO12" s="153">
        <v>4.4400000000000004</v>
      </c>
      <c r="AP12" s="153">
        <v>4.46</v>
      </c>
      <c r="AQ12" s="153">
        <v>4.8899999999999997</v>
      </c>
      <c r="AR12" s="153">
        <v>4.68</v>
      </c>
      <c r="AS12" s="153">
        <v>4.41</v>
      </c>
      <c r="AT12" s="153">
        <v>4.53</v>
      </c>
      <c r="AU12" s="153">
        <v>5.05</v>
      </c>
    </row>
    <row r="13" spans="1:49">
      <c r="B13" s="1" t="s">
        <v>320</v>
      </c>
      <c r="C13" s="152">
        <v>0.48</v>
      </c>
      <c r="D13" s="153">
        <v>0.57999999999999996</v>
      </c>
      <c r="E13" s="153">
        <v>0.43</v>
      </c>
      <c r="F13" s="153">
        <v>0.43</v>
      </c>
      <c r="G13" s="153">
        <v>0.41</v>
      </c>
      <c r="H13" s="153">
        <v>0.53</v>
      </c>
      <c r="I13" s="153">
        <v>0.7</v>
      </c>
      <c r="J13" s="153">
        <v>0.5</v>
      </c>
      <c r="K13" s="153">
        <v>0.74</v>
      </c>
      <c r="L13" s="153">
        <v>0.74</v>
      </c>
      <c r="M13" s="49">
        <f>AVERAGE(AR13:AU13)</f>
        <v>0.77500000000000002</v>
      </c>
      <c r="N13" s="153"/>
      <c r="O13" s="153">
        <v>0.72</v>
      </c>
      <c r="P13" s="153">
        <v>0.35</v>
      </c>
      <c r="Q13" s="153">
        <v>0.32</v>
      </c>
      <c r="R13" s="49">
        <f>((E13*E8)-(O13*O8)-(P13*P8)-(Q13*Q8))/R8</f>
        <v>0.26207547169811329</v>
      </c>
      <c r="S13" s="153">
        <v>0.53</v>
      </c>
      <c r="T13" s="153">
        <v>0.39</v>
      </c>
      <c r="U13" s="153">
        <v>0.33</v>
      </c>
      <c r="V13" s="49">
        <f>((F13*F8)-(S13*S8)-(T13*T8)-(U13*U8))/V8</f>
        <v>0.44215686274509786</v>
      </c>
      <c r="W13" s="153">
        <v>0.62</v>
      </c>
      <c r="X13" s="153">
        <v>0.03</v>
      </c>
      <c r="Y13" s="153">
        <v>0.42</v>
      </c>
      <c r="Z13" s="49">
        <f>((G13*G9)-(W13*W9)-(X13*X9)-(Y13*Y9))/Z9</f>
        <v>0.43957348355296233</v>
      </c>
      <c r="AA13" s="153">
        <v>0.61</v>
      </c>
      <c r="AB13" s="153">
        <v>0.33</v>
      </c>
      <c r="AC13" s="153">
        <v>0.48</v>
      </c>
      <c r="AD13" s="49">
        <f>((H13*H9)-(AA13*AA9)-(AB13*AB9)-(AC13*AC9))/AD9</f>
        <v>0.57520517388505477</v>
      </c>
      <c r="AE13" s="153">
        <v>0.85</v>
      </c>
      <c r="AF13" s="153">
        <v>0.66</v>
      </c>
      <c r="AG13" s="153">
        <v>0.61</v>
      </c>
      <c r="AH13" s="49">
        <v>0.57999999999999996</v>
      </c>
      <c r="AI13" s="153">
        <v>0.94</v>
      </c>
      <c r="AJ13" s="153">
        <v>0.72</v>
      </c>
      <c r="AK13" s="153">
        <v>0.61</v>
      </c>
      <c r="AL13" s="153">
        <v>0.52</v>
      </c>
      <c r="AM13" s="153">
        <v>1.03</v>
      </c>
      <c r="AN13" s="153">
        <v>0.31</v>
      </c>
      <c r="AO13" s="153">
        <v>0.56000000000000005</v>
      </c>
      <c r="AP13" s="153">
        <v>0.77</v>
      </c>
      <c r="AQ13" s="153">
        <v>0.99</v>
      </c>
      <c r="AR13" s="153">
        <v>0.56000000000000005</v>
      </c>
      <c r="AS13" s="153">
        <v>0.65</v>
      </c>
      <c r="AT13" s="153">
        <v>0.83</v>
      </c>
      <c r="AU13" s="153">
        <v>1.06</v>
      </c>
    </row>
    <row r="14" spans="1:49">
      <c r="B14" s="1" t="s">
        <v>321</v>
      </c>
      <c r="C14" s="1">
        <v>62</v>
      </c>
      <c r="D14" s="76">
        <v>49</v>
      </c>
      <c r="E14" s="76">
        <v>43</v>
      </c>
      <c r="F14" s="76">
        <v>29</v>
      </c>
      <c r="G14" s="76">
        <v>23</v>
      </c>
      <c r="H14" s="76">
        <v>38</v>
      </c>
      <c r="I14" s="76">
        <v>44</v>
      </c>
      <c r="J14" s="76">
        <v>51</v>
      </c>
      <c r="K14" s="76">
        <v>90</v>
      </c>
      <c r="L14" s="76">
        <v>90</v>
      </c>
      <c r="M14" s="1">
        <f>SUM(AR14:AU14)</f>
        <v>52</v>
      </c>
      <c r="N14" s="282"/>
      <c r="O14" s="76">
        <v>8</v>
      </c>
      <c r="P14" s="76">
        <v>12</v>
      </c>
      <c r="Q14" s="76">
        <v>6</v>
      </c>
      <c r="R14" s="20">
        <f>E14-Q14-P14-O14</f>
        <v>17</v>
      </c>
      <c r="S14" s="76">
        <v>8</v>
      </c>
      <c r="T14" s="76">
        <v>11</v>
      </c>
      <c r="U14" s="76">
        <v>5</v>
      </c>
      <c r="V14" s="20">
        <f>F14-U14-T14-S14</f>
        <v>5</v>
      </c>
      <c r="W14" s="76">
        <v>5</v>
      </c>
      <c r="X14" s="76">
        <v>4</v>
      </c>
      <c r="Y14" s="76">
        <v>6</v>
      </c>
      <c r="Z14" s="154">
        <f>G14-Y14-X14-W14</f>
        <v>8</v>
      </c>
      <c r="AA14" s="76">
        <v>9</v>
      </c>
      <c r="AB14" s="76">
        <v>6</v>
      </c>
      <c r="AC14" s="76">
        <v>18</v>
      </c>
      <c r="AD14" s="154">
        <f>H14-AC14-AB14-AA14</f>
        <v>5</v>
      </c>
      <c r="AE14" s="76">
        <v>6</v>
      </c>
      <c r="AF14" s="76">
        <v>15</v>
      </c>
      <c r="AG14" s="76">
        <v>13</v>
      </c>
      <c r="AH14" s="154">
        <v>9</v>
      </c>
      <c r="AI14" s="76">
        <v>11</v>
      </c>
      <c r="AJ14" s="76">
        <v>18</v>
      </c>
      <c r="AK14" s="76">
        <v>16</v>
      </c>
      <c r="AL14" s="76">
        <v>8</v>
      </c>
      <c r="AM14" s="76">
        <v>18</v>
      </c>
      <c r="AN14" s="76">
        <v>29</v>
      </c>
      <c r="AO14" s="76">
        <v>18</v>
      </c>
      <c r="AP14" s="76">
        <v>29</v>
      </c>
      <c r="AQ14" s="76">
        <v>13</v>
      </c>
      <c r="AR14" s="76">
        <v>11</v>
      </c>
      <c r="AS14" s="76">
        <v>10</v>
      </c>
      <c r="AT14" s="76">
        <v>15</v>
      </c>
      <c r="AU14" s="76">
        <v>16</v>
      </c>
    </row>
    <row r="16" spans="1:49">
      <c r="B16" s="5" t="s">
        <v>322</v>
      </c>
    </row>
    <row r="17" spans="2:47">
      <c r="B17" s="1" t="s">
        <v>315</v>
      </c>
      <c r="C17" s="76">
        <v>266</v>
      </c>
      <c r="D17" s="76">
        <v>249</v>
      </c>
      <c r="E17" s="76">
        <v>249</v>
      </c>
      <c r="F17" s="76">
        <v>259</v>
      </c>
      <c r="G17" s="76">
        <v>265</v>
      </c>
      <c r="H17" s="76">
        <v>266</v>
      </c>
      <c r="I17" s="76">
        <v>278</v>
      </c>
      <c r="J17" s="196">
        <v>300.89999999999998</v>
      </c>
      <c r="K17" s="196">
        <v>340</v>
      </c>
      <c r="L17" s="196">
        <v>340</v>
      </c>
      <c r="M17" s="20">
        <f>SUM(AR17:AU17)</f>
        <v>360</v>
      </c>
      <c r="N17" s="281"/>
      <c r="O17" s="76">
        <v>65</v>
      </c>
      <c r="P17" s="76">
        <v>56</v>
      </c>
      <c r="Q17" s="76">
        <v>56</v>
      </c>
      <c r="R17" s="20">
        <f>E17-Q17-P17-O17</f>
        <v>72</v>
      </c>
      <c r="S17" s="76">
        <v>66</v>
      </c>
      <c r="T17" s="76">
        <v>58</v>
      </c>
      <c r="U17" s="76">
        <v>62</v>
      </c>
      <c r="V17" s="20">
        <f>F17-U17-T17-S17</f>
        <v>73</v>
      </c>
      <c r="W17" s="76">
        <v>67</v>
      </c>
      <c r="X17" s="76">
        <v>54</v>
      </c>
      <c r="Y17" s="76">
        <v>65</v>
      </c>
      <c r="Z17" s="20">
        <f>G17-Y17-X17-W17</f>
        <v>79</v>
      </c>
      <c r="AA17" s="76">
        <v>68</v>
      </c>
      <c r="AB17" s="76">
        <v>63</v>
      </c>
      <c r="AC17" s="76">
        <v>64</v>
      </c>
      <c r="AD17" s="20">
        <f>H17-AC17-AB17-AA17</f>
        <v>71</v>
      </c>
      <c r="AE17" s="76">
        <v>67</v>
      </c>
      <c r="AF17" s="76">
        <v>64</v>
      </c>
      <c r="AG17" s="76">
        <v>67</v>
      </c>
      <c r="AH17" s="20">
        <f>I17-AE17-AF17-AG17</f>
        <v>80</v>
      </c>
      <c r="AI17" s="76">
        <v>73</v>
      </c>
      <c r="AJ17" s="76">
        <v>68.2</v>
      </c>
      <c r="AK17" s="196">
        <v>70.400000000000006</v>
      </c>
      <c r="AL17" s="20">
        <f>J17-AI17-AJ17-AK17</f>
        <v>89.299999999999983</v>
      </c>
      <c r="AM17" s="76">
        <v>80.5</v>
      </c>
      <c r="AN17" s="76">
        <v>81.8</v>
      </c>
      <c r="AO17" s="196">
        <v>70.400000000000006</v>
      </c>
      <c r="AP17" s="20">
        <f>K17-AM17-AN17-AO17</f>
        <v>107.29999999999998</v>
      </c>
      <c r="AQ17" s="196">
        <v>91</v>
      </c>
      <c r="AR17" s="196">
        <v>83</v>
      </c>
      <c r="AS17" s="196">
        <v>86</v>
      </c>
      <c r="AT17" s="196">
        <v>98</v>
      </c>
      <c r="AU17" s="196">
        <v>93</v>
      </c>
    </row>
    <row r="18" spans="2:47">
      <c r="B18" s="1" t="s">
        <v>323</v>
      </c>
      <c r="C18" s="151">
        <v>3037</v>
      </c>
      <c r="D18" s="151">
        <v>2976</v>
      </c>
      <c r="E18" s="151">
        <v>3062</v>
      </c>
      <c r="F18" s="151">
        <v>3467</v>
      </c>
      <c r="G18" s="151">
        <v>3758</v>
      </c>
      <c r="H18" s="151">
        <v>3833</v>
      </c>
      <c r="I18" s="151">
        <v>3753</v>
      </c>
      <c r="J18" s="151">
        <v>4404</v>
      </c>
      <c r="K18" s="151">
        <v>5194</v>
      </c>
      <c r="L18" s="151">
        <v>5194</v>
      </c>
      <c r="M18" s="20">
        <f>SUM(AR18:AU18)</f>
        <v>5839</v>
      </c>
      <c r="N18" s="282"/>
      <c r="O18" s="151">
        <v>809</v>
      </c>
      <c r="P18" s="151">
        <v>683</v>
      </c>
      <c r="Q18" s="151">
        <v>668</v>
      </c>
      <c r="R18" s="154">
        <f>E18-Q18-P18-O18</f>
        <v>902</v>
      </c>
      <c r="S18" s="151">
        <v>877</v>
      </c>
      <c r="T18" s="151">
        <v>754</v>
      </c>
      <c r="U18" s="151">
        <v>837</v>
      </c>
      <c r="V18" s="154">
        <f>F18-U18-T18-S18</f>
        <v>999</v>
      </c>
      <c r="W18" s="151">
        <v>938</v>
      </c>
      <c r="X18" s="151">
        <v>737</v>
      </c>
      <c r="Y18" s="151">
        <v>943</v>
      </c>
      <c r="Z18" s="154">
        <f>G18-Y18-X18-W18</f>
        <v>1140</v>
      </c>
      <c r="AA18" s="151">
        <v>1033</v>
      </c>
      <c r="AB18" s="151">
        <v>951</v>
      </c>
      <c r="AC18" s="151">
        <v>968</v>
      </c>
      <c r="AD18" s="20">
        <f>H18-AC18-AB18-AA18</f>
        <v>881</v>
      </c>
      <c r="AE18" s="151">
        <v>828</v>
      </c>
      <c r="AF18" s="151">
        <v>894</v>
      </c>
      <c r="AG18" s="151">
        <v>919</v>
      </c>
      <c r="AH18" s="20">
        <f>I18-AE18-AF18-AG18</f>
        <v>1112</v>
      </c>
      <c r="AI18" s="151">
        <v>1035</v>
      </c>
      <c r="AJ18" s="151">
        <v>984</v>
      </c>
      <c r="AK18" s="151">
        <v>1036.3</v>
      </c>
      <c r="AL18" s="20">
        <f>J18-AI18-AJ18-AK18</f>
        <v>1348.7</v>
      </c>
      <c r="AM18" s="151">
        <v>1218</v>
      </c>
      <c r="AN18" s="151">
        <v>1217</v>
      </c>
      <c r="AO18" s="151">
        <v>1036.3</v>
      </c>
      <c r="AP18" s="20">
        <f>K18-AM18-AN18-AO18</f>
        <v>1722.7</v>
      </c>
      <c r="AQ18" s="151">
        <v>1429</v>
      </c>
      <c r="AR18" s="151">
        <v>1321</v>
      </c>
      <c r="AS18" s="151">
        <v>1368</v>
      </c>
      <c r="AT18" s="151">
        <v>1620</v>
      </c>
      <c r="AU18" s="151">
        <v>1530</v>
      </c>
    </row>
    <row r="19" spans="2:47">
      <c r="B19" s="1" t="s">
        <v>324</v>
      </c>
      <c r="C19" s="76">
        <v>501</v>
      </c>
      <c r="D19" s="76">
        <v>551</v>
      </c>
      <c r="E19" s="76">
        <v>600</v>
      </c>
      <c r="F19" s="76">
        <v>671</v>
      </c>
      <c r="G19" s="76">
        <v>763</v>
      </c>
      <c r="H19" s="76">
        <v>659</v>
      </c>
      <c r="I19" s="76">
        <v>666</v>
      </c>
      <c r="J19" s="76">
        <v>825</v>
      </c>
      <c r="K19" s="76">
        <v>1090</v>
      </c>
      <c r="L19" s="76">
        <v>1090</v>
      </c>
      <c r="M19" s="20">
        <f>SUM(AR19:AU19)</f>
        <v>1324</v>
      </c>
      <c r="N19" s="282"/>
      <c r="O19" s="76">
        <v>174</v>
      </c>
      <c r="P19" s="76">
        <v>115</v>
      </c>
      <c r="Q19" s="76">
        <v>111</v>
      </c>
      <c r="R19" s="20">
        <f>E19-Q19-P19-O19</f>
        <v>200</v>
      </c>
      <c r="S19" s="76">
        <v>193</v>
      </c>
      <c r="T19" s="76">
        <v>127</v>
      </c>
      <c r="U19" s="76">
        <v>122</v>
      </c>
      <c r="V19" s="20">
        <f>F19-U19-T19-S19</f>
        <v>229</v>
      </c>
      <c r="W19" s="76">
        <v>156</v>
      </c>
      <c r="X19" s="76">
        <v>123</v>
      </c>
      <c r="Y19" s="76">
        <v>203</v>
      </c>
      <c r="Z19" s="154">
        <f>G19-Y19-X19-W19</f>
        <v>281</v>
      </c>
      <c r="AA19" s="76">
        <v>179</v>
      </c>
      <c r="AB19" s="76">
        <v>142</v>
      </c>
      <c r="AC19" s="76">
        <v>134</v>
      </c>
      <c r="AD19" s="20">
        <f>H19-AC19-AB19-AA19</f>
        <v>204</v>
      </c>
      <c r="AE19" s="76">
        <v>142</v>
      </c>
      <c r="AF19" s="76">
        <v>155</v>
      </c>
      <c r="AG19" s="76">
        <v>141</v>
      </c>
      <c r="AH19" s="20">
        <f>I19-AE19-AF19-AG19</f>
        <v>228</v>
      </c>
      <c r="AI19" s="76">
        <v>175</v>
      </c>
      <c r="AJ19" s="76">
        <v>185</v>
      </c>
      <c r="AK19" s="76">
        <v>192.1</v>
      </c>
      <c r="AL19" s="20">
        <f>J19-AI19-AJ19-AK19</f>
        <v>272.89999999999998</v>
      </c>
      <c r="AM19" s="76">
        <v>256</v>
      </c>
      <c r="AN19" s="76">
        <v>289</v>
      </c>
      <c r="AO19" s="76">
        <v>192.1</v>
      </c>
      <c r="AP19" s="20">
        <f>K19-AM19-AN19-AO19</f>
        <v>352.9</v>
      </c>
      <c r="AQ19" s="76">
        <v>295</v>
      </c>
      <c r="AR19" s="76">
        <v>289</v>
      </c>
      <c r="AS19" s="76">
        <v>280</v>
      </c>
      <c r="AT19" s="76">
        <v>387</v>
      </c>
      <c r="AU19" s="76">
        <v>368</v>
      </c>
    </row>
    <row r="20" spans="2:47">
      <c r="B20" s="1" t="s">
        <v>318</v>
      </c>
      <c r="C20" s="155">
        <f t="shared" ref="C20:G20" si="15">C19/C18</f>
        <v>0.16496542640763912</v>
      </c>
      <c r="D20" s="155">
        <f t="shared" si="15"/>
        <v>0.18514784946236559</v>
      </c>
      <c r="E20" s="155">
        <f t="shared" si="15"/>
        <v>0.19595035924232529</v>
      </c>
      <c r="F20" s="155">
        <f t="shared" si="15"/>
        <v>0.19353908278050189</v>
      </c>
      <c r="G20" s="155">
        <f t="shared" si="15"/>
        <v>0.20303352847259182</v>
      </c>
      <c r="H20" s="155">
        <f t="shared" ref="H20:I20" si="16">H19/H18</f>
        <v>0.17192799373858597</v>
      </c>
      <c r="I20" s="155">
        <f t="shared" si="16"/>
        <v>0.17745803357314149</v>
      </c>
      <c r="J20" s="155">
        <f t="shared" ref="J20" si="17">J19/J18</f>
        <v>0.18732970027247955</v>
      </c>
      <c r="K20" s="155">
        <f t="shared" ref="K20" si="18">K19/K18</f>
        <v>0.2098575279168271</v>
      </c>
      <c r="L20" s="155">
        <f t="shared" ref="L20:M20" si="19">L19/L18</f>
        <v>0.2098575279168271</v>
      </c>
      <c r="M20" s="155">
        <f t="shared" si="19"/>
        <v>0.22675115601986642</v>
      </c>
      <c r="N20" s="155"/>
      <c r="O20" s="155">
        <f t="shared" ref="O20:U20" si="20">O19/O18</f>
        <v>0.21508034610630408</v>
      </c>
      <c r="P20" s="155">
        <f t="shared" si="20"/>
        <v>0.16837481698389459</v>
      </c>
      <c r="Q20" s="155">
        <f t="shared" si="20"/>
        <v>0.16616766467065869</v>
      </c>
      <c r="R20" s="155">
        <f t="shared" si="20"/>
        <v>0.22172949002217296</v>
      </c>
      <c r="S20" s="155">
        <f t="shared" si="20"/>
        <v>0.22006841505131128</v>
      </c>
      <c r="T20" s="155">
        <f t="shared" si="20"/>
        <v>0.16843501326259946</v>
      </c>
      <c r="U20" s="155">
        <f t="shared" si="20"/>
        <v>0.14575866188769415</v>
      </c>
      <c r="V20" s="155">
        <f t="shared" ref="V20" si="21">V19/V18</f>
        <v>0.22922922922922923</v>
      </c>
      <c r="W20" s="155">
        <f t="shared" ref="W20:X20" si="22">W19/W18</f>
        <v>0.16631130063965885</v>
      </c>
      <c r="X20" s="155">
        <f t="shared" si="22"/>
        <v>0.16689280868385345</v>
      </c>
      <c r="Y20" s="155">
        <f t="shared" ref="Y20:AB20" si="23">Y19/Y18</f>
        <v>0.21527041357370094</v>
      </c>
      <c r="Z20" s="155">
        <f t="shared" si="23"/>
        <v>0.24649122807017543</v>
      </c>
      <c r="AA20" s="155">
        <f t="shared" si="23"/>
        <v>0.17328170377541141</v>
      </c>
      <c r="AB20" s="155">
        <f t="shared" si="23"/>
        <v>0.14931650893796003</v>
      </c>
      <c r="AC20" s="155">
        <f t="shared" ref="AC20:AF20" si="24">AC19/AC18</f>
        <v>0.13842975206611571</v>
      </c>
      <c r="AD20" s="155">
        <f t="shared" si="24"/>
        <v>0.23155505107832008</v>
      </c>
      <c r="AE20" s="155">
        <f t="shared" si="24"/>
        <v>0.17149758454106281</v>
      </c>
      <c r="AF20" s="155">
        <f t="shared" si="24"/>
        <v>0.17337807606263983</v>
      </c>
      <c r="AG20" s="155">
        <f t="shared" ref="AG20:AJ20" si="25">AG19/AG18</f>
        <v>0.15342763873775844</v>
      </c>
      <c r="AH20" s="155">
        <f t="shared" si="25"/>
        <v>0.20503597122302158</v>
      </c>
      <c r="AI20" s="155">
        <f t="shared" si="25"/>
        <v>0.16908212560386474</v>
      </c>
      <c r="AJ20" s="155">
        <f t="shared" si="25"/>
        <v>0.18800813008130082</v>
      </c>
      <c r="AK20" s="155">
        <f t="shared" ref="AK20:AN20" si="26">AK19/AK18</f>
        <v>0.18537103155456913</v>
      </c>
      <c r="AL20" s="155">
        <f t="shared" si="26"/>
        <v>0.20234299696003558</v>
      </c>
      <c r="AM20" s="155">
        <f t="shared" si="26"/>
        <v>0.21018062397372742</v>
      </c>
      <c r="AN20" s="155">
        <f t="shared" si="26"/>
        <v>0.23746918652423993</v>
      </c>
      <c r="AO20" s="155">
        <f t="shared" ref="AO20:AR20" si="27">AO19/AO18</f>
        <v>0.18537103155456913</v>
      </c>
      <c r="AP20" s="155">
        <f t="shared" si="27"/>
        <v>0.20485284727462702</v>
      </c>
      <c r="AQ20" s="155">
        <f t="shared" si="27"/>
        <v>0.20643806857942618</v>
      </c>
      <c r="AR20" s="155">
        <f t="shared" si="27"/>
        <v>0.21877365632096896</v>
      </c>
      <c r="AS20" s="155">
        <f t="shared" ref="AS20:AT20" si="28">AS19/AS18</f>
        <v>0.2046783625730994</v>
      </c>
      <c r="AT20" s="155">
        <f t="shared" si="28"/>
        <v>0.2388888888888889</v>
      </c>
      <c r="AU20" s="155">
        <f t="shared" ref="AU20" si="29">AU19/AU18</f>
        <v>0.24052287581699347</v>
      </c>
    </row>
    <row r="21" spans="2:47">
      <c r="B21" s="1" t="s">
        <v>319</v>
      </c>
      <c r="C21" s="153">
        <v>3.28</v>
      </c>
      <c r="D21" s="153">
        <v>3.74</v>
      </c>
      <c r="E21" s="153">
        <v>3.4</v>
      </c>
      <c r="F21" s="153">
        <v>3.4</v>
      </c>
      <c r="G21" s="153">
        <v>2.76</v>
      </c>
      <c r="H21" s="153">
        <v>2.67</v>
      </c>
      <c r="I21" s="153">
        <v>2.62</v>
      </c>
      <c r="J21" s="153">
        <v>2.95</v>
      </c>
      <c r="K21" s="153">
        <v>2.83</v>
      </c>
      <c r="L21" s="153">
        <v>2.83</v>
      </c>
      <c r="M21" s="49">
        <f>AVERAGE(AR21:AU21)</f>
        <v>2.9799999999999995</v>
      </c>
      <c r="N21" s="153"/>
      <c r="O21" s="153">
        <v>3.85</v>
      </c>
      <c r="P21" s="153">
        <v>3.37</v>
      </c>
      <c r="Q21" s="153">
        <v>3.02</v>
      </c>
      <c r="R21" s="49">
        <f>((E21*E17)-(O21*O17)-(P21*P17)-(Q21*Q17))/R17</f>
        <v>3.3126388888888889</v>
      </c>
      <c r="S21" s="153">
        <v>3.53</v>
      </c>
      <c r="T21" s="153">
        <v>3.3</v>
      </c>
      <c r="U21" s="153">
        <v>3.42</v>
      </c>
      <c r="V21" s="49">
        <f>((F21*F17)-(S21*S17)-(T21*T17)-(U21*U17))/V17</f>
        <v>3.3449315068493157</v>
      </c>
      <c r="W21" s="153">
        <v>3.15</v>
      </c>
      <c r="X21" s="153">
        <v>2.52</v>
      </c>
      <c r="Y21" s="153">
        <v>2.69</v>
      </c>
      <c r="Z21" s="49">
        <f>((G21*G17)-(W21*W17)-(X21*X17)-(Y21*Y17))/Z17</f>
        <v>2.6508860759493671</v>
      </c>
      <c r="AA21" s="153">
        <v>2.76</v>
      </c>
      <c r="AB21" s="153">
        <v>2.85</v>
      </c>
      <c r="AC21" s="153">
        <v>2.9</v>
      </c>
      <c r="AD21" s="49">
        <f>((H21*H17)-(AA21*AA17)-(AB21*AB17)-(AC21*AC17))/AD17</f>
        <v>2.2167605633802827</v>
      </c>
      <c r="AE21" s="153">
        <v>2.38</v>
      </c>
      <c r="AF21" s="153">
        <v>2.83</v>
      </c>
      <c r="AG21" s="153">
        <v>2.61</v>
      </c>
      <c r="AH21" s="49">
        <f>((I21*I17)-(AE21*AE17)-(AF21*AF17)-(AG21*AG17))/AH17</f>
        <v>2.6613750000000009</v>
      </c>
      <c r="AI21" s="153">
        <v>2.71</v>
      </c>
      <c r="AJ21" s="153">
        <v>2.91</v>
      </c>
      <c r="AK21" s="153">
        <v>3.02</v>
      </c>
      <c r="AL21" s="153">
        <v>3.06</v>
      </c>
      <c r="AM21" s="153">
        <v>3.05</v>
      </c>
      <c r="AN21" s="153">
        <v>2.86</v>
      </c>
      <c r="AO21" s="153">
        <v>2.71</v>
      </c>
      <c r="AP21" s="153">
        <v>2.73</v>
      </c>
      <c r="AQ21" s="153">
        <v>2.68</v>
      </c>
      <c r="AR21" s="153">
        <v>2.82</v>
      </c>
      <c r="AS21" s="153">
        <v>2.94</v>
      </c>
      <c r="AT21" s="153">
        <v>3.05</v>
      </c>
      <c r="AU21" s="153">
        <v>3.11</v>
      </c>
    </row>
    <row r="22" spans="2:47">
      <c r="B22" s="1" t="s">
        <v>320</v>
      </c>
      <c r="C22" s="153">
        <v>0.54</v>
      </c>
      <c r="D22" s="153">
        <v>0.69</v>
      </c>
      <c r="E22" s="153">
        <v>0.67</v>
      </c>
      <c r="F22" s="153">
        <v>0.66</v>
      </c>
      <c r="G22" s="153">
        <v>0.55000000000000004</v>
      </c>
      <c r="H22" s="153">
        <v>0.46</v>
      </c>
      <c r="I22" s="153">
        <v>0.47</v>
      </c>
      <c r="J22" s="153">
        <v>0.55000000000000004</v>
      </c>
      <c r="K22" s="153">
        <v>0.6</v>
      </c>
      <c r="L22" s="153">
        <v>0.6</v>
      </c>
      <c r="M22" s="49">
        <f>AVERAGE(AR22:AU22)</f>
        <v>0.67500000000000004</v>
      </c>
      <c r="N22" s="153"/>
      <c r="O22" s="153">
        <v>0.83</v>
      </c>
      <c r="P22" s="153">
        <v>0.56999999999999995</v>
      </c>
      <c r="Q22" s="153">
        <v>0.5</v>
      </c>
      <c r="R22" s="49">
        <f>((E22*E17)-(O22*O17)-(P22*P17)-(Q22*Q17))/R17</f>
        <v>0.73555555555555585</v>
      </c>
      <c r="S22" s="153">
        <v>0.78</v>
      </c>
      <c r="T22" s="153">
        <v>0.38</v>
      </c>
      <c r="U22" s="153">
        <v>0.5</v>
      </c>
      <c r="V22" s="49">
        <f>((F22*F17)-(S22*S17)-(T22*T17)-(U22*U17))/V17</f>
        <v>0.90986301369862999</v>
      </c>
      <c r="W22" s="153">
        <v>0.53</v>
      </c>
      <c r="X22" s="153">
        <v>0.42</v>
      </c>
      <c r="Y22" s="153">
        <v>0.57999999999999996</v>
      </c>
      <c r="Z22" s="49">
        <f>((G22*G18)-(W22*W18)-(X22*X18)-(Y22*Y18))/Z18</f>
        <v>0.62568421052631584</v>
      </c>
      <c r="AA22" s="153">
        <v>0.48</v>
      </c>
      <c r="AB22" s="153">
        <v>0.43</v>
      </c>
      <c r="AC22" s="153">
        <v>0.4</v>
      </c>
      <c r="AD22" s="49">
        <f>((H22*H18)-(AA22*AA18)-(AB22*AB18)-(AC22*AC18))/AD18</f>
        <v>0.53485811577752562</v>
      </c>
      <c r="AE22" s="153">
        <v>0.41</v>
      </c>
      <c r="AF22" s="153">
        <v>0.49</v>
      </c>
      <c r="AG22" s="153">
        <v>0.4</v>
      </c>
      <c r="AH22" s="49">
        <f>((I22*I18)-(AE22*AE18)-(AF22*AF18)-(AG22*AG18))/AH18</f>
        <v>0.55644784172661854</v>
      </c>
      <c r="AI22" s="153">
        <v>0.46</v>
      </c>
      <c r="AJ22" s="153">
        <v>0.55000000000000004</v>
      </c>
      <c r="AK22" s="153">
        <v>0.56000000000000005</v>
      </c>
      <c r="AL22" s="153">
        <v>0.62</v>
      </c>
      <c r="AM22" s="153">
        <v>0.64</v>
      </c>
      <c r="AN22" s="153">
        <v>0.68</v>
      </c>
      <c r="AO22" s="153">
        <v>0.54</v>
      </c>
      <c r="AP22" s="153">
        <v>0.53</v>
      </c>
      <c r="AQ22" s="153">
        <v>0.55000000000000004</v>
      </c>
      <c r="AR22" s="153">
        <v>0.62</v>
      </c>
      <c r="AS22" s="153">
        <v>0.6</v>
      </c>
      <c r="AT22" s="153">
        <v>0.73</v>
      </c>
      <c r="AU22" s="153">
        <v>0.75</v>
      </c>
    </row>
    <row r="23" spans="2:47">
      <c r="B23" s="1" t="s">
        <v>321</v>
      </c>
      <c r="C23" s="76">
        <v>52</v>
      </c>
      <c r="D23" s="76">
        <v>112</v>
      </c>
      <c r="E23" s="76">
        <v>74</v>
      </c>
      <c r="F23" s="76">
        <v>30</v>
      </c>
      <c r="G23" s="76">
        <v>25</v>
      </c>
      <c r="H23" s="76">
        <v>37</v>
      </c>
      <c r="I23" s="76">
        <v>49</v>
      </c>
      <c r="J23" s="76">
        <v>60</v>
      </c>
      <c r="K23" s="76">
        <v>119</v>
      </c>
      <c r="L23" s="76">
        <v>119</v>
      </c>
      <c r="M23" s="1">
        <f>SUM(AR23:AU23)</f>
        <v>123</v>
      </c>
      <c r="N23" s="282"/>
      <c r="O23" s="76">
        <v>16</v>
      </c>
      <c r="P23" s="76">
        <v>11</v>
      </c>
      <c r="Q23" s="76">
        <v>14</v>
      </c>
      <c r="R23" s="20">
        <f>E23-Q23-P23-O23</f>
        <v>33</v>
      </c>
      <c r="S23" s="76">
        <v>13</v>
      </c>
      <c r="T23" s="76">
        <v>2</v>
      </c>
      <c r="U23" s="76">
        <v>7</v>
      </c>
      <c r="V23" s="20">
        <f>F23-U23-T23-S23</f>
        <v>8</v>
      </c>
      <c r="W23" s="76">
        <v>6</v>
      </c>
      <c r="X23" s="76">
        <v>6</v>
      </c>
      <c r="Y23" s="76">
        <v>4</v>
      </c>
      <c r="Z23" s="154">
        <f>G23-Y23-X23-W23</f>
        <v>9</v>
      </c>
      <c r="AA23" s="76">
        <v>4</v>
      </c>
      <c r="AB23" s="76">
        <v>10</v>
      </c>
      <c r="AC23" s="76">
        <v>7</v>
      </c>
      <c r="AD23" s="154">
        <f>H23-AC23-AB23-AA23</f>
        <v>16</v>
      </c>
      <c r="AE23" s="76">
        <v>12</v>
      </c>
      <c r="AF23" s="76">
        <v>7</v>
      </c>
      <c r="AG23" s="76">
        <v>16</v>
      </c>
      <c r="AH23" s="154">
        <f>I23-AG23-AF23-AE23</f>
        <v>14</v>
      </c>
      <c r="AI23" s="76">
        <v>7</v>
      </c>
      <c r="AJ23" s="76">
        <v>11</v>
      </c>
      <c r="AK23" s="76">
        <v>25</v>
      </c>
      <c r="AL23" s="76">
        <v>20</v>
      </c>
      <c r="AM23" s="76">
        <v>11</v>
      </c>
      <c r="AN23" s="76">
        <v>40</v>
      </c>
      <c r="AO23" s="76">
        <v>48</v>
      </c>
      <c r="AP23" s="76">
        <v>25</v>
      </c>
      <c r="AQ23" s="76">
        <v>8</v>
      </c>
      <c r="AR23" s="76">
        <v>15</v>
      </c>
      <c r="AS23" s="76">
        <v>67</v>
      </c>
      <c r="AT23" s="76">
        <v>33</v>
      </c>
      <c r="AU23" s="76">
        <v>8</v>
      </c>
    </row>
    <row r="25" spans="2:47">
      <c r="B25" s="5" t="s">
        <v>325</v>
      </c>
    </row>
    <row r="26" spans="2:47">
      <c r="B26" s="1" t="s">
        <v>315</v>
      </c>
      <c r="C26" s="76">
        <v>232</v>
      </c>
      <c r="D26" s="76">
        <v>231</v>
      </c>
      <c r="E26" s="76">
        <v>231</v>
      </c>
      <c r="F26" s="76">
        <v>240</v>
      </c>
      <c r="G26" s="76">
        <v>236</v>
      </c>
      <c r="H26" s="76">
        <v>307</v>
      </c>
      <c r="I26" s="76">
        <v>319.8</v>
      </c>
      <c r="J26" s="76">
        <v>309.89999999999998</v>
      </c>
      <c r="K26" s="76">
        <v>312</v>
      </c>
      <c r="L26" s="76">
        <v>312</v>
      </c>
      <c r="M26" s="20">
        <f>SUM(AR26:AU26)</f>
        <v>319</v>
      </c>
      <c r="N26" s="281"/>
      <c r="O26" s="76">
        <v>62</v>
      </c>
      <c r="P26" s="76">
        <v>50</v>
      </c>
      <c r="Q26" s="76">
        <v>52</v>
      </c>
      <c r="R26" s="20">
        <f>E26-Q26-P26-O26</f>
        <v>67</v>
      </c>
      <c r="S26" s="76">
        <v>65</v>
      </c>
      <c r="T26" s="76">
        <v>50</v>
      </c>
      <c r="U26" s="76">
        <v>56</v>
      </c>
      <c r="V26" s="20">
        <f>F26-U26-T26-S26</f>
        <v>69</v>
      </c>
      <c r="W26" s="76">
        <v>67</v>
      </c>
      <c r="X26" s="76">
        <v>41</v>
      </c>
      <c r="Y26" s="76">
        <v>52</v>
      </c>
      <c r="Z26" s="20">
        <f>G26-Y26-X26-W26</f>
        <v>76</v>
      </c>
      <c r="AA26" s="76">
        <v>76</v>
      </c>
      <c r="AB26" s="76">
        <v>65</v>
      </c>
      <c r="AC26" s="76">
        <v>74</v>
      </c>
      <c r="AD26" s="20">
        <f>H26-AC26-AB26-AA26</f>
        <v>92</v>
      </c>
      <c r="AE26" s="76">
        <v>88</v>
      </c>
      <c r="AF26" s="76">
        <v>70</v>
      </c>
      <c r="AG26" s="76">
        <v>72</v>
      </c>
      <c r="AH26" s="20">
        <f>I26-AE26-AF26-AG26</f>
        <v>89.800000000000011</v>
      </c>
      <c r="AI26" s="76">
        <v>87</v>
      </c>
      <c r="AJ26" s="76">
        <v>69.5</v>
      </c>
      <c r="AK26" s="196">
        <v>69.8</v>
      </c>
      <c r="AL26" s="20">
        <f>J26-AI26-AJ26-AK26</f>
        <v>83.59999999999998</v>
      </c>
      <c r="AM26" s="76">
        <v>84.9</v>
      </c>
      <c r="AN26" s="76">
        <v>65.3</v>
      </c>
      <c r="AO26" s="196">
        <v>69.8</v>
      </c>
      <c r="AP26" s="20">
        <f>K26-AM26-AN26-AO26</f>
        <v>92.000000000000014</v>
      </c>
      <c r="AQ26" s="196">
        <v>86</v>
      </c>
      <c r="AR26" s="196">
        <v>68</v>
      </c>
      <c r="AS26" s="196">
        <v>74</v>
      </c>
      <c r="AT26" s="196">
        <v>90</v>
      </c>
      <c r="AU26" s="196">
        <v>87</v>
      </c>
    </row>
    <row r="27" spans="2:47">
      <c r="B27" s="1" t="s">
        <v>326</v>
      </c>
      <c r="C27" s="151">
        <v>540427</v>
      </c>
      <c r="D27" s="151">
        <v>551873</v>
      </c>
      <c r="E27" s="151">
        <v>570939</v>
      </c>
      <c r="F27" s="151">
        <v>608952</v>
      </c>
      <c r="G27" s="151">
        <v>644762</v>
      </c>
      <c r="H27" s="151">
        <v>975296</v>
      </c>
      <c r="I27" s="151">
        <v>1123665</v>
      </c>
      <c r="J27" s="151">
        <v>1191974</v>
      </c>
      <c r="K27" s="151">
        <v>1245018</v>
      </c>
      <c r="L27" s="151">
        <v>1245018</v>
      </c>
      <c r="M27" s="20">
        <f>SUM(AR27:AU27)</f>
        <v>1329424</v>
      </c>
      <c r="N27" s="282"/>
      <c r="O27" s="151">
        <v>147712</v>
      </c>
      <c r="P27" s="151">
        <v>126228</v>
      </c>
      <c r="Q27" s="151">
        <v>130557</v>
      </c>
      <c r="R27" s="154">
        <f>E27-Q27-P27-O27</f>
        <v>166442</v>
      </c>
      <c r="S27" s="151">
        <v>156876</v>
      </c>
      <c r="T27" s="151">
        <v>132757</v>
      </c>
      <c r="U27" s="151">
        <v>141525</v>
      </c>
      <c r="V27" s="154">
        <f>F27-U27-T27-S27</f>
        <v>177794</v>
      </c>
      <c r="W27" s="151">
        <v>174452</v>
      </c>
      <c r="X27" s="151">
        <v>108890</v>
      </c>
      <c r="Y27" s="151">
        <v>144041</v>
      </c>
      <c r="Z27" s="154">
        <f>G27-Y27-X27-W27</f>
        <v>217379</v>
      </c>
      <c r="AA27" s="151">
        <v>229439</v>
      </c>
      <c r="AB27" s="151">
        <v>202548</v>
      </c>
      <c r="AC27" s="151">
        <v>243880</v>
      </c>
      <c r="AD27" s="20">
        <f>H27-AC27-AB27-AA27</f>
        <v>299429</v>
      </c>
      <c r="AE27" s="151">
        <v>290997</v>
      </c>
      <c r="AF27" s="151">
        <v>238106</v>
      </c>
      <c r="AG27" s="151">
        <v>261897</v>
      </c>
      <c r="AH27" s="20">
        <f>I27-AE27-AF27-AG27</f>
        <v>332665</v>
      </c>
      <c r="AI27" s="151">
        <v>312533</v>
      </c>
      <c r="AJ27" s="151">
        <v>270196</v>
      </c>
      <c r="AK27" s="151">
        <v>276771</v>
      </c>
      <c r="AL27" s="20">
        <f>J27-AI27-AJ27-AK27</f>
        <v>332474</v>
      </c>
      <c r="AM27" s="151">
        <v>323240</v>
      </c>
      <c r="AN27" s="151">
        <v>264979</v>
      </c>
      <c r="AO27" s="151">
        <v>276771</v>
      </c>
      <c r="AP27" s="20">
        <f>K27-AM27-AN27-AO27</f>
        <v>380028</v>
      </c>
      <c r="AQ27" s="151">
        <v>341740</v>
      </c>
      <c r="AR27" s="151">
        <v>286964</v>
      </c>
      <c r="AS27" s="151">
        <v>313615</v>
      </c>
      <c r="AT27" s="151">
        <v>376818</v>
      </c>
      <c r="AU27" s="151">
        <v>352027</v>
      </c>
    </row>
    <row r="28" spans="2:47">
      <c r="B28" s="1" t="s">
        <v>327</v>
      </c>
      <c r="C28" s="151">
        <v>112449</v>
      </c>
      <c r="D28" s="151">
        <v>115579</v>
      </c>
      <c r="E28" s="151">
        <v>124485</v>
      </c>
      <c r="F28" s="151">
        <v>134083</v>
      </c>
      <c r="G28" s="151">
        <v>141437</v>
      </c>
      <c r="H28" s="151">
        <v>173422</v>
      </c>
      <c r="I28" s="151">
        <v>175554</v>
      </c>
      <c r="J28" s="151">
        <v>184450</v>
      </c>
      <c r="K28" s="151">
        <v>189565</v>
      </c>
      <c r="L28" s="151">
        <v>189565</v>
      </c>
      <c r="M28" s="20">
        <f>SUM(AR28:AU28)</f>
        <v>211474</v>
      </c>
      <c r="N28" s="282"/>
      <c r="O28" s="151">
        <v>33316</v>
      </c>
      <c r="P28" s="151">
        <v>21155</v>
      </c>
      <c r="Q28" s="151">
        <v>24318</v>
      </c>
      <c r="R28" s="154">
        <f>E28-Q28-P28-O28</f>
        <v>45696</v>
      </c>
      <c r="S28" s="151">
        <v>31917</v>
      </c>
      <c r="T28" s="151">
        <v>23375</v>
      </c>
      <c r="U28" s="151">
        <v>27123</v>
      </c>
      <c r="V28" s="154">
        <f>F28-U28-T28-S28</f>
        <v>51668</v>
      </c>
      <c r="W28" s="151">
        <v>38324</v>
      </c>
      <c r="X28" s="151">
        <v>16272</v>
      </c>
      <c r="Y28" s="151">
        <v>26060</v>
      </c>
      <c r="Z28" s="154">
        <f>G28-Y28-X28-W28</f>
        <v>60781</v>
      </c>
      <c r="AA28" s="151">
        <v>44171</v>
      </c>
      <c r="AB28" s="151">
        <v>33370</v>
      </c>
      <c r="AC28" s="151">
        <v>38230</v>
      </c>
      <c r="AD28" s="20">
        <f>H28-AC28-AB28-AA28</f>
        <v>57651</v>
      </c>
      <c r="AE28" s="151">
        <v>47757</v>
      </c>
      <c r="AF28" s="151">
        <v>29920</v>
      </c>
      <c r="AG28" s="151">
        <v>35020</v>
      </c>
      <c r="AH28" s="20">
        <f>I28-AE28-AF28-AG28</f>
        <v>62857</v>
      </c>
      <c r="AI28" s="151">
        <v>44738</v>
      </c>
      <c r="AJ28" s="151">
        <v>34196</v>
      </c>
      <c r="AK28" s="151">
        <v>39176</v>
      </c>
      <c r="AL28" s="20">
        <f>J28-AI28-AJ28-AK28</f>
        <v>66340</v>
      </c>
      <c r="AM28" s="151">
        <v>48945</v>
      </c>
      <c r="AN28" s="151">
        <v>32840</v>
      </c>
      <c r="AO28" s="151">
        <v>39176</v>
      </c>
      <c r="AP28" s="20">
        <f>K28-AM28-AN28-AO28</f>
        <v>68604</v>
      </c>
      <c r="AQ28" s="76">
        <v>54537</v>
      </c>
      <c r="AR28" s="76">
        <v>37141</v>
      </c>
      <c r="AS28" s="76">
        <v>43248</v>
      </c>
      <c r="AT28" s="76">
        <v>70841</v>
      </c>
      <c r="AU28" s="76">
        <v>60244</v>
      </c>
    </row>
    <row r="29" spans="2:47">
      <c r="B29" s="1" t="s">
        <v>318</v>
      </c>
      <c r="C29" s="155">
        <f t="shared" ref="C29:G29" si="30">C28/C27</f>
        <v>0.20807435601848168</v>
      </c>
      <c r="D29" s="155">
        <f t="shared" si="30"/>
        <v>0.2094304305519567</v>
      </c>
      <c r="E29" s="155">
        <f t="shared" si="30"/>
        <v>0.21803555195914098</v>
      </c>
      <c r="F29" s="155">
        <f t="shared" si="30"/>
        <v>0.22018648432060325</v>
      </c>
      <c r="G29" s="155">
        <f t="shared" si="30"/>
        <v>0.21936311383115009</v>
      </c>
      <c r="H29" s="155">
        <f t="shared" ref="H29:I29" si="31">H28/H27</f>
        <v>0.17781473521884639</v>
      </c>
      <c r="I29" s="155">
        <f t="shared" si="31"/>
        <v>0.15623339696439775</v>
      </c>
      <c r="J29" s="155">
        <f t="shared" ref="J29:K29" si="32">J28/J27</f>
        <v>0.15474330815940615</v>
      </c>
      <c r="K29" s="155">
        <f t="shared" si="32"/>
        <v>0.1522588428440392</v>
      </c>
      <c r="L29" s="155">
        <f t="shared" ref="L29:M29" si="33">L28/L27</f>
        <v>0.1522588428440392</v>
      </c>
      <c r="M29" s="155">
        <f t="shared" si="33"/>
        <v>0.15907189880730302</v>
      </c>
      <c r="N29" s="155"/>
      <c r="O29" s="155">
        <f t="shared" ref="O29:U29" si="34">O28/O27</f>
        <v>0.22554701039861352</v>
      </c>
      <c r="P29" s="155">
        <f t="shared" si="34"/>
        <v>0.16759356085812974</v>
      </c>
      <c r="Q29" s="155">
        <f t="shared" si="34"/>
        <v>0.18626347112755348</v>
      </c>
      <c r="R29" s="155">
        <f t="shared" si="34"/>
        <v>0.27454608812679493</v>
      </c>
      <c r="S29" s="155">
        <f t="shared" si="34"/>
        <v>0.20345368316377266</v>
      </c>
      <c r="T29" s="155">
        <f t="shared" si="34"/>
        <v>0.17607357804108259</v>
      </c>
      <c r="U29" s="155">
        <f t="shared" si="34"/>
        <v>0.19164811870694223</v>
      </c>
      <c r="V29" s="155">
        <f t="shared" ref="V29" si="35">V28/V27</f>
        <v>0.29060598220412387</v>
      </c>
      <c r="W29" s="155">
        <f t="shared" ref="W29:X29" si="36">W28/W27</f>
        <v>0.2196822048471786</v>
      </c>
      <c r="X29" s="155">
        <f t="shared" si="36"/>
        <v>0.1494352098447975</v>
      </c>
      <c r="Y29" s="155">
        <f t="shared" ref="Y29:AB29" si="37">Y28/Y27</f>
        <v>0.18092071007560348</v>
      </c>
      <c r="Z29" s="155">
        <f t="shared" si="37"/>
        <v>0.27960842583690237</v>
      </c>
      <c r="AA29" s="155">
        <f t="shared" si="37"/>
        <v>0.19251740113930063</v>
      </c>
      <c r="AB29" s="155">
        <f t="shared" si="37"/>
        <v>0.1647510713509884</v>
      </c>
      <c r="AC29" s="155">
        <f t="shared" ref="AC29:AD29" si="38">AC28/AC27</f>
        <v>0.15675742168279483</v>
      </c>
      <c r="AD29" s="155">
        <f t="shared" si="38"/>
        <v>0.19253646106422559</v>
      </c>
      <c r="AE29" s="155">
        <f t="shared" ref="AE29:AH29" si="39">AE28/AE27</f>
        <v>0.16411509397004093</v>
      </c>
      <c r="AF29" s="155">
        <f t="shared" si="39"/>
        <v>0.12565832024392498</v>
      </c>
      <c r="AG29" s="155">
        <f t="shared" si="39"/>
        <v>0.13371669014918078</v>
      </c>
      <c r="AH29" s="155">
        <f t="shared" si="39"/>
        <v>0.1889498444380984</v>
      </c>
      <c r="AI29" s="155">
        <f t="shared" ref="AI29:AL29" si="40">AI28/AI27</f>
        <v>0.14314648373131797</v>
      </c>
      <c r="AJ29" s="155">
        <f t="shared" si="40"/>
        <v>0.12655997868214186</v>
      </c>
      <c r="AK29" s="155">
        <f t="shared" si="40"/>
        <v>0.14154662157523729</v>
      </c>
      <c r="AL29" s="155">
        <f t="shared" si="40"/>
        <v>0.19953439968238118</v>
      </c>
      <c r="AM29" s="155">
        <f t="shared" ref="AM29:AP29" si="41">AM28/AM27</f>
        <v>0.15141999752505877</v>
      </c>
      <c r="AN29" s="155">
        <f t="shared" si="41"/>
        <v>0.12393434951448982</v>
      </c>
      <c r="AO29" s="155">
        <f t="shared" si="41"/>
        <v>0.14154662157523729</v>
      </c>
      <c r="AP29" s="155">
        <f t="shared" si="41"/>
        <v>0.18052354037070953</v>
      </c>
      <c r="AQ29" s="155">
        <f t="shared" ref="AQ29:AT29" si="42">AQ28/AQ27</f>
        <v>0.15958623514952888</v>
      </c>
      <c r="AR29" s="155">
        <f t="shared" si="42"/>
        <v>0.12942738461967354</v>
      </c>
      <c r="AS29" s="155">
        <f t="shared" si="42"/>
        <v>0.13790156720820113</v>
      </c>
      <c r="AT29" s="155">
        <f t="shared" si="42"/>
        <v>0.18799791941998525</v>
      </c>
      <c r="AU29" s="155">
        <f t="shared" ref="AU29" si="43">AU28/AU27</f>
        <v>0.17113460047098661</v>
      </c>
    </row>
    <row r="30" spans="2:47">
      <c r="B30" s="1" t="s">
        <v>319</v>
      </c>
      <c r="C30" s="153">
        <v>3.44</v>
      </c>
      <c r="D30" s="153">
        <v>3.68</v>
      </c>
      <c r="E30" s="153">
        <v>3.87</v>
      </c>
      <c r="F30" s="153">
        <v>3.61</v>
      </c>
      <c r="G30" s="153">
        <v>3.44</v>
      </c>
      <c r="H30" s="153">
        <v>4.18</v>
      </c>
      <c r="I30" s="153">
        <v>4.0199999999999996</v>
      </c>
      <c r="J30" s="153">
        <v>4.58</v>
      </c>
      <c r="K30" s="153">
        <v>4.2300000000000004</v>
      </c>
      <c r="L30" s="153">
        <v>4.2300000000000004</v>
      </c>
      <c r="M30" s="49">
        <f>AVERAGE(AR30:AU30)</f>
        <v>4.4750000000000005</v>
      </c>
      <c r="N30" s="153"/>
      <c r="O30" s="153">
        <v>3.99</v>
      </c>
      <c r="P30" s="153">
        <v>4.04</v>
      </c>
      <c r="Q30" s="153">
        <v>3.81</v>
      </c>
      <c r="R30" s="49">
        <f>((E30*E26)-(O30*O26)-(P30*P26)-(Q30*Q26))/R26</f>
        <v>3.6786567164179109</v>
      </c>
      <c r="S30" s="153">
        <v>3.65</v>
      </c>
      <c r="T30" s="153">
        <v>3.87</v>
      </c>
      <c r="U30" s="153">
        <v>3.59</v>
      </c>
      <c r="V30" s="49">
        <f>((F30*F26)-(S30*S26)-(T30*T26)-(U30*U26))/V26</f>
        <v>3.4001449275362319</v>
      </c>
      <c r="W30" s="153">
        <v>3.22</v>
      </c>
      <c r="X30" s="153">
        <v>3.26</v>
      </c>
      <c r="Y30" s="153">
        <v>3.57</v>
      </c>
      <c r="Z30" s="49">
        <f>((G30*G26)-(W30*W26)-(X30*X26)-(Y30*Y26))/Z26</f>
        <v>3.6421052631578958</v>
      </c>
      <c r="AA30" s="153">
        <v>4.16</v>
      </c>
      <c r="AB30" s="153">
        <v>4.3499999999999996</v>
      </c>
      <c r="AC30" s="153">
        <v>4.24</v>
      </c>
      <c r="AD30" s="49">
        <f>((H30*H26)-(AA30*AA26)-(AB30*AB26)-(AC30*AC26))/AD26</f>
        <v>4.0281521739130426</v>
      </c>
      <c r="AE30" s="153">
        <v>4.1100000000000003</v>
      </c>
      <c r="AF30" s="153">
        <v>4.05</v>
      </c>
      <c r="AG30" s="153">
        <v>3.93</v>
      </c>
      <c r="AH30" s="49">
        <f>((I30*I26)-(AE30*AE26)-(AF30*AF26)-(AG30*AG26))/AH26</f>
        <v>3.9805790645879715</v>
      </c>
      <c r="AI30" s="153">
        <v>4.41</v>
      </c>
      <c r="AJ30" s="153">
        <v>4.8499999999999996</v>
      </c>
      <c r="AK30" s="153">
        <v>4.6500000000000004</v>
      </c>
      <c r="AL30" s="153">
        <v>4.46</v>
      </c>
      <c r="AM30" s="153">
        <v>4.0199999999999996</v>
      </c>
      <c r="AN30" s="153">
        <v>4.34</v>
      </c>
      <c r="AO30" s="153">
        <v>4.42</v>
      </c>
      <c r="AP30" s="153">
        <v>4.1900000000000004</v>
      </c>
      <c r="AQ30" s="153">
        <v>4.12</v>
      </c>
      <c r="AR30" s="153">
        <v>4.4800000000000004</v>
      </c>
      <c r="AS30" s="153">
        <v>4.3899999999999997</v>
      </c>
      <c r="AT30" s="153">
        <v>4.4800000000000004</v>
      </c>
      <c r="AU30" s="153">
        <v>4.55</v>
      </c>
    </row>
    <row r="31" spans="2:47">
      <c r="B31" s="1" t="s">
        <v>320</v>
      </c>
      <c r="C31" s="153">
        <v>0.72</v>
      </c>
      <c r="D31" s="153">
        <v>0.77</v>
      </c>
      <c r="E31" s="153">
        <v>0.84</v>
      </c>
      <c r="F31" s="153">
        <v>0.8</v>
      </c>
      <c r="G31" s="153">
        <v>0.76</v>
      </c>
      <c r="H31" s="153">
        <v>0.74</v>
      </c>
      <c r="I31" s="153">
        <v>0.63</v>
      </c>
      <c r="J31" s="153">
        <v>0.71</v>
      </c>
      <c r="K31" s="153">
        <v>0.64</v>
      </c>
      <c r="L31" s="153">
        <v>0.64</v>
      </c>
      <c r="M31" s="49">
        <f>AVERAGE(AR31:AU31)</f>
        <v>0.7024999999999999</v>
      </c>
      <c r="N31" s="153"/>
      <c r="O31" s="153">
        <v>0.9</v>
      </c>
      <c r="P31" s="153">
        <v>0.68</v>
      </c>
      <c r="Q31" s="153">
        <v>0.71</v>
      </c>
      <c r="R31" s="49">
        <f>((E31*E26)-(O31*O26)-(P31*P26)-(Q31*Q26))/R26</f>
        <v>1.0047761194029847</v>
      </c>
      <c r="S31" s="153">
        <v>0.74</v>
      </c>
      <c r="T31" s="153">
        <v>0.68</v>
      </c>
      <c r="U31" s="153">
        <v>0.69</v>
      </c>
      <c r="V31" s="49">
        <f>((F31*F26)-(S31*S26)-(T31*T26)-(U31*U26))/V26</f>
        <v>1.0327536231884058</v>
      </c>
      <c r="W31" s="153">
        <v>0.71</v>
      </c>
      <c r="X31" s="153">
        <v>0.49</v>
      </c>
      <c r="Y31" s="153">
        <v>0.65</v>
      </c>
      <c r="Z31" s="49">
        <f>((G31*G27)-(W31*W27)-(X31*X27)-(Y31*Y27))/Z27</f>
        <v>1.0082641377501966</v>
      </c>
      <c r="AA31" s="153">
        <v>0.8</v>
      </c>
      <c r="AB31" s="153">
        <v>0.72</v>
      </c>
      <c r="AC31" s="153">
        <v>0.66</v>
      </c>
      <c r="AD31" s="49">
        <f>((H31*H27)-(AA31*AA27)-(AB31*AB27)-(AC31*AC27))/AD27</f>
        <v>0.77271232913311694</v>
      </c>
      <c r="AE31" s="153">
        <v>0.67</v>
      </c>
      <c r="AF31" s="153">
        <v>0.51</v>
      </c>
      <c r="AG31" s="153">
        <v>0.53</v>
      </c>
      <c r="AH31" s="49">
        <f>((I31*I27)-(AE31*AE27)-(AF31*AF27)-(AG31*AG27))/AH27</f>
        <v>0.75962752318398374</v>
      </c>
      <c r="AI31" s="153">
        <v>0.63</v>
      </c>
      <c r="AJ31" s="153">
        <v>0.61</v>
      </c>
      <c r="AK31" s="153">
        <v>0.66</v>
      </c>
      <c r="AL31" s="153">
        <v>0.89</v>
      </c>
      <c r="AM31" s="153">
        <v>0.61</v>
      </c>
      <c r="AN31" s="153">
        <v>0.54</v>
      </c>
      <c r="AO31" s="153">
        <v>0.56999999999999995</v>
      </c>
      <c r="AP31" s="153">
        <v>0.8</v>
      </c>
      <c r="AQ31" s="153">
        <v>0.66</v>
      </c>
      <c r="AR31" s="153">
        <v>0.57999999999999996</v>
      </c>
      <c r="AS31" s="153">
        <v>0.61</v>
      </c>
      <c r="AT31" s="153">
        <v>0.84</v>
      </c>
      <c r="AU31" s="153">
        <v>0.78</v>
      </c>
    </row>
    <row r="32" spans="2:47">
      <c r="B32" s="1" t="s">
        <v>321</v>
      </c>
      <c r="C32" s="76">
        <v>55</v>
      </c>
      <c r="D32" s="76">
        <v>51</v>
      </c>
      <c r="E32" s="76">
        <v>58</v>
      </c>
      <c r="F32" s="76">
        <v>74</v>
      </c>
      <c r="G32" s="76">
        <v>35</v>
      </c>
      <c r="H32" s="76">
        <v>69</v>
      </c>
      <c r="I32" s="76">
        <v>77</v>
      </c>
      <c r="J32" s="76">
        <v>120</v>
      </c>
      <c r="K32" s="76">
        <v>79</v>
      </c>
      <c r="L32" s="76">
        <v>79</v>
      </c>
      <c r="M32" s="1">
        <f>SUM(AR32:AU32)</f>
        <v>74</v>
      </c>
      <c r="N32" s="282"/>
      <c r="O32" s="76">
        <v>11</v>
      </c>
      <c r="P32" s="76">
        <v>15</v>
      </c>
      <c r="Q32" s="76">
        <v>11</v>
      </c>
      <c r="R32" s="20">
        <f>E32-Q32-P32-O32</f>
        <v>21</v>
      </c>
      <c r="S32" s="76">
        <v>34</v>
      </c>
      <c r="T32" s="76">
        <v>18</v>
      </c>
      <c r="U32" s="76">
        <v>10</v>
      </c>
      <c r="V32" s="20">
        <f>F32-U32-T32-S32</f>
        <v>12</v>
      </c>
      <c r="W32" s="76">
        <v>13</v>
      </c>
      <c r="X32" s="76">
        <v>6</v>
      </c>
      <c r="Y32" s="76">
        <v>5</v>
      </c>
      <c r="Z32" s="154">
        <f>G32-Y32-X32-W32</f>
        <v>11</v>
      </c>
      <c r="AA32" s="76">
        <v>8</v>
      </c>
      <c r="AB32" s="76">
        <v>13</v>
      </c>
      <c r="AC32" s="76">
        <v>17</v>
      </c>
      <c r="AD32" s="154">
        <f>H32-AC32-AB32-AA32</f>
        <v>31</v>
      </c>
      <c r="AE32" s="76">
        <v>10</v>
      </c>
      <c r="AF32" s="76">
        <v>15</v>
      </c>
      <c r="AG32" s="76">
        <v>27</v>
      </c>
      <c r="AH32" s="154">
        <f>I32-AG32-AF32-AE32</f>
        <v>25</v>
      </c>
      <c r="AI32" s="76">
        <v>29</v>
      </c>
      <c r="AJ32" s="76">
        <v>23</v>
      </c>
      <c r="AK32" s="76">
        <v>20</v>
      </c>
      <c r="AL32" s="76">
        <v>54</v>
      </c>
      <c r="AM32" s="76">
        <v>17</v>
      </c>
      <c r="AN32" s="76">
        <v>21</v>
      </c>
      <c r="AO32" s="76">
        <v>13</v>
      </c>
      <c r="AP32" s="76">
        <v>29</v>
      </c>
      <c r="AQ32" s="76">
        <v>17</v>
      </c>
      <c r="AR32" s="76">
        <v>18</v>
      </c>
      <c r="AS32" s="76">
        <v>15</v>
      </c>
      <c r="AT32" s="76">
        <v>27</v>
      </c>
      <c r="AU32" s="76">
        <v>14</v>
      </c>
    </row>
    <row r="33" spans="2:47">
      <c r="M33" s="154"/>
      <c r="AD33" s="154"/>
      <c r="AH33" s="154"/>
      <c r="AL33" s="154"/>
      <c r="AP33" s="154"/>
    </row>
    <row r="34" spans="2:47">
      <c r="B34" s="5" t="s">
        <v>328</v>
      </c>
    </row>
    <row r="35" spans="2:47">
      <c r="B35" s="1" t="s">
        <v>315</v>
      </c>
      <c r="C35" s="76">
        <v>62</v>
      </c>
      <c r="D35" s="76">
        <v>65</v>
      </c>
      <c r="E35" s="76">
        <v>68</v>
      </c>
      <c r="F35" s="76">
        <v>69</v>
      </c>
      <c r="G35" s="76">
        <v>66</v>
      </c>
      <c r="H35" s="76">
        <v>70</v>
      </c>
      <c r="I35" s="196">
        <v>74.400000000000006</v>
      </c>
      <c r="J35" s="196">
        <v>77.599999999999994</v>
      </c>
      <c r="K35" s="196">
        <v>85</v>
      </c>
      <c r="L35" s="196">
        <v>85</v>
      </c>
      <c r="M35" s="20">
        <f>SUM(AR35:AU35)</f>
        <v>86</v>
      </c>
      <c r="N35" s="281"/>
      <c r="O35" s="76">
        <v>18</v>
      </c>
      <c r="P35" s="76">
        <v>16</v>
      </c>
      <c r="Q35" s="76">
        <v>15</v>
      </c>
      <c r="R35" s="20">
        <f>E35-Q35-P35-O35</f>
        <v>19</v>
      </c>
      <c r="S35" s="76">
        <v>18</v>
      </c>
      <c r="T35" s="76">
        <v>15</v>
      </c>
      <c r="U35" s="76">
        <v>16</v>
      </c>
      <c r="V35" s="20">
        <f>F35-U35-T35-S35</f>
        <v>20</v>
      </c>
      <c r="W35" s="76">
        <v>18</v>
      </c>
      <c r="X35" s="76">
        <v>13</v>
      </c>
      <c r="Y35" s="76">
        <v>15</v>
      </c>
      <c r="Z35" s="20">
        <f>G35-Y35-X35-W35</f>
        <v>20</v>
      </c>
      <c r="AA35" s="76">
        <v>18</v>
      </c>
      <c r="AB35" s="76">
        <v>14</v>
      </c>
      <c r="AC35" s="76">
        <v>17</v>
      </c>
      <c r="AD35" s="20">
        <f>H35-AC35-AB35-AA35</f>
        <v>21</v>
      </c>
      <c r="AE35" s="76">
        <v>21</v>
      </c>
      <c r="AF35" s="76">
        <v>15</v>
      </c>
      <c r="AG35" s="76">
        <v>17</v>
      </c>
      <c r="AH35" s="20">
        <f>I35-AE35-AF35-AG35</f>
        <v>21.400000000000006</v>
      </c>
      <c r="AI35" s="76">
        <v>20</v>
      </c>
      <c r="AJ35" s="76">
        <v>16.7</v>
      </c>
      <c r="AK35" s="196">
        <v>18.3</v>
      </c>
      <c r="AL35" s="20">
        <f>J35-AI35-AJ35-AK35</f>
        <v>22.599999999999991</v>
      </c>
      <c r="AM35" s="76">
        <v>21.7</v>
      </c>
      <c r="AN35" s="76">
        <v>18.399999999999999</v>
      </c>
      <c r="AO35" s="196">
        <v>18.3</v>
      </c>
      <c r="AP35" s="20">
        <f>K35-AM35-AN35-AO35</f>
        <v>26.599999999999998</v>
      </c>
      <c r="AQ35" s="196">
        <v>23</v>
      </c>
      <c r="AR35" s="196">
        <v>18</v>
      </c>
      <c r="AS35" s="196">
        <v>20</v>
      </c>
      <c r="AT35" s="196">
        <v>25</v>
      </c>
      <c r="AU35" s="196">
        <v>23</v>
      </c>
    </row>
    <row r="36" spans="2:47">
      <c r="B36" s="1" t="s">
        <v>329</v>
      </c>
      <c r="C36" s="151">
        <v>1107678</v>
      </c>
      <c r="D36" s="151">
        <v>1227001</v>
      </c>
      <c r="E36" s="151">
        <v>1337989</v>
      </c>
      <c r="F36" s="151">
        <v>1405584</v>
      </c>
      <c r="G36" s="151">
        <v>1351909</v>
      </c>
      <c r="H36" s="151">
        <v>1497924</v>
      </c>
      <c r="I36" s="151">
        <v>1706394</v>
      </c>
      <c r="J36" s="151">
        <v>1937751</v>
      </c>
      <c r="K36" s="151">
        <v>2256276</v>
      </c>
      <c r="L36" s="151">
        <v>2256276</v>
      </c>
      <c r="M36" s="20">
        <f>SUM(AR36:AU36)</f>
        <v>2522284</v>
      </c>
      <c r="N36" s="282"/>
      <c r="O36" s="151">
        <v>353045</v>
      </c>
      <c r="P36" s="151">
        <v>313475</v>
      </c>
      <c r="Q36" s="151">
        <v>292767</v>
      </c>
      <c r="R36" s="154">
        <f>E36-Q36-P36-O36</f>
        <v>378702</v>
      </c>
      <c r="S36" s="151">
        <v>354575</v>
      </c>
      <c r="T36" s="151">
        <v>302109</v>
      </c>
      <c r="U36" s="151">
        <v>322389</v>
      </c>
      <c r="V36" s="154">
        <f>F36-U36-T36-S36</f>
        <v>426511</v>
      </c>
      <c r="W36" s="151">
        <v>375422</v>
      </c>
      <c r="X36" s="151">
        <v>251873</v>
      </c>
      <c r="Y36" s="151">
        <v>300525</v>
      </c>
      <c r="Z36" s="154">
        <f>G36-Y36-X36-W36</f>
        <v>424089</v>
      </c>
      <c r="AA36" s="151">
        <v>377734</v>
      </c>
      <c r="AB36" s="151">
        <v>302532</v>
      </c>
      <c r="AC36" s="151">
        <v>350517</v>
      </c>
      <c r="AD36" s="20">
        <f>H36-AC36-AB36-AA36</f>
        <v>467141</v>
      </c>
      <c r="AE36" s="151">
        <v>458523</v>
      </c>
      <c r="AF36" s="151">
        <v>352250</v>
      </c>
      <c r="AG36" s="151">
        <v>392064</v>
      </c>
      <c r="AH36" s="20">
        <f>I36-AE36-AF36-AG36</f>
        <v>503557</v>
      </c>
      <c r="AI36" s="151">
        <v>483986</v>
      </c>
      <c r="AJ36" s="151">
        <v>419879</v>
      </c>
      <c r="AK36" s="151">
        <v>461220</v>
      </c>
      <c r="AL36" s="20">
        <f>J36-AI36-AJ36-AK36</f>
        <v>572666</v>
      </c>
      <c r="AM36" s="151">
        <v>571298</v>
      </c>
      <c r="AN36" s="151">
        <v>490541</v>
      </c>
      <c r="AO36" s="151">
        <v>461220</v>
      </c>
      <c r="AP36" s="20">
        <f>K36-AM36-AN36-AO36</f>
        <v>733217</v>
      </c>
      <c r="AQ36" s="151">
        <v>636814</v>
      </c>
      <c r="AR36" s="151">
        <v>522501</v>
      </c>
      <c r="AS36" s="151">
        <v>577771</v>
      </c>
      <c r="AT36" s="151">
        <v>740274</v>
      </c>
      <c r="AU36" s="151">
        <v>681738</v>
      </c>
    </row>
    <row r="37" spans="2:47">
      <c r="B37" s="1" t="s">
        <v>330</v>
      </c>
      <c r="C37" s="151">
        <v>296810</v>
      </c>
      <c r="D37" s="151">
        <v>315831</v>
      </c>
      <c r="E37" s="151">
        <v>349512</v>
      </c>
      <c r="F37" s="151">
        <v>372543</v>
      </c>
      <c r="G37" s="151">
        <v>426706</v>
      </c>
      <c r="H37" s="151">
        <v>476646</v>
      </c>
      <c r="I37" s="151">
        <v>509070</v>
      </c>
      <c r="J37" s="151">
        <v>592351</v>
      </c>
      <c r="K37" s="76">
        <v>648755</v>
      </c>
      <c r="L37" s="76">
        <v>648755</v>
      </c>
      <c r="M37" s="20">
        <f>SUM(AR37:AU37)</f>
        <v>676556</v>
      </c>
      <c r="N37" s="282"/>
      <c r="O37" s="151">
        <v>99000</v>
      </c>
      <c r="P37" s="151">
        <v>85835</v>
      </c>
      <c r="Q37" s="151">
        <v>65879</v>
      </c>
      <c r="R37" s="154">
        <f>E37-Q37-P37-O37</f>
        <v>98798</v>
      </c>
      <c r="S37" s="151">
        <v>99698</v>
      </c>
      <c r="T37" s="151">
        <v>74848</v>
      </c>
      <c r="U37" s="151">
        <v>81307</v>
      </c>
      <c r="V37" s="154">
        <f>F37-U37-T37-S37</f>
        <v>116690</v>
      </c>
      <c r="W37" s="151">
        <v>116273</v>
      </c>
      <c r="X37" s="151">
        <v>64613</v>
      </c>
      <c r="Y37" s="151">
        <v>90535</v>
      </c>
      <c r="Z37" s="154">
        <f>G37-Y37-X37-W37</f>
        <v>155285</v>
      </c>
      <c r="AA37" s="151">
        <v>124965</v>
      </c>
      <c r="AB37" s="151">
        <v>67851</v>
      </c>
      <c r="AC37" s="151">
        <v>103903</v>
      </c>
      <c r="AD37" s="20">
        <f>H37-AC37-AB37-AA37</f>
        <v>179927</v>
      </c>
      <c r="AE37" s="151">
        <v>151296</v>
      </c>
      <c r="AF37" s="151">
        <v>74123</v>
      </c>
      <c r="AG37" s="151">
        <v>78747</v>
      </c>
      <c r="AH37" s="20">
        <f>I37-AE37-AF37-AG37</f>
        <v>204904</v>
      </c>
      <c r="AI37" s="151">
        <v>151481</v>
      </c>
      <c r="AJ37" s="151">
        <v>91955</v>
      </c>
      <c r="AK37" s="151">
        <v>132770</v>
      </c>
      <c r="AL37" s="20">
        <f>J37-AI37-AJ37-AK37</f>
        <v>216145</v>
      </c>
      <c r="AM37" s="151">
        <v>177344</v>
      </c>
      <c r="AN37" s="151">
        <v>111366</v>
      </c>
      <c r="AO37" s="151">
        <v>132770</v>
      </c>
      <c r="AP37" s="20">
        <f>K37-AM37-AN37-AO37</f>
        <v>227275</v>
      </c>
      <c r="AQ37" s="76">
        <v>195530</v>
      </c>
      <c r="AR37" s="76">
        <v>140315</v>
      </c>
      <c r="AS37" s="76">
        <v>140843</v>
      </c>
      <c r="AT37" s="76">
        <v>194535</v>
      </c>
      <c r="AU37" s="76">
        <v>200863</v>
      </c>
    </row>
    <row r="38" spans="2:47">
      <c r="B38" s="1" t="s">
        <v>318</v>
      </c>
      <c r="C38" s="155">
        <f t="shared" ref="C38:G38" si="44">C37/C36</f>
        <v>0.26795693333261111</v>
      </c>
      <c r="D38" s="155">
        <f t="shared" si="44"/>
        <v>0.25740076821453284</v>
      </c>
      <c r="E38" s="155">
        <f t="shared" si="44"/>
        <v>0.26122187850572764</v>
      </c>
      <c r="F38" s="155">
        <f t="shared" si="44"/>
        <v>0.26504499197486597</v>
      </c>
      <c r="G38" s="155">
        <f t="shared" si="44"/>
        <v>0.31563219121997116</v>
      </c>
      <c r="H38" s="155">
        <f t="shared" ref="H38:I38" si="45">H37/H36</f>
        <v>0.31820439488251739</v>
      </c>
      <c r="I38" s="155">
        <f t="shared" si="45"/>
        <v>0.29833086614228599</v>
      </c>
      <c r="J38" s="155">
        <f t="shared" ref="J38:L38" si="46">J37/J36</f>
        <v>0.30568994674754391</v>
      </c>
      <c r="K38" s="155">
        <f t="shared" si="46"/>
        <v>0.28753352869950305</v>
      </c>
      <c r="L38" s="155">
        <f t="shared" si="46"/>
        <v>0.28753352869950305</v>
      </c>
      <c r="M38" s="155">
        <f t="shared" ref="M38" si="47">M37/M36</f>
        <v>0.26823149177491512</v>
      </c>
      <c r="N38" s="155"/>
      <c r="O38" s="155">
        <f t="shared" ref="O38:U38" si="48">O37/O36</f>
        <v>0.28041751051565666</v>
      </c>
      <c r="P38" s="155">
        <f t="shared" si="48"/>
        <v>0.27381768881090995</v>
      </c>
      <c r="Q38" s="155">
        <f t="shared" si="48"/>
        <v>0.22502194577940821</v>
      </c>
      <c r="R38" s="155">
        <f t="shared" si="48"/>
        <v>0.26088586804400293</v>
      </c>
      <c r="S38" s="155">
        <f t="shared" si="48"/>
        <v>0.28117605584150041</v>
      </c>
      <c r="T38" s="155">
        <f t="shared" si="48"/>
        <v>0.24775163930899113</v>
      </c>
      <c r="U38" s="155">
        <f t="shared" si="48"/>
        <v>0.25220153293071412</v>
      </c>
      <c r="V38" s="155">
        <f t="shared" ref="V38" si="49">V37/V36</f>
        <v>0.27359200583337828</v>
      </c>
      <c r="W38" s="155">
        <f t="shared" ref="W38:X38" si="50">W37/W36</f>
        <v>0.30971280319214112</v>
      </c>
      <c r="X38" s="155">
        <f t="shared" si="50"/>
        <v>0.25653007666562117</v>
      </c>
      <c r="Y38" s="155">
        <f t="shared" ref="Y38:AB38" si="51">Y37/Y36</f>
        <v>0.30125613509691374</v>
      </c>
      <c r="Z38" s="155">
        <f t="shared" si="51"/>
        <v>0.36616134820756963</v>
      </c>
      <c r="AA38" s="155">
        <f t="shared" si="51"/>
        <v>0.33082804301439639</v>
      </c>
      <c r="AB38" s="155">
        <f t="shared" si="51"/>
        <v>0.22427710126532069</v>
      </c>
      <c r="AC38" s="155">
        <f t="shared" ref="AC38:AF38" si="52">AC37/AC36</f>
        <v>0.29642784800737199</v>
      </c>
      <c r="AD38" s="155">
        <f t="shared" si="52"/>
        <v>0.38516636304670326</v>
      </c>
      <c r="AE38" s="155">
        <f t="shared" si="52"/>
        <v>0.32996381860888113</v>
      </c>
      <c r="AF38" s="155">
        <f t="shared" si="52"/>
        <v>0.21042725337118523</v>
      </c>
      <c r="AG38" s="155">
        <f t="shared" ref="AG38" si="53">AG37/AG36</f>
        <v>0.20085241185112634</v>
      </c>
      <c r="AH38" s="155">
        <f>AH37/AH36</f>
        <v>0.40691321935749081</v>
      </c>
      <c r="AI38" s="155">
        <f t="shared" ref="AI38:AK38" si="54">AI37/AI36</f>
        <v>0.31298632605075355</v>
      </c>
      <c r="AJ38" s="155">
        <f t="shared" si="54"/>
        <v>0.21900357007614099</v>
      </c>
      <c r="AK38" s="155">
        <f t="shared" si="54"/>
        <v>0.2878669615367937</v>
      </c>
      <c r="AL38" s="155">
        <f>AL37/AL36</f>
        <v>0.37743641145100287</v>
      </c>
      <c r="AM38" s="155">
        <f t="shared" ref="AM38:AP38" si="55">AM37/AM36</f>
        <v>0.31042293163987972</v>
      </c>
      <c r="AN38" s="155">
        <f t="shared" si="55"/>
        <v>0.22702689479574592</v>
      </c>
      <c r="AO38" s="155">
        <f t="shared" si="55"/>
        <v>0.2878669615367937</v>
      </c>
      <c r="AP38" s="155">
        <f t="shared" si="55"/>
        <v>0.30996962699991953</v>
      </c>
      <c r="AQ38" s="155">
        <f t="shared" ref="AQ38:AT38" si="56">AQ37/AQ36</f>
        <v>0.30704412905495171</v>
      </c>
      <c r="AR38" s="155">
        <f t="shared" si="56"/>
        <v>0.26854494058384576</v>
      </c>
      <c r="AS38" s="155">
        <f t="shared" si="56"/>
        <v>0.24376959037404092</v>
      </c>
      <c r="AT38" s="155">
        <f t="shared" si="56"/>
        <v>0.26278783261332966</v>
      </c>
      <c r="AU38" s="155">
        <f t="shared" ref="AU38" si="57">AU37/AU36</f>
        <v>0.29463371559162022</v>
      </c>
    </row>
    <row r="39" spans="2:47">
      <c r="B39" s="1" t="s">
        <v>319</v>
      </c>
      <c r="C39" s="153">
        <v>3.15</v>
      </c>
      <c r="D39" s="153">
        <v>3.35</v>
      </c>
      <c r="E39" s="153">
        <v>3.44</v>
      </c>
      <c r="F39" s="153">
        <v>3.26</v>
      </c>
      <c r="G39" s="153">
        <v>2.99</v>
      </c>
      <c r="H39" s="153">
        <v>3.17</v>
      </c>
      <c r="I39" s="153">
        <v>3.27</v>
      </c>
      <c r="J39" s="153">
        <v>3.43</v>
      </c>
      <c r="K39" s="153">
        <v>3.51</v>
      </c>
      <c r="L39" s="153">
        <v>3.51</v>
      </c>
      <c r="M39" s="49">
        <f>AVERAGE(AR39:AU39)</f>
        <v>4.08</v>
      </c>
      <c r="N39" s="153"/>
      <c r="O39" s="153">
        <v>3.52</v>
      </c>
      <c r="P39" s="153">
        <v>3.51</v>
      </c>
      <c r="Q39" s="153">
        <v>3.4</v>
      </c>
      <c r="R39" s="49">
        <f>((E39*E35)-(O39*O35)-(P39*P35)-(Q39*Q35))/R35</f>
        <v>3.3368421052631581</v>
      </c>
      <c r="S39" s="153">
        <v>3.24</v>
      </c>
      <c r="T39" s="153">
        <v>3.26</v>
      </c>
      <c r="U39" s="153">
        <v>3.36</v>
      </c>
      <c r="V39" s="49">
        <f>((F39*F35)-(S39*S35)-(T39*T35)-(U39*U35))/V35</f>
        <v>3.198</v>
      </c>
      <c r="W39" s="153">
        <v>3.22</v>
      </c>
      <c r="X39" s="153">
        <v>2.91</v>
      </c>
      <c r="Y39" s="153">
        <v>2.88</v>
      </c>
      <c r="Z39" s="49">
        <f>((G39*G35)-(W39*W35)-(X39*X35)-(Y39*Y35))/Z35</f>
        <v>2.9175</v>
      </c>
      <c r="AA39" s="153">
        <v>3.12</v>
      </c>
      <c r="AB39" s="153">
        <v>3.19</v>
      </c>
      <c r="AC39" s="153">
        <v>3.07</v>
      </c>
      <c r="AD39" s="49">
        <f>((H39*H35)-(AA39*AA35)-(AB39*AB35)-(AC39*AC35))/AD35</f>
        <v>3.280476190476191</v>
      </c>
      <c r="AE39" s="153">
        <v>3.17</v>
      </c>
      <c r="AF39" s="153">
        <v>3.39</v>
      </c>
      <c r="AG39" s="153">
        <v>3.36</v>
      </c>
      <c r="AH39" s="49">
        <f>((I39*I35)-(AE39*AE35)-(AF39*AF35)-(AG39*AG35))/AH35</f>
        <v>3.2125233644859814</v>
      </c>
      <c r="AI39" s="153">
        <v>3.35</v>
      </c>
      <c r="AJ39" s="153">
        <v>3.49</v>
      </c>
      <c r="AK39" s="153">
        <v>3.48</v>
      </c>
      <c r="AL39" s="153">
        <v>3.39</v>
      </c>
      <c r="AM39" s="153">
        <v>3.61</v>
      </c>
      <c r="AN39" s="153">
        <v>3.58</v>
      </c>
      <c r="AO39" s="153">
        <v>3.43</v>
      </c>
      <c r="AP39" s="153">
        <v>3.42</v>
      </c>
      <c r="AQ39" s="153">
        <v>3.51</v>
      </c>
      <c r="AR39" s="153">
        <v>3.59</v>
      </c>
      <c r="AS39" s="153">
        <v>3.94</v>
      </c>
      <c r="AT39" s="153">
        <v>4.2699999999999996</v>
      </c>
      <c r="AU39" s="153">
        <v>4.5199999999999996</v>
      </c>
    </row>
    <row r="40" spans="2:47">
      <c r="B40" s="1" t="s">
        <v>320</v>
      </c>
      <c r="C40" s="153">
        <v>0.84</v>
      </c>
      <c r="D40" s="153">
        <v>0.86</v>
      </c>
      <c r="E40" s="153">
        <v>0.9</v>
      </c>
      <c r="F40" s="153">
        <v>0.86</v>
      </c>
      <c r="G40" s="153">
        <v>0.94</v>
      </c>
      <c r="H40" s="153">
        <v>1.01</v>
      </c>
      <c r="I40" s="153">
        <v>0.97</v>
      </c>
      <c r="J40" s="153">
        <v>1.05</v>
      </c>
      <c r="K40" s="153">
        <v>1.01</v>
      </c>
      <c r="L40" s="153">
        <v>1.01</v>
      </c>
      <c r="M40" s="49">
        <f>AVERAGE(AR40:AU40)</f>
        <v>1.0925</v>
      </c>
      <c r="N40" s="153"/>
      <c r="O40" s="153">
        <v>0.98</v>
      </c>
      <c r="P40" s="153">
        <v>0.95</v>
      </c>
      <c r="Q40" s="153">
        <v>0.78</v>
      </c>
      <c r="R40" s="49">
        <f>((E40*E35)-(O40*O35)-(P40*P35)-(Q40*Q35))/R35</f>
        <v>0.87684210526315809</v>
      </c>
      <c r="S40" s="153">
        <v>0.91</v>
      </c>
      <c r="T40" s="153">
        <v>0.81</v>
      </c>
      <c r="U40" s="153">
        <v>0.85</v>
      </c>
      <c r="V40" s="49">
        <f>((F40*F35)-(S40*S35)-(T40*T35)-(U40*U35))/V35</f>
        <v>0.86049999999999971</v>
      </c>
      <c r="W40" s="153">
        <v>1</v>
      </c>
      <c r="X40" s="153">
        <v>0.75</v>
      </c>
      <c r="Y40" s="153">
        <v>0.87</v>
      </c>
      <c r="Z40" s="49">
        <f>((G40*G36)-(W40*W36)-(X40*X36)-(Y40*Y36))/Z36</f>
        <v>1.0493338898202971</v>
      </c>
      <c r="AA40" s="153">
        <v>1.03</v>
      </c>
      <c r="AB40" s="153">
        <v>0.95</v>
      </c>
      <c r="AC40" s="153">
        <v>0.91</v>
      </c>
      <c r="AD40" s="49">
        <f>((H40*H36)-(AA40*AA36)-(AB40*AB36)-(AC40*AC36))/AD36</f>
        <v>1.1077198319137049</v>
      </c>
      <c r="AE40" s="153">
        <v>1.05</v>
      </c>
      <c r="AF40" s="153">
        <v>0.95</v>
      </c>
      <c r="AG40" s="153">
        <v>0.91</v>
      </c>
      <c r="AH40" s="49">
        <f>((I40*I36)-(AE40*AE36)-(AF40*AF36)-(AG40*AG36))/AH36</f>
        <v>0.95786036138907771</v>
      </c>
      <c r="AI40" s="153">
        <v>1.05</v>
      </c>
      <c r="AJ40" s="153">
        <v>1</v>
      </c>
      <c r="AK40" s="153">
        <v>1</v>
      </c>
      <c r="AL40" s="153">
        <v>1.1100000000000001</v>
      </c>
      <c r="AM40" s="153">
        <v>1.1200000000000001</v>
      </c>
      <c r="AN40" s="153">
        <v>1.03</v>
      </c>
      <c r="AO40" s="153">
        <v>0.93</v>
      </c>
      <c r="AP40" s="153">
        <v>0.96</v>
      </c>
      <c r="AQ40" s="153">
        <v>1.08</v>
      </c>
      <c r="AR40" s="153">
        <v>0.96</v>
      </c>
      <c r="AS40" s="153">
        <v>0.96</v>
      </c>
      <c r="AT40" s="153">
        <v>1.1200000000000001</v>
      </c>
      <c r="AU40" s="153">
        <v>1.33</v>
      </c>
    </row>
    <row r="41" spans="2:47">
      <c r="B41" s="1" t="s">
        <v>321</v>
      </c>
      <c r="C41" s="76">
        <v>16</v>
      </c>
      <c r="D41" s="76">
        <v>16</v>
      </c>
      <c r="E41" s="76">
        <v>22</v>
      </c>
      <c r="F41" s="76">
        <v>20</v>
      </c>
      <c r="G41" s="76">
        <v>27</v>
      </c>
      <c r="H41" s="76">
        <v>27</v>
      </c>
      <c r="I41" s="76">
        <v>23</v>
      </c>
      <c r="J41" s="76">
        <v>18</v>
      </c>
      <c r="K41" s="76">
        <v>1.3</v>
      </c>
      <c r="L41" s="76">
        <v>1.3</v>
      </c>
      <c r="M41" s="1">
        <f>SUM(AR41:AU41)</f>
        <v>45</v>
      </c>
      <c r="N41" s="282"/>
      <c r="O41" s="76">
        <v>2</v>
      </c>
      <c r="P41" s="76">
        <v>4</v>
      </c>
      <c r="Q41" s="76">
        <v>5</v>
      </c>
      <c r="R41" s="20">
        <f>E41-Q41-P41-O41</f>
        <v>11</v>
      </c>
      <c r="S41" s="76">
        <v>2</v>
      </c>
      <c r="T41" s="76">
        <v>3</v>
      </c>
      <c r="U41" s="76">
        <v>4</v>
      </c>
      <c r="V41" s="20">
        <f>F41-U41-T41-S41</f>
        <v>11</v>
      </c>
      <c r="W41" s="76">
        <v>3</v>
      </c>
      <c r="X41" s="76">
        <v>3</v>
      </c>
      <c r="Y41" s="76">
        <v>3</v>
      </c>
      <c r="Z41" s="154">
        <f>G41-Y41-X41-W41</f>
        <v>18</v>
      </c>
      <c r="AA41" s="76">
        <v>2</v>
      </c>
      <c r="AB41" s="76">
        <v>6</v>
      </c>
      <c r="AC41" s="76">
        <v>7</v>
      </c>
      <c r="AD41" s="154">
        <f>H41-AC41-AB41-AA41</f>
        <v>12</v>
      </c>
      <c r="AE41" s="76">
        <v>2</v>
      </c>
      <c r="AF41" s="76">
        <v>5</v>
      </c>
      <c r="AG41" s="76">
        <v>6</v>
      </c>
      <c r="AH41" s="154">
        <f>I41-AG41-AF41-AE41</f>
        <v>10</v>
      </c>
      <c r="AI41" s="76">
        <v>3</v>
      </c>
      <c r="AJ41" s="76">
        <v>4</v>
      </c>
      <c r="AK41" s="76">
        <v>5</v>
      </c>
      <c r="AL41" s="76">
        <v>8</v>
      </c>
      <c r="AM41" s="76">
        <v>1</v>
      </c>
      <c r="AN41" s="76">
        <v>4</v>
      </c>
      <c r="AO41" s="76">
        <v>6</v>
      </c>
      <c r="AP41" s="76">
        <v>13</v>
      </c>
      <c r="AQ41" s="76">
        <v>2</v>
      </c>
      <c r="AR41" s="76">
        <v>18</v>
      </c>
      <c r="AS41" s="76">
        <v>9</v>
      </c>
      <c r="AT41" s="76">
        <v>16</v>
      </c>
      <c r="AU41" s="76">
        <v>2</v>
      </c>
    </row>
  </sheetData>
  <pageMargins left="0.7" right="0.7" top="0.75" bottom="0.75" header="0.3" footer="0.3"/>
  <pageSetup paperSize="9" orientation="portrait" verticalDpi="12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3A00EECCAA3DB94895FACE15614ECBE0" ma:contentTypeVersion="3" ma:contentTypeDescription="Create a new document." ma:contentTypeScope="" ma:versionID="df48d4251bee182ecc7fb5dcb95088a2">
  <xsd:schema xmlns:xsd="http://www.w3.org/2001/XMLSchema" xmlns:xs="http://www.w3.org/2001/XMLSchema" xmlns:p="http://schemas.microsoft.com/office/2006/metadata/properties" xmlns:ns2="aa33d72f-12a9-4590-815a-2b1f92f4a722" targetNamespace="http://schemas.microsoft.com/office/2006/metadata/properties" ma:root="true" ma:fieldsID="e53bcbeb5cc26077ba81130311515115" ns2:_="">
    <xsd:import namespace="aa33d72f-12a9-4590-815a-2b1f92f4a722"/>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33d72f-12a9-4590-815a-2b1f92f4a72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5452C45-47C7-48C3-B7AA-AEF944E1B024}"/>
</file>

<file path=customXml/itemProps2.xml><?xml version="1.0" encoding="utf-8"?>
<ds:datastoreItem xmlns:ds="http://schemas.openxmlformats.org/officeDocument/2006/customXml" ds:itemID="{26B6A2AA-461C-45E6-85EC-252661152C3B}"/>
</file>

<file path=customXml/itemProps3.xml><?xml version="1.0" encoding="utf-8"?>
<ds:datastoreItem xmlns:ds="http://schemas.openxmlformats.org/officeDocument/2006/customXml" ds:itemID="{2574F703-65FF-45D3-8740-C54AFE266B9F}"/>
</file>

<file path=docProps/app.xml><?xml version="1.0" encoding="utf-8"?>
<Properties xmlns="http://schemas.openxmlformats.org/officeDocument/2006/extended-properties" xmlns:vt="http://schemas.openxmlformats.org/officeDocument/2006/docPropsVTypes">
  <Application>Microsoft Excel Online</Application>
  <Manager/>
  <Company>MassMutual</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MAB</dc:creator>
  <cp:keywords/>
  <dc:description/>
  <cp:lastModifiedBy/>
  <cp:revision/>
  <dcterms:created xsi:type="dcterms:W3CDTF">2008-03-12T15:44:19Z</dcterms:created>
  <dcterms:modified xsi:type="dcterms:W3CDTF">2026-10-14T12:42:32Z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{4EBE290E-4DA3-4A86-A5CA-D651638D9392}</vt:lpwstr>
  </property>
  <property fmtid="{D5CDD505-2E9C-101B-9397-08002B2CF9AE}" pid="3" name="WorkbookGuid">
    <vt:lpwstr>73686873-3729-42f2-810d-808c417007a4</vt:lpwstr>
  </property>
  <property fmtid="{D5CDD505-2E9C-101B-9397-08002B2CF9AE}" pid="4" name="MSIP_Label_8c63c790-1b4f-473b-b88f-a693ca173b52_Enabled">
    <vt:lpwstr>true</vt:lpwstr>
  </property>
  <property fmtid="{D5CDD505-2E9C-101B-9397-08002B2CF9AE}" pid="5" name="MSIP_Label_8c63c790-1b4f-473b-b88f-a693ca173b52_SetDate">
    <vt:lpwstr>2022-03-08T16:33:02Z</vt:lpwstr>
  </property>
  <property fmtid="{D5CDD505-2E9C-101B-9397-08002B2CF9AE}" pid="6" name="MSIP_Label_8c63c790-1b4f-473b-b88f-a693ca173b52_Method">
    <vt:lpwstr>Privileged</vt:lpwstr>
  </property>
  <property fmtid="{D5CDD505-2E9C-101B-9397-08002B2CF9AE}" pid="7" name="MSIP_Label_8c63c790-1b4f-473b-b88f-a693ca173b52_Name">
    <vt:lpwstr>Internal</vt:lpwstr>
  </property>
  <property fmtid="{D5CDD505-2E9C-101B-9397-08002B2CF9AE}" pid="8" name="MSIP_Label_8c63c790-1b4f-473b-b88f-a693ca173b52_SiteId">
    <vt:lpwstr>4d8b04bf-7a7c-48a0-b6e3-38da5008297e</vt:lpwstr>
  </property>
  <property fmtid="{D5CDD505-2E9C-101B-9397-08002B2CF9AE}" pid="9" name="MSIP_Label_8c63c790-1b4f-473b-b88f-a693ca173b52_ActionId">
    <vt:lpwstr>bcecad2a-fafd-4b9a-839e-68f1bcda2634</vt:lpwstr>
  </property>
  <property fmtid="{D5CDD505-2E9C-101B-9397-08002B2CF9AE}" pid="10" name="MSIP_Label_8c63c790-1b4f-473b-b88f-a693ca173b52_ContentBits">
    <vt:lpwstr>0</vt:lpwstr>
  </property>
  <property fmtid="{D5CDD505-2E9C-101B-9397-08002B2CF9AE}" pid="11" name="ContentTypeId">
    <vt:lpwstr>0x0101003A00EECCAA3DB94895FACE15614ECBE0</vt:lpwstr>
  </property>
</Properties>
</file>